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drawings/drawing2.xml" ContentType="application/vnd.openxmlformats-officedocument.drawing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drawings/drawing3.xml" ContentType="application/vnd.openxmlformats-officedocument.drawing+xml"/>
  <Override PartName="/xl/ctrlProps/ctrlProp10.xml" ContentType="application/vnd.ms-excel.controlproperties+xml"/>
  <Override PartName="/xl/ctrlProps/ctrlProp1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F37B44D-9087-4940-B972-609197C8BD37}" xr6:coauthVersionLast="47" xr6:coauthVersionMax="47" xr10:uidLastSave="{00000000-0000-0000-0000-000000000000}"/>
  <bookViews>
    <workbookView xWindow="-120" yWindow="-120" windowWidth="38640" windowHeight="15720" tabRatio="769"/>
  </bookViews>
  <sheets>
    <sheet name="TradeSum" sheetId="13" r:id="rId1"/>
    <sheet name="Pricing Summary" sheetId="15" r:id="rId2"/>
    <sheet name="GasPosn" sheetId="16" r:id="rId3"/>
    <sheet name="Interest" sheetId="6" r:id="rId4"/>
    <sheet name="NymexData" sheetId="12" r:id="rId5"/>
  </sheets>
  <externalReferences>
    <externalReference r:id="rId6"/>
    <externalReference r:id="rId7"/>
    <externalReference r:id="rId8"/>
    <externalReference r:id="rId9"/>
  </externalReferences>
  <definedNames>
    <definedName name="AECO_Post">GasPosn!$L$198</definedName>
    <definedName name="BegDate">#REF!</definedName>
    <definedName name="DldName">#REF!</definedName>
    <definedName name="EndDate">#REF!</definedName>
    <definedName name="GasDaily_Post">GasPosn!$L$327</definedName>
    <definedName name="NYMEX_Post">GasPosn!$L$10</definedName>
    <definedName name="_xlnm.Print_Area" localSheetId="0">TradeSum!$A$1:$X$47</definedName>
    <definedName name="tblEntergyPosn">#REF!</definedName>
    <definedName name="TradeDate">TradeSum!$B$2</definedName>
  </definedNames>
  <calcPr calcId="0" calcMode="manual"/>
</workbook>
</file>

<file path=xl/calcChain.xml><?xml version="1.0" encoding="utf-8"?>
<calcChain xmlns="http://schemas.openxmlformats.org/spreadsheetml/2006/main">
  <c r="C3" i="16" l="1"/>
  <c r="J3" i="16"/>
  <c r="M3" i="16"/>
  <c r="J4" i="16"/>
  <c r="M4" i="16"/>
  <c r="J5" i="16"/>
  <c r="M5" i="16"/>
  <c r="J6" i="16"/>
  <c r="M6" i="16"/>
  <c r="A12" i="16"/>
  <c r="B12" i="16"/>
  <c r="B12" i="16" a="1"/>
  <c r="C12" i="16"/>
  <c r="D12" i="16"/>
  <c r="E12" i="16"/>
  <c r="E12" i="16" a="1"/>
  <c r="F12" i="16"/>
  <c r="G12" i="16"/>
  <c r="G12" i="16" a="1"/>
  <c r="H12" i="16"/>
  <c r="I12" i="16"/>
  <c r="J12" i="16"/>
  <c r="O12" i="16"/>
  <c r="BD12" i="16"/>
  <c r="BE12" i="16"/>
  <c r="BG12" i="16"/>
  <c r="BH12" i="16"/>
  <c r="BI12" i="16"/>
  <c r="BJ12" i="16"/>
  <c r="BL12" i="16"/>
  <c r="BO12" i="16"/>
  <c r="BP12" i="16"/>
  <c r="BQ12" i="16"/>
  <c r="BR12" i="16"/>
  <c r="BS12" i="16"/>
  <c r="A13" i="16"/>
  <c r="B13" i="16"/>
  <c r="B13" i="16" a="1"/>
  <c r="C13" i="16"/>
  <c r="D13" i="16"/>
  <c r="E13" i="16"/>
  <c r="E13" i="16" a="1"/>
  <c r="F13" i="16"/>
  <c r="G13" i="16"/>
  <c r="G13" i="16" a="1"/>
  <c r="H13" i="16"/>
  <c r="I13" i="16"/>
  <c r="J13" i="16"/>
  <c r="O13" i="16"/>
  <c r="BD13" i="16"/>
  <c r="BE13" i="16"/>
  <c r="BG13" i="16"/>
  <c r="BH13" i="16"/>
  <c r="BI13" i="16"/>
  <c r="BJ13" i="16"/>
  <c r="BL13" i="16"/>
  <c r="BO13" i="16"/>
  <c r="BP13" i="16"/>
  <c r="BQ13" i="16"/>
  <c r="BR13" i="16"/>
  <c r="BS13" i="16"/>
  <c r="A14" i="16"/>
  <c r="B14" i="16"/>
  <c r="B14" i="16" a="1"/>
  <c r="C14" i="16"/>
  <c r="D14" i="16"/>
  <c r="E14" i="16"/>
  <c r="E14" i="16" a="1"/>
  <c r="F14" i="16"/>
  <c r="G14" i="16"/>
  <c r="G14" i="16" a="1"/>
  <c r="H14" i="16"/>
  <c r="I14" i="16"/>
  <c r="J14" i="16"/>
  <c r="O14" i="16"/>
  <c r="BD14" i="16"/>
  <c r="BE14" i="16"/>
  <c r="BG14" i="16"/>
  <c r="BH14" i="16"/>
  <c r="BI14" i="16"/>
  <c r="BJ14" i="16"/>
  <c r="BL14" i="16"/>
  <c r="BO14" i="16"/>
  <c r="BP14" i="16"/>
  <c r="BQ14" i="16"/>
  <c r="BR14" i="16"/>
  <c r="BS14" i="16"/>
  <c r="A15" i="16"/>
  <c r="B15" i="16"/>
  <c r="B15" i="16" a="1"/>
  <c r="C15" i="16"/>
  <c r="D15" i="16"/>
  <c r="E15" i="16"/>
  <c r="E15" i="16" a="1"/>
  <c r="F15" i="16"/>
  <c r="G15" i="16"/>
  <c r="G15" i="16" a="1"/>
  <c r="H15" i="16"/>
  <c r="I15" i="16"/>
  <c r="J15" i="16"/>
  <c r="O15" i="16"/>
  <c r="BD15" i="16"/>
  <c r="BE15" i="16"/>
  <c r="BG15" i="16"/>
  <c r="BH15" i="16"/>
  <c r="BI15" i="16"/>
  <c r="BJ15" i="16"/>
  <c r="BL15" i="16"/>
  <c r="BO15" i="16"/>
  <c r="BP15" i="16"/>
  <c r="BQ15" i="16"/>
  <c r="BR15" i="16"/>
  <c r="BS15" i="16"/>
  <c r="A16" i="16"/>
  <c r="B16" i="16"/>
  <c r="B16" i="16" a="1"/>
  <c r="C16" i="16"/>
  <c r="D16" i="16"/>
  <c r="E16" i="16"/>
  <c r="E16" i="16" a="1"/>
  <c r="F16" i="16"/>
  <c r="G16" i="16"/>
  <c r="G16" i="16" a="1"/>
  <c r="H16" i="16"/>
  <c r="I16" i="16"/>
  <c r="J16" i="16"/>
  <c r="O16" i="16"/>
  <c r="BD16" i="16"/>
  <c r="BE16" i="16"/>
  <c r="BG16" i="16"/>
  <c r="BH16" i="16"/>
  <c r="BI16" i="16"/>
  <c r="BJ16" i="16"/>
  <c r="BL16" i="16"/>
  <c r="BO16" i="16"/>
  <c r="BP16" i="16"/>
  <c r="BQ16" i="16"/>
  <c r="BR16" i="16"/>
  <c r="BS16" i="16"/>
  <c r="A17" i="16"/>
  <c r="B17" i="16"/>
  <c r="B17" i="16" a="1"/>
  <c r="C17" i="16"/>
  <c r="D17" i="16"/>
  <c r="E17" i="16"/>
  <c r="E17" i="16" a="1"/>
  <c r="F17" i="16"/>
  <c r="G17" i="16"/>
  <c r="G17" i="16" a="1"/>
  <c r="H17" i="16"/>
  <c r="I17" i="16"/>
  <c r="J17" i="16"/>
  <c r="O17" i="16"/>
  <c r="BD17" i="16"/>
  <c r="BE17" i="16"/>
  <c r="BG17" i="16"/>
  <c r="BH17" i="16"/>
  <c r="BI17" i="16"/>
  <c r="BJ17" i="16"/>
  <c r="BL17" i="16"/>
  <c r="BO17" i="16"/>
  <c r="BP17" i="16"/>
  <c r="BQ17" i="16"/>
  <c r="BR17" i="16"/>
  <c r="BS17" i="16"/>
  <c r="A18" i="16"/>
  <c r="B18" i="16"/>
  <c r="B18" i="16" a="1"/>
  <c r="C18" i="16"/>
  <c r="D18" i="16"/>
  <c r="E18" i="16"/>
  <c r="E18" i="16" a="1"/>
  <c r="F18" i="16"/>
  <c r="G18" i="16"/>
  <c r="G18" i="16" a="1"/>
  <c r="H18" i="16"/>
  <c r="I18" i="16"/>
  <c r="J18" i="16"/>
  <c r="O18" i="16"/>
  <c r="BD18" i="16"/>
  <c r="BE18" i="16"/>
  <c r="BG18" i="16"/>
  <c r="BH18" i="16"/>
  <c r="BI18" i="16"/>
  <c r="BJ18" i="16"/>
  <c r="BL18" i="16"/>
  <c r="BO18" i="16"/>
  <c r="BP18" i="16"/>
  <c r="BQ18" i="16"/>
  <c r="BR18" i="16"/>
  <c r="BS18" i="16"/>
  <c r="A19" i="16"/>
  <c r="B19" i="16"/>
  <c r="B19" i="16" a="1"/>
  <c r="C19" i="16"/>
  <c r="D19" i="16"/>
  <c r="E19" i="16"/>
  <c r="E19" i="16" a="1"/>
  <c r="F19" i="16"/>
  <c r="G19" i="16"/>
  <c r="G19" i="16" a="1"/>
  <c r="H19" i="16"/>
  <c r="I19" i="16"/>
  <c r="J19" i="16"/>
  <c r="O19" i="16"/>
  <c r="BD19" i="16"/>
  <c r="BE19" i="16"/>
  <c r="BG19" i="16"/>
  <c r="BH19" i="16"/>
  <c r="BI19" i="16"/>
  <c r="BJ19" i="16"/>
  <c r="BL19" i="16"/>
  <c r="BO19" i="16"/>
  <c r="BP19" i="16"/>
  <c r="BQ19" i="16"/>
  <c r="BR19" i="16"/>
  <c r="BS19" i="16"/>
  <c r="A20" i="16"/>
  <c r="B20" i="16"/>
  <c r="B20" i="16" a="1"/>
  <c r="C20" i="16"/>
  <c r="D20" i="16"/>
  <c r="E20" i="16"/>
  <c r="E20" i="16" a="1"/>
  <c r="F20" i="16"/>
  <c r="G20" i="16"/>
  <c r="G20" i="16" a="1"/>
  <c r="H20" i="16"/>
  <c r="I20" i="16"/>
  <c r="J20" i="16"/>
  <c r="O20" i="16"/>
  <c r="BD20" i="16"/>
  <c r="BE20" i="16"/>
  <c r="BG20" i="16"/>
  <c r="BH20" i="16"/>
  <c r="BI20" i="16"/>
  <c r="BJ20" i="16"/>
  <c r="BL20" i="16"/>
  <c r="BO20" i="16"/>
  <c r="BP20" i="16"/>
  <c r="BQ20" i="16"/>
  <c r="BR20" i="16"/>
  <c r="BS20" i="16"/>
  <c r="A21" i="16"/>
  <c r="B21" i="16"/>
  <c r="B21" i="16" a="1"/>
  <c r="C21" i="16"/>
  <c r="D21" i="16"/>
  <c r="E21" i="16"/>
  <c r="E21" i="16" a="1"/>
  <c r="F21" i="16"/>
  <c r="G21" i="16"/>
  <c r="G21" i="16" a="1"/>
  <c r="H21" i="16"/>
  <c r="I21" i="16"/>
  <c r="J21" i="16"/>
  <c r="O21" i="16"/>
  <c r="BD21" i="16"/>
  <c r="BE21" i="16"/>
  <c r="BG21" i="16"/>
  <c r="BH21" i="16"/>
  <c r="BI21" i="16"/>
  <c r="BJ21" i="16"/>
  <c r="BL21" i="16"/>
  <c r="BO21" i="16"/>
  <c r="BP21" i="16"/>
  <c r="BQ21" i="16"/>
  <c r="BR21" i="16"/>
  <c r="BS21" i="16"/>
  <c r="A22" i="16"/>
  <c r="B22" i="16"/>
  <c r="B22" i="16" a="1"/>
  <c r="C22" i="16"/>
  <c r="D22" i="16"/>
  <c r="E22" i="16"/>
  <c r="E22" i="16" a="1"/>
  <c r="F22" i="16"/>
  <c r="G22" i="16"/>
  <c r="G22" i="16" a="1"/>
  <c r="H22" i="16"/>
  <c r="I22" i="16"/>
  <c r="J22" i="16"/>
  <c r="O22" i="16"/>
  <c r="BD22" i="16"/>
  <c r="BE22" i="16"/>
  <c r="BG22" i="16"/>
  <c r="BH22" i="16"/>
  <c r="BI22" i="16"/>
  <c r="BJ22" i="16"/>
  <c r="BL22" i="16"/>
  <c r="BO22" i="16"/>
  <c r="BP22" i="16"/>
  <c r="BQ22" i="16"/>
  <c r="BR22" i="16"/>
  <c r="BS22" i="16"/>
  <c r="A23" i="16"/>
  <c r="B23" i="16"/>
  <c r="B23" i="16" a="1"/>
  <c r="C23" i="16"/>
  <c r="D23" i="16"/>
  <c r="E23" i="16"/>
  <c r="E23" i="16" a="1"/>
  <c r="F23" i="16"/>
  <c r="G23" i="16"/>
  <c r="G23" i="16" a="1"/>
  <c r="H23" i="16"/>
  <c r="I23" i="16"/>
  <c r="J23" i="16"/>
  <c r="O23" i="16"/>
  <c r="BD23" i="16"/>
  <c r="BE23" i="16"/>
  <c r="BG23" i="16"/>
  <c r="BH23" i="16"/>
  <c r="BI23" i="16"/>
  <c r="BJ23" i="16"/>
  <c r="BL23" i="16"/>
  <c r="BO23" i="16"/>
  <c r="BP23" i="16"/>
  <c r="BQ23" i="16"/>
  <c r="BR23" i="16"/>
  <c r="BS23" i="16"/>
  <c r="A24" i="16"/>
  <c r="B24" i="16"/>
  <c r="B24" i="16" a="1"/>
  <c r="C24" i="16"/>
  <c r="D24" i="16"/>
  <c r="E24" i="16"/>
  <c r="E24" i="16" a="1"/>
  <c r="F24" i="16"/>
  <c r="G24" i="16"/>
  <c r="G24" i="16" a="1"/>
  <c r="H24" i="16"/>
  <c r="I24" i="16"/>
  <c r="J24" i="16"/>
  <c r="O24" i="16"/>
  <c r="BD24" i="16"/>
  <c r="BE24" i="16"/>
  <c r="BG24" i="16"/>
  <c r="BH24" i="16"/>
  <c r="BI24" i="16"/>
  <c r="BJ24" i="16"/>
  <c r="BL24" i="16"/>
  <c r="BO24" i="16"/>
  <c r="BP24" i="16"/>
  <c r="BQ24" i="16"/>
  <c r="BR24" i="16"/>
  <c r="BS24" i="16"/>
  <c r="A25" i="16"/>
  <c r="B25" i="16"/>
  <c r="B25" i="16" a="1"/>
  <c r="C25" i="16"/>
  <c r="D25" i="16"/>
  <c r="E25" i="16"/>
  <c r="E25" i="16" a="1"/>
  <c r="F25" i="16"/>
  <c r="G25" i="16"/>
  <c r="G25" i="16" a="1"/>
  <c r="H25" i="16"/>
  <c r="I25" i="16"/>
  <c r="J25" i="16"/>
  <c r="O25" i="16"/>
  <c r="BD25" i="16"/>
  <c r="BE25" i="16"/>
  <c r="BG25" i="16"/>
  <c r="BH25" i="16"/>
  <c r="BI25" i="16"/>
  <c r="BJ25" i="16"/>
  <c r="BL25" i="16"/>
  <c r="BO25" i="16"/>
  <c r="BP25" i="16"/>
  <c r="BQ25" i="16"/>
  <c r="BR25" i="16"/>
  <c r="BS25" i="16"/>
  <c r="A26" i="16"/>
  <c r="B26" i="16"/>
  <c r="B26" i="16" a="1"/>
  <c r="C26" i="16"/>
  <c r="D26" i="16"/>
  <c r="E26" i="16"/>
  <c r="E26" i="16" a="1"/>
  <c r="F26" i="16"/>
  <c r="G26" i="16"/>
  <c r="G26" i="16" a="1"/>
  <c r="H26" i="16"/>
  <c r="I26" i="16"/>
  <c r="J26" i="16"/>
  <c r="O26" i="16"/>
  <c r="BD26" i="16"/>
  <c r="BE26" i="16"/>
  <c r="BG26" i="16"/>
  <c r="BH26" i="16"/>
  <c r="BI26" i="16"/>
  <c r="BJ26" i="16"/>
  <c r="BL26" i="16"/>
  <c r="BO26" i="16"/>
  <c r="BP26" i="16"/>
  <c r="BQ26" i="16"/>
  <c r="BR26" i="16"/>
  <c r="BS26" i="16"/>
  <c r="A27" i="16"/>
  <c r="B27" i="16"/>
  <c r="B27" i="16" a="1"/>
  <c r="C27" i="16"/>
  <c r="D27" i="16"/>
  <c r="E27" i="16"/>
  <c r="E27" i="16" a="1"/>
  <c r="F27" i="16"/>
  <c r="G27" i="16"/>
  <c r="G27" i="16" a="1"/>
  <c r="H27" i="16"/>
  <c r="I27" i="16"/>
  <c r="J27" i="16"/>
  <c r="O27" i="16"/>
  <c r="BD27" i="16"/>
  <c r="BE27" i="16"/>
  <c r="BG27" i="16"/>
  <c r="BH27" i="16"/>
  <c r="BI27" i="16"/>
  <c r="BJ27" i="16"/>
  <c r="BL27" i="16"/>
  <c r="BO27" i="16"/>
  <c r="BP27" i="16"/>
  <c r="BQ27" i="16"/>
  <c r="BR27" i="16"/>
  <c r="BS27" i="16"/>
  <c r="A28" i="16"/>
  <c r="B28" i="16"/>
  <c r="B28" i="16" a="1"/>
  <c r="C28" i="16"/>
  <c r="D28" i="16"/>
  <c r="E28" i="16"/>
  <c r="E28" i="16" a="1"/>
  <c r="F28" i="16"/>
  <c r="G28" i="16"/>
  <c r="G28" i="16" a="1"/>
  <c r="H28" i="16"/>
  <c r="I28" i="16"/>
  <c r="J28" i="16"/>
  <c r="O28" i="16"/>
  <c r="BD28" i="16"/>
  <c r="BE28" i="16"/>
  <c r="BG28" i="16"/>
  <c r="BH28" i="16"/>
  <c r="BI28" i="16"/>
  <c r="BJ28" i="16"/>
  <c r="BL28" i="16"/>
  <c r="BO28" i="16"/>
  <c r="BP28" i="16"/>
  <c r="BQ28" i="16"/>
  <c r="BR28" i="16"/>
  <c r="BS28" i="16"/>
  <c r="A29" i="16"/>
  <c r="B29" i="16"/>
  <c r="B29" i="16" a="1"/>
  <c r="C29" i="16"/>
  <c r="D29" i="16"/>
  <c r="E29" i="16"/>
  <c r="E29" i="16" a="1"/>
  <c r="F29" i="16"/>
  <c r="G29" i="16"/>
  <c r="G29" i="16" a="1"/>
  <c r="H29" i="16"/>
  <c r="I29" i="16"/>
  <c r="J29" i="16"/>
  <c r="O29" i="16"/>
  <c r="BD29" i="16"/>
  <c r="BE29" i="16"/>
  <c r="BG29" i="16"/>
  <c r="BH29" i="16"/>
  <c r="BI29" i="16"/>
  <c r="BJ29" i="16"/>
  <c r="BL29" i="16"/>
  <c r="BO29" i="16"/>
  <c r="BP29" i="16"/>
  <c r="BQ29" i="16"/>
  <c r="BR29" i="16"/>
  <c r="BS29" i="16"/>
  <c r="A30" i="16"/>
  <c r="B30" i="16"/>
  <c r="B30" i="16" a="1"/>
  <c r="C30" i="16"/>
  <c r="D30" i="16"/>
  <c r="E30" i="16"/>
  <c r="E30" i="16" a="1"/>
  <c r="F30" i="16"/>
  <c r="G30" i="16"/>
  <c r="G30" i="16" a="1"/>
  <c r="H30" i="16"/>
  <c r="I30" i="16"/>
  <c r="J30" i="16"/>
  <c r="O30" i="16"/>
  <c r="BD30" i="16"/>
  <c r="BE30" i="16"/>
  <c r="BG30" i="16"/>
  <c r="BH30" i="16"/>
  <c r="BI30" i="16"/>
  <c r="BJ30" i="16"/>
  <c r="BL30" i="16"/>
  <c r="BO30" i="16"/>
  <c r="BP30" i="16"/>
  <c r="BQ30" i="16"/>
  <c r="BR30" i="16"/>
  <c r="BS30" i="16"/>
  <c r="A31" i="16"/>
  <c r="B31" i="16"/>
  <c r="B31" i="16" a="1"/>
  <c r="C31" i="16"/>
  <c r="D31" i="16"/>
  <c r="E31" i="16"/>
  <c r="E31" i="16" a="1"/>
  <c r="F31" i="16"/>
  <c r="G31" i="16"/>
  <c r="G31" i="16" a="1"/>
  <c r="H31" i="16"/>
  <c r="I31" i="16"/>
  <c r="J31" i="16"/>
  <c r="O31" i="16"/>
  <c r="BD31" i="16"/>
  <c r="BE31" i="16"/>
  <c r="BG31" i="16"/>
  <c r="BH31" i="16"/>
  <c r="BI31" i="16"/>
  <c r="BJ31" i="16"/>
  <c r="BL31" i="16"/>
  <c r="BO31" i="16"/>
  <c r="BP31" i="16"/>
  <c r="BQ31" i="16"/>
  <c r="BR31" i="16"/>
  <c r="BS31" i="16"/>
  <c r="A32" i="16"/>
  <c r="B32" i="16"/>
  <c r="B32" i="16" a="1"/>
  <c r="C32" i="16"/>
  <c r="D32" i="16"/>
  <c r="E32" i="16"/>
  <c r="E32" i="16" a="1"/>
  <c r="F32" i="16"/>
  <c r="G32" i="16"/>
  <c r="G32" i="16" a="1"/>
  <c r="H32" i="16"/>
  <c r="I32" i="16"/>
  <c r="J32" i="16"/>
  <c r="O32" i="16"/>
  <c r="BD32" i="16"/>
  <c r="BE32" i="16"/>
  <c r="BG32" i="16"/>
  <c r="BH32" i="16"/>
  <c r="BI32" i="16"/>
  <c r="BJ32" i="16"/>
  <c r="BL32" i="16"/>
  <c r="BO32" i="16"/>
  <c r="BP32" i="16"/>
  <c r="BQ32" i="16"/>
  <c r="BR32" i="16"/>
  <c r="BS32" i="16"/>
  <c r="A33" i="16"/>
  <c r="B33" i="16"/>
  <c r="B33" i="16" a="1"/>
  <c r="C33" i="16"/>
  <c r="D33" i="16"/>
  <c r="E33" i="16"/>
  <c r="E33" i="16" a="1"/>
  <c r="F33" i="16"/>
  <c r="G33" i="16"/>
  <c r="G33" i="16" a="1"/>
  <c r="H33" i="16"/>
  <c r="I33" i="16"/>
  <c r="J33" i="16"/>
  <c r="O33" i="16"/>
  <c r="BD33" i="16"/>
  <c r="BE33" i="16"/>
  <c r="BG33" i="16"/>
  <c r="BH33" i="16"/>
  <c r="BI33" i="16"/>
  <c r="BJ33" i="16"/>
  <c r="BL33" i="16"/>
  <c r="BO33" i="16"/>
  <c r="BP33" i="16"/>
  <c r="BQ33" i="16"/>
  <c r="BR33" i="16"/>
  <c r="BS33" i="16"/>
  <c r="A34" i="16"/>
  <c r="B34" i="16"/>
  <c r="B34" i="16" a="1"/>
  <c r="C34" i="16"/>
  <c r="D34" i="16"/>
  <c r="E34" i="16"/>
  <c r="E34" i="16" a="1"/>
  <c r="F34" i="16"/>
  <c r="G34" i="16"/>
  <c r="G34" i="16" a="1"/>
  <c r="H34" i="16"/>
  <c r="I34" i="16"/>
  <c r="J34" i="16"/>
  <c r="O34" i="16"/>
  <c r="BD34" i="16"/>
  <c r="BE34" i="16"/>
  <c r="BG34" i="16"/>
  <c r="BH34" i="16"/>
  <c r="BI34" i="16"/>
  <c r="BJ34" i="16"/>
  <c r="BL34" i="16"/>
  <c r="BO34" i="16"/>
  <c r="BP34" i="16"/>
  <c r="BQ34" i="16"/>
  <c r="BR34" i="16"/>
  <c r="BS34" i="16"/>
  <c r="A35" i="16"/>
  <c r="B35" i="16"/>
  <c r="B35" i="16" a="1"/>
  <c r="C35" i="16"/>
  <c r="D35" i="16"/>
  <c r="E35" i="16"/>
  <c r="E35" i="16" a="1"/>
  <c r="F35" i="16"/>
  <c r="G35" i="16"/>
  <c r="G35" i="16" a="1"/>
  <c r="H35" i="16"/>
  <c r="I35" i="16"/>
  <c r="J35" i="16"/>
  <c r="O35" i="16"/>
  <c r="BD35" i="16"/>
  <c r="BE35" i="16"/>
  <c r="BG35" i="16"/>
  <c r="BH35" i="16"/>
  <c r="BI35" i="16"/>
  <c r="BJ35" i="16"/>
  <c r="BL35" i="16"/>
  <c r="BO35" i="16"/>
  <c r="BP35" i="16"/>
  <c r="BQ35" i="16"/>
  <c r="BR35" i="16"/>
  <c r="BS35" i="16"/>
  <c r="A36" i="16"/>
  <c r="B36" i="16"/>
  <c r="B36" i="16" a="1"/>
  <c r="C36" i="16"/>
  <c r="D36" i="16"/>
  <c r="E36" i="16"/>
  <c r="E36" i="16" a="1"/>
  <c r="F36" i="16"/>
  <c r="G36" i="16"/>
  <c r="G36" i="16" a="1"/>
  <c r="H36" i="16"/>
  <c r="I36" i="16"/>
  <c r="J36" i="16"/>
  <c r="O36" i="16"/>
  <c r="BD36" i="16"/>
  <c r="BE36" i="16"/>
  <c r="BG36" i="16"/>
  <c r="BH36" i="16"/>
  <c r="BI36" i="16"/>
  <c r="BJ36" i="16"/>
  <c r="BL36" i="16"/>
  <c r="BO36" i="16"/>
  <c r="BP36" i="16"/>
  <c r="BQ36" i="16"/>
  <c r="BR36" i="16"/>
  <c r="BS36" i="16"/>
  <c r="A37" i="16"/>
  <c r="B37" i="16"/>
  <c r="B37" i="16" a="1"/>
  <c r="C37" i="16"/>
  <c r="D37" i="16"/>
  <c r="E37" i="16"/>
  <c r="E37" i="16" a="1"/>
  <c r="F37" i="16"/>
  <c r="G37" i="16"/>
  <c r="G37" i="16" a="1"/>
  <c r="H37" i="16"/>
  <c r="I37" i="16"/>
  <c r="J37" i="16"/>
  <c r="O37" i="16"/>
  <c r="BD37" i="16"/>
  <c r="BE37" i="16"/>
  <c r="BG37" i="16"/>
  <c r="BH37" i="16"/>
  <c r="BI37" i="16"/>
  <c r="BJ37" i="16"/>
  <c r="BL37" i="16"/>
  <c r="BO37" i="16"/>
  <c r="BP37" i="16"/>
  <c r="BQ37" i="16"/>
  <c r="BR37" i="16"/>
  <c r="BS37" i="16"/>
  <c r="A38" i="16"/>
  <c r="B38" i="16"/>
  <c r="B38" i="16" a="1"/>
  <c r="C38" i="16"/>
  <c r="D38" i="16"/>
  <c r="E38" i="16"/>
  <c r="E38" i="16" a="1"/>
  <c r="F38" i="16"/>
  <c r="G38" i="16"/>
  <c r="G38" i="16" a="1"/>
  <c r="H38" i="16"/>
  <c r="I38" i="16"/>
  <c r="J38" i="16"/>
  <c r="O38" i="16"/>
  <c r="BD38" i="16"/>
  <c r="BE38" i="16"/>
  <c r="BG38" i="16"/>
  <c r="BH38" i="16"/>
  <c r="BI38" i="16"/>
  <c r="BJ38" i="16"/>
  <c r="BL38" i="16"/>
  <c r="BO38" i="16"/>
  <c r="BP38" i="16"/>
  <c r="BQ38" i="16"/>
  <c r="BR38" i="16"/>
  <c r="BS38" i="16"/>
  <c r="A39" i="16"/>
  <c r="B39" i="16"/>
  <c r="B39" i="16" a="1"/>
  <c r="C39" i="16"/>
  <c r="D39" i="16"/>
  <c r="E39" i="16"/>
  <c r="E39" i="16" a="1"/>
  <c r="F39" i="16"/>
  <c r="G39" i="16"/>
  <c r="G39" i="16" a="1"/>
  <c r="H39" i="16"/>
  <c r="I39" i="16"/>
  <c r="J39" i="16"/>
  <c r="O39" i="16"/>
  <c r="BD39" i="16"/>
  <c r="BE39" i="16"/>
  <c r="BG39" i="16"/>
  <c r="BH39" i="16"/>
  <c r="BI39" i="16"/>
  <c r="BJ39" i="16"/>
  <c r="BL39" i="16"/>
  <c r="BO39" i="16"/>
  <c r="BP39" i="16"/>
  <c r="BQ39" i="16"/>
  <c r="BR39" i="16"/>
  <c r="BS39" i="16"/>
  <c r="A40" i="16"/>
  <c r="B40" i="16"/>
  <c r="B40" i="16" a="1"/>
  <c r="C40" i="16"/>
  <c r="D40" i="16"/>
  <c r="E40" i="16"/>
  <c r="E40" i="16" a="1"/>
  <c r="F40" i="16"/>
  <c r="G40" i="16"/>
  <c r="G40" i="16" a="1"/>
  <c r="H40" i="16"/>
  <c r="I40" i="16"/>
  <c r="J40" i="16"/>
  <c r="O40" i="16"/>
  <c r="BD40" i="16"/>
  <c r="BE40" i="16"/>
  <c r="BG40" i="16"/>
  <c r="BH40" i="16"/>
  <c r="BI40" i="16"/>
  <c r="BJ40" i="16"/>
  <c r="BL40" i="16"/>
  <c r="BO40" i="16"/>
  <c r="BP40" i="16"/>
  <c r="BQ40" i="16"/>
  <c r="BR40" i="16"/>
  <c r="BS40" i="16"/>
  <c r="A41" i="16"/>
  <c r="B41" i="16"/>
  <c r="B41" i="16" a="1"/>
  <c r="C41" i="16"/>
  <c r="D41" i="16"/>
  <c r="E41" i="16"/>
  <c r="E41" i="16" a="1"/>
  <c r="F41" i="16"/>
  <c r="G41" i="16"/>
  <c r="G41" i="16" a="1"/>
  <c r="H41" i="16"/>
  <c r="I41" i="16"/>
  <c r="J41" i="16"/>
  <c r="O41" i="16"/>
  <c r="BD41" i="16"/>
  <c r="BE41" i="16"/>
  <c r="BG41" i="16"/>
  <c r="BH41" i="16"/>
  <c r="BI41" i="16"/>
  <c r="BJ41" i="16"/>
  <c r="BL41" i="16"/>
  <c r="BO41" i="16"/>
  <c r="BP41" i="16"/>
  <c r="BQ41" i="16"/>
  <c r="BR41" i="16"/>
  <c r="BS41" i="16"/>
  <c r="A42" i="16"/>
  <c r="B42" i="16"/>
  <c r="B42" i="16" a="1"/>
  <c r="C42" i="16"/>
  <c r="D42" i="16"/>
  <c r="E42" i="16"/>
  <c r="E42" i="16" a="1"/>
  <c r="F42" i="16"/>
  <c r="G42" i="16"/>
  <c r="G42" i="16" a="1"/>
  <c r="H42" i="16"/>
  <c r="I42" i="16"/>
  <c r="J42" i="16"/>
  <c r="O42" i="16"/>
  <c r="BD42" i="16"/>
  <c r="BE42" i="16"/>
  <c r="BG42" i="16"/>
  <c r="BH42" i="16"/>
  <c r="BI42" i="16"/>
  <c r="BJ42" i="16"/>
  <c r="BL42" i="16"/>
  <c r="BO42" i="16"/>
  <c r="BP42" i="16"/>
  <c r="BQ42" i="16"/>
  <c r="BR42" i="16"/>
  <c r="BS42" i="16"/>
  <c r="A43" i="16"/>
  <c r="B43" i="16"/>
  <c r="B43" i="16" a="1"/>
  <c r="C43" i="16"/>
  <c r="D43" i="16"/>
  <c r="E43" i="16"/>
  <c r="E43" i="16" a="1"/>
  <c r="F43" i="16"/>
  <c r="G43" i="16"/>
  <c r="G43" i="16" a="1"/>
  <c r="H43" i="16"/>
  <c r="I43" i="16"/>
  <c r="J43" i="16"/>
  <c r="O43" i="16"/>
  <c r="BD43" i="16"/>
  <c r="BE43" i="16"/>
  <c r="BG43" i="16"/>
  <c r="BH43" i="16"/>
  <c r="BI43" i="16"/>
  <c r="BJ43" i="16"/>
  <c r="BL43" i="16"/>
  <c r="BO43" i="16"/>
  <c r="BP43" i="16"/>
  <c r="BQ43" i="16"/>
  <c r="BR43" i="16"/>
  <c r="BS43" i="16"/>
  <c r="A44" i="16"/>
  <c r="B44" i="16"/>
  <c r="B44" i="16" a="1"/>
  <c r="C44" i="16"/>
  <c r="D44" i="16"/>
  <c r="E44" i="16"/>
  <c r="E44" i="16" a="1"/>
  <c r="F44" i="16"/>
  <c r="G44" i="16"/>
  <c r="G44" i="16" a="1"/>
  <c r="H44" i="16"/>
  <c r="I44" i="16"/>
  <c r="J44" i="16"/>
  <c r="O44" i="16"/>
  <c r="BD44" i="16"/>
  <c r="BE44" i="16"/>
  <c r="BG44" i="16"/>
  <c r="BH44" i="16"/>
  <c r="BI44" i="16"/>
  <c r="BJ44" i="16"/>
  <c r="BL44" i="16"/>
  <c r="BO44" i="16"/>
  <c r="BP44" i="16"/>
  <c r="BQ44" i="16"/>
  <c r="BR44" i="16"/>
  <c r="BS44" i="16"/>
  <c r="A45" i="16"/>
  <c r="B45" i="16"/>
  <c r="B45" i="16" a="1"/>
  <c r="C45" i="16"/>
  <c r="D45" i="16"/>
  <c r="E45" i="16"/>
  <c r="E45" i="16" a="1"/>
  <c r="F45" i="16"/>
  <c r="G45" i="16"/>
  <c r="G45" i="16" a="1"/>
  <c r="H45" i="16"/>
  <c r="I45" i="16"/>
  <c r="J45" i="16"/>
  <c r="O45" i="16"/>
  <c r="BD45" i="16"/>
  <c r="BE45" i="16"/>
  <c r="BG45" i="16"/>
  <c r="BH45" i="16"/>
  <c r="BI45" i="16"/>
  <c r="BJ45" i="16"/>
  <c r="BL45" i="16"/>
  <c r="BO45" i="16"/>
  <c r="BP45" i="16"/>
  <c r="BQ45" i="16"/>
  <c r="BR45" i="16"/>
  <c r="BS45" i="16"/>
  <c r="A46" i="16"/>
  <c r="B46" i="16"/>
  <c r="B46" i="16" a="1"/>
  <c r="C46" i="16"/>
  <c r="D46" i="16"/>
  <c r="E46" i="16"/>
  <c r="E46" i="16" a="1"/>
  <c r="F46" i="16"/>
  <c r="G46" i="16"/>
  <c r="G46" i="16" a="1"/>
  <c r="H46" i="16"/>
  <c r="I46" i="16"/>
  <c r="J46" i="16"/>
  <c r="O46" i="16"/>
  <c r="BD46" i="16"/>
  <c r="BE46" i="16"/>
  <c r="BG46" i="16"/>
  <c r="BH46" i="16"/>
  <c r="BI46" i="16"/>
  <c r="BJ46" i="16"/>
  <c r="BL46" i="16"/>
  <c r="BO46" i="16"/>
  <c r="BP46" i="16"/>
  <c r="BQ46" i="16"/>
  <c r="BR46" i="16"/>
  <c r="BS46" i="16"/>
  <c r="A47" i="16"/>
  <c r="B47" i="16"/>
  <c r="B47" i="16" a="1"/>
  <c r="C47" i="16"/>
  <c r="D47" i="16"/>
  <c r="E47" i="16"/>
  <c r="E47" i="16" a="1"/>
  <c r="F47" i="16"/>
  <c r="G47" i="16"/>
  <c r="G47" i="16" a="1"/>
  <c r="H47" i="16"/>
  <c r="I47" i="16"/>
  <c r="J47" i="16"/>
  <c r="O47" i="16"/>
  <c r="BD47" i="16"/>
  <c r="BE47" i="16"/>
  <c r="BG47" i="16"/>
  <c r="BH47" i="16"/>
  <c r="BI47" i="16"/>
  <c r="BJ47" i="16"/>
  <c r="BL47" i="16"/>
  <c r="BO47" i="16"/>
  <c r="BP47" i="16"/>
  <c r="BQ47" i="16"/>
  <c r="BR47" i="16"/>
  <c r="BS47" i="16"/>
  <c r="A48" i="16"/>
  <c r="B48" i="16"/>
  <c r="B48" i="16" a="1"/>
  <c r="C48" i="16"/>
  <c r="D48" i="16"/>
  <c r="E48" i="16"/>
  <c r="E48" i="16" a="1"/>
  <c r="F48" i="16"/>
  <c r="G48" i="16"/>
  <c r="G48" i="16" a="1"/>
  <c r="H48" i="16"/>
  <c r="I48" i="16"/>
  <c r="J48" i="16"/>
  <c r="O48" i="16"/>
  <c r="BD48" i="16"/>
  <c r="BE48" i="16"/>
  <c r="BG48" i="16"/>
  <c r="BH48" i="16"/>
  <c r="BI48" i="16"/>
  <c r="BJ48" i="16"/>
  <c r="BL48" i="16"/>
  <c r="BO48" i="16"/>
  <c r="BP48" i="16"/>
  <c r="BQ48" i="16"/>
  <c r="BR48" i="16"/>
  <c r="BS48" i="16"/>
  <c r="A49" i="16"/>
  <c r="B49" i="16"/>
  <c r="B49" i="16" a="1"/>
  <c r="C49" i="16"/>
  <c r="D49" i="16"/>
  <c r="E49" i="16"/>
  <c r="E49" i="16" a="1"/>
  <c r="F49" i="16"/>
  <c r="G49" i="16"/>
  <c r="G49" i="16" a="1"/>
  <c r="H49" i="16"/>
  <c r="I49" i="16"/>
  <c r="J49" i="16"/>
  <c r="O49" i="16"/>
  <c r="BD49" i="16"/>
  <c r="BE49" i="16"/>
  <c r="BG49" i="16"/>
  <c r="BH49" i="16"/>
  <c r="BI49" i="16"/>
  <c r="BJ49" i="16"/>
  <c r="BL49" i="16"/>
  <c r="BO49" i="16"/>
  <c r="BP49" i="16"/>
  <c r="BQ49" i="16"/>
  <c r="BR49" i="16"/>
  <c r="BS49" i="16"/>
  <c r="A50" i="16"/>
  <c r="B50" i="16"/>
  <c r="B50" i="16" a="1"/>
  <c r="C50" i="16"/>
  <c r="D50" i="16"/>
  <c r="E50" i="16"/>
  <c r="E50" i="16" a="1"/>
  <c r="F50" i="16"/>
  <c r="G50" i="16"/>
  <c r="G50" i="16" a="1"/>
  <c r="H50" i="16"/>
  <c r="I50" i="16"/>
  <c r="J50" i="16"/>
  <c r="O50" i="16"/>
  <c r="BD50" i="16"/>
  <c r="BE50" i="16"/>
  <c r="BG50" i="16"/>
  <c r="BH50" i="16"/>
  <c r="BI50" i="16"/>
  <c r="BJ50" i="16"/>
  <c r="BL50" i="16"/>
  <c r="BO50" i="16"/>
  <c r="BP50" i="16"/>
  <c r="BQ50" i="16"/>
  <c r="BR50" i="16"/>
  <c r="BS50" i="16"/>
  <c r="A51" i="16"/>
  <c r="B51" i="16"/>
  <c r="B51" i="16" a="1"/>
  <c r="C51" i="16"/>
  <c r="D51" i="16"/>
  <c r="E51" i="16"/>
  <c r="E51" i="16" a="1"/>
  <c r="F51" i="16"/>
  <c r="G51" i="16"/>
  <c r="G51" i="16" a="1"/>
  <c r="H51" i="16"/>
  <c r="I51" i="16"/>
  <c r="J51" i="16"/>
  <c r="O51" i="16"/>
  <c r="BD51" i="16"/>
  <c r="BE51" i="16"/>
  <c r="BG51" i="16"/>
  <c r="BH51" i="16"/>
  <c r="BI51" i="16"/>
  <c r="BJ51" i="16"/>
  <c r="BL51" i="16"/>
  <c r="BO51" i="16"/>
  <c r="BP51" i="16"/>
  <c r="BQ51" i="16"/>
  <c r="BR51" i="16"/>
  <c r="BS51" i="16"/>
  <c r="A52" i="16"/>
  <c r="B52" i="16"/>
  <c r="B52" i="16" a="1"/>
  <c r="C52" i="16"/>
  <c r="D52" i="16"/>
  <c r="E52" i="16"/>
  <c r="E52" i="16" a="1"/>
  <c r="F52" i="16"/>
  <c r="G52" i="16"/>
  <c r="G52" i="16" a="1"/>
  <c r="H52" i="16"/>
  <c r="I52" i="16"/>
  <c r="J52" i="16"/>
  <c r="O52" i="16"/>
  <c r="BD52" i="16"/>
  <c r="BE52" i="16"/>
  <c r="BG52" i="16"/>
  <c r="BH52" i="16"/>
  <c r="BI52" i="16"/>
  <c r="BJ52" i="16"/>
  <c r="BL52" i="16"/>
  <c r="BO52" i="16"/>
  <c r="BP52" i="16"/>
  <c r="BQ52" i="16"/>
  <c r="BR52" i="16"/>
  <c r="BS52" i="16"/>
  <c r="A53" i="16"/>
  <c r="B53" i="16"/>
  <c r="B53" i="16" a="1"/>
  <c r="C53" i="16"/>
  <c r="D53" i="16"/>
  <c r="E53" i="16"/>
  <c r="E53" i="16" a="1"/>
  <c r="F53" i="16"/>
  <c r="G53" i="16"/>
  <c r="G53" i="16" a="1"/>
  <c r="H53" i="16"/>
  <c r="I53" i="16"/>
  <c r="J53" i="16"/>
  <c r="O53" i="16"/>
  <c r="BD53" i="16"/>
  <c r="BE53" i="16"/>
  <c r="BG53" i="16"/>
  <c r="BH53" i="16"/>
  <c r="BI53" i="16"/>
  <c r="BJ53" i="16"/>
  <c r="BL53" i="16"/>
  <c r="BO53" i="16"/>
  <c r="BP53" i="16"/>
  <c r="BQ53" i="16"/>
  <c r="BR53" i="16"/>
  <c r="BS53" i="16"/>
  <c r="A54" i="16"/>
  <c r="B54" i="16"/>
  <c r="B54" i="16" a="1"/>
  <c r="C54" i="16"/>
  <c r="D54" i="16"/>
  <c r="E54" i="16"/>
  <c r="E54" i="16" a="1"/>
  <c r="F54" i="16"/>
  <c r="G54" i="16"/>
  <c r="G54" i="16" a="1"/>
  <c r="H54" i="16"/>
  <c r="I54" i="16"/>
  <c r="J54" i="16"/>
  <c r="O54" i="16"/>
  <c r="BD54" i="16"/>
  <c r="BE54" i="16"/>
  <c r="BG54" i="16"/>
  <c r="BH54" i="16"/>
  <c r="BI54" i="16"/>
  <c r="BJ54" i="16"/>
  <c r="BL54" i="16"/>
  <c r="BO54" i="16"/>
  <c r="BP54" i="16"/>
  <c r="BQ54" i="16"/>
  <c r="BR54" i="16"/>
  <c r="BS54" i="16"/>
  <c r="A55" i="16"/>
  <c r="B55" i="16"/>
  <c r="B55" i="16" a="1"/>
  <c r="C55" i="16"/>
  <c r="D55" i="16"/>
  <c r="E55" i="16"/>
  <c r="E55" i="16" a="1"/>
  <c r="F55" i="16"/>
  <c r="G55" i="16"/>
  <c r="G55" i="16" a="1"/>
  <c r="H55" i="16"/>
  <c r="I55" i="16"/>
  <c r="J55" i="16"/>
  <c r="O55" i="16"/>
  <c r="BD55" i="16"/>
  <c r="BE55" i="16"/>
  <c r="BG55" i="16"/>
  <c r="BH55" i="16"/>
  <c r="BI55" i="16"/>
  <c r="BJ55" i="16"/>
  <c r="BL55" i="16"/>
  <c r="BO55" i="16"/>
  <c r="BP55" i="16"/>
  <c r="BQ55" i="16"/>
  <c r="BR55" i="16"/>
  <c r="BS55" i="16"/>
  <c r="A56" i="16"/>
  <c r="B56" i="16"/>
  <c r="B56" i="16" a="1"/>
  <c r="C56" i="16"/>
  <c r="D56" i="16"/>
  <c r="E56" i="16"/>
  <c r="E56" i="16" a="1"/>
  <c r="F56" i="16"/>
  <c r="G56" i="16"/>
  <c r="G56" i="16" a="1"/>
  <c r="H56" i="16"/>
  <c r="I56" i="16"/>
  <c r="J56" i="16"/>
  <c r="O56" i="16"/>
  <c r="BD56" i="16"/>
  <c r="BE56" i="16"/>
  <c r="BG56" i="16"/>
  <c r="BH56" i="16"/>
  <c r="BI56" i="16"/>
  <c r="BJ56" i="16"/>
  <c r="BL56" i="16"/>
  <c r="BO56" i="16"/>
  <c r="BP56" i="16"/>
  <c r="BQ56" i="16"/>
  <c r="BR56" i="16"/>
  <c r="BS56" i="16"/>
  <c r="A57" i="16"/>
  <c r="B57" i="16"/>
  <c r="B57" i="16" a="1"/>
  <c r="C57" i="16"/>
  <c r="D57" i="16"/>
  <c r="E57" i="16"/>
  <c r="E57" i="16" a="1"/>
  <c r="F57" i="16"/>
  <c r="G57" i="16"/>
  <c r="G57" i="16" a="1"/>
  <c r="H57" i="16"/>
  <c r="I57" i="16"/>
  <c r="J57" i="16"/>
  <c r="O57" i="16"/>
  <c r="BD57" i="16"/>
  <c r="BE57" i="16"/>
  <c r="BG57" i="16"/>
  <c r="BH57" i="16"/>
  <c r="BI57" i="16"/>
  <c r="BJ57" i="16"/>
  <c r="BL57" i="16"/>
  <c r="BO57" i="16"/>
  <c r="BP57" i="16"/>
  <c r="BQ57" i="16"/>
  <c r="BR57" i="16"/>
  <c r="BS57" i="16"/>
  <c r="A58" i="16"/>
  <c r="B58" i="16"/>
  <c r="B58" i="16" a="1"/>
  <c r="C58" i="16"/>
  <c r="D58" i="16"/>
  <c r="E58" i="16"/>
  <c r="E58" i="16" a="1"/>
  <c r="F58" i="16"/>
  <c r="G58" i="16"/>
  <c r="G58" i="16" a="1"/>
  <c r="H58" i="16"/>
  <c r="I58" i="16"/>
  <c r="J58" i="16"/>
  <c r="O58" i="16"/>
  <c r="BD58" i="16"/>
  <c r="BE58" i="16"/>
  <c r="BG58" i="16"/>
  <c r="BH58" i="16"/>
  <c r="BI58" i="16"/>
  <c r="BJ58" i="16"/>
  <c r="BL58" i="16"/>
  <c r="BO58" i="16"/>
  <c r="BP58" i="16"/>
  <c r="BQ58" i="16"/>
  <c r="BR58" i="16"/>
  <c r="BS58" i="16"/>
  <c r="A59" i="16"/>
  <c r="B59" i="16"/>
  <c r="B59" i="16" a="1"/>
  <c r="C59" i="16"/>
  <c r="D59" i="16"/>
  <c r="E59" i="16"/>
  <c r="E59" i="16" a="1"/>
  <c r="F59" i="16"/>
  <c r="G59" i="16"/>
  <c r="G59" i="16" a="1"/>
  <c r="H59" i="16"/>
  <c r="I59" i="16"/>
  <c r="J59" i="16"/>
  <c r="O59" i="16"/>
  <c r="BD59" i="16"/>
  <c r="BE59" i="16"/>
  <c r="BG59" i="16"/>
  <c r="BH59" i="16"/>
  <c r="BI59" i="16"/>
  <c r="BJ59" i="16"/>
  <c r="BL59" i="16"/>
  <c r="BO59" i="16"/>
  <c r="BP59" i="16"/>
  <c r="BQ59" i="16"/>
  <c r="BR59" i="16"/>
  <c r="BS59" i="16"/>
  <c r="A60" i="16"/>
  <c r="B60" i="16"/>
  <c r="B60" i="16" a="1"/>
  <c r="C60" i="16"/>
  <c r="D60" i="16"/>
  <c r="E60" i="16"/>
  <c r="E60" i="16" a="1"/>
  <c r="F60" i="16"/>
  <c r="G60" i="16"/>
  <c r="G60" i="16" a="1"/>
  <c r="H60" i="16"/>
  <c r="I60" i="16"/>
  <c r="J60" i="16"/>
  <c r="O60" i="16"/>
  <c r="BD60" i="16"/>
  <c r="BE60" i="16"/>
  <c r="BG60" i="16"/>
  <c r="BH60" i="16"/>
  <c r="BI60" i="16"/>
  <c r="BJ60" i="16"/>
  <c r="BL60" i="16"/>
  <c r="BO60" i="16"/>
  <c r="BP60" i="16"/>
  <c r="BQ60" i="16"/>
  <c r="BR60" i="16"/>
  <c r="BS60" i="16"/>
  <c r="A61" i="16"/>
  <c r="B61" i="16"/>
  <c r="B61" i="16" a="1"/>
  <c r="C61" i="16"/>
  <c r="D61" i="16"/>
  <c r="E61" i="16"/>
  <c r="E61" i="16" a="1"/>
  <c r="F61" i="16"/>
  <c r="G61" i="16"/>
  <c r="G61" i="16" a="1"/>
  <c r="H61" i="16"/>
  <c r="I61" i="16"/>
  <c r="J61" i="16"/>
  <c r="O61" i="16"/>
  <c r="BD61" i="16"/>
  <c r="BE61" i="16"/>
  <c r="BG61" i="16"/>
  <c r="BH61" i="16"/>
  <c r="BI61" i="16"/>
  <c r="BJ61" i="16"/>
  <c r="BL61" i="16"/>
  <c r="BO61" i="16"/>
  <c r="BP61" i="16"/>
  <c r="BQ61" i="16"/>
  <c r="BR61" i="16"/>
  <c r="BS61" i="16"/>
  <c r="A62" i="16"/>
  <c r="B62" i="16"/>
  <c r="B62" i="16" a="1"/>
  <c r="C62" i="16"/>
  <c r="D62" i="16"/>
  <c r="E62" i="16"/>
  <c r="E62" i="16" a="1"/>
  <c r="F62" i="16"/>
  <c r="G62" i="16"/>
  <c r="G62" i="16" a="1"/>
  <c r="H62" i="16"/>
  <c r="I62" i="16"/>
  <c r="J62" i="16"/>
  <c r="O62" i="16"/>
  <c r="BD62" i="16"/>
  <c r="BE62" i="16"/>
  <c r="BG62" i="16"/>
  <c r="BH62" i="16"/>
  <c r="BI62" i="16"/>
  <c r="BJ62" i="16"/>
  <c r="BL62" i="16"/>
  <c r="BO62" i="16"/>
  <c r="BP62" i="16"/>
  <c r="BQ62" i="16"/>
  <c r="BR62" i="16"/>
  <c r="BS62" i="16"/>
  <c r="A63" i="16"/>
  <c r="B63" i="16"/>
  <c r="B63" i="16" a="1"/>
  <c r="C63" i="16"/>
  <c r="D63" i="16"/>
  <c r="E63" i="16"/>
  <c r="E63" i="16" a="1"/>
  <c r="F63" i="16"/>
  <c r="G63" i="16"/>
  <c r="G63" i="16" a="1"/>
  <c r="H63" i="16"/>
  <c r="I63" i="16"/>
  <c r="J63" i="16"/>
  <c r="O63" i="16"/>
  <c r="BD63" i="16"/>
  <c r="BE63" i="16"/>
  <c r="BG63" i="16"/>
  <c r="BH63" i="16"/>
  <c r="BI63" i="16"/>
  <c r="BJ63" i="16"/>
  <c r="BL63" i="16"/>
  <c r="BO63" i="16"/>
  <c r="BP63" i="16"/>
  <c r="BQ63" i="16"/>
  <c r="BR63" i="16"/>
  <c r="BS63" i="16"/>
  <c r="A64" i="16"/>
  <c r="B64" i="16"/>
  <c r="B64" i="16" a="1"/>
  <c r="C64" i="16"/>
  <c r="D64" i="16"/>
  <c r="E64" i="16"/>
  <c r="E64" i="16" a="1"/>
  <c r="F64" i="16"/>
  <c r="G64" i="16"/>
  <c r="G64" i="16" a="1"/>
  <c r="H64" i="16"/>
  <c r="I64" i="16"/>
  <c r="J64" i="16"/>
  <c r="O64" i="16"/>
  <c r="BD64" i="16"/>
  <c r="BE64" i="16"/>
  <c r="BG64" i="16"/>
  <c r="BH64" i="16"/>
  <c r="BI64" i="16"/>
  <c r="BJ64" i="16"/>
  <c r="BL64" i="16"/>
  <c r="BO64" i="16"/>
  <c r="BP64" i="16"/>
  <c r="BQ64" i="16"/>
  <c r="BR64" i="16"/>
  <c r="BS64" i="16"/>
  <c r="A65" i="16"/>
  <c r="B65" i="16"/>
  <c r="B65" i="16" a="1"/>
  <c r="C65" i="16"/>
  <c r="D65" i="16"/>
  <c r="E65" i="16"/>
  <c r="E65" i="16" a="1"/>
  <c r="F65" i="16"/>
  <c r="G65" i="16"/>
  <c r="G65" i="16" a="1"/>
  <c r="H65" i="16"/>
  <c r="I65" i="16"/>
  <c r="J65" i="16"/>
  <c r="O65" i="16"/>
  <c r="BD65" i="16"/>
  <c r="BE65" i="16"/>
  <c r="BG65" i="16"/>
  <c r="BH65" i="16"/>
  <c r="BI65" i="16"/>
  <c r="BJ65" i="16"/>
  <c r="BL65" i="16"/>
  <c r="BO65" i="16"/>
  <c r="BP65" i="16"/>
  <c r="BQ65" i="16"/>
  <c r="BR65" i="16"/>
  <c r="BS65" i="16"/>
  <c r="A66" i="16"/>
  <c r="B66" i="16"/>
  <c r="B66" i="16" a="1"/>
  <c r="C66" i="16"/>
  <c r="D66" i="16"/>
  <c r="E66" i="16"/>
  <c r="E66" i="16" a="1"/>
  <c r="F66" i="16"/>
  <c r="G66" i="16"/>
  <c r="G66" i="16" a="1"/>
  <c r="H66" i="16"/>
  <c r="I66" i="16"/>
  <c r="J66" i="16"/>
  <c r="O66" i="16"/>
  <c r="BD66" i="16"/>
  <c r="BE66" i="16"/>
  <c r="BG66" i="16"/>
  <c r="BH66" i="16"/>
  <c r="BI66" i="16"/>
  <c r="BJ66" i="16"/>
  <c r="BL66" i="16"/>
  <c r="BO66" i="16"/>
  <c r="BP66" i="16"/>
  <c r="BQ66" i="16"/>
  <c r="BR66" i="16"/>
  <c r="BS66" i="16"/>
  <c r="A67" i="16"/>
  <c r="B67" i="16"/>
  <c r="B67" i="16" a="1"/>
  <c r="C67" i="16"/>
  <c r="D67" i="16"/>
  <c r="E67" i="16"/>
  <c r="E67" i="16" a="1"/>
  <c r="F67" i="16"/>
  <c r="G67" i="16"/>
  <c r="G67" i="16" a="1"/>
  <c r="H67" i="16"/>
  <c r="I67" i="16"/>
  <c r="J67" i="16"/>
  <c r="O67" i="16"/>
  <c r="BD67" i="16"/>
  <c r="BE67" i="16"/>
  <c r="BG67" i="16"/>
  <c r="BH67" i="16"/>
  <c r="BI67" i="16"/>
  <c r="BJ67" i="16"/>
  <c r="BL67" i="16"/>
  <c r="BO67" i="16"/>
  <c r="BP67" i="16"/>
  <c r="BQ67" i="16"/>
  <c r="BR67" i="16"/>
  <c r="BS67" i="16"/>
  <c r="A68" i="16"/>
  <c r="B68" i="16"/>
  <c r="B68" i="16" a="1"/>
  <c r="C68" i="16"/>
  <c r="D68" i="16"/>
  <c r="E68" i="16"/>
  <c r="E68" i="16" a="1"/>
  <c r="F68" i="16"/>
  <c r="G68" i="16"/>
  <c r="G68" i="16" a="1"/>
  <c r="H68" i="16"/>
  <c r="I68" i="16"/>
  <c r="J68" i="16"/>
  <c r="O68" i="16"/>
  <c r="BD68" i="16"/>
  <c r="BE68" i="16"/>
  <c r="BG68" i="16"/>
  <c r="BH68" i="16"/>
  <c r="BI68" i="16"/>
  <c r="BJ68" i="16"/>
  <c r="BL68" i="16"/>
  <c r="BO68" i="16"/>
  <c r="BP68" i="16"/>
  <c r="BQ68" i="16"/>
  <c r="BR68" i="16"/>
  <c r="BS68" i="16"/>
  <c r="A69" i="16"/>
  <c r="B69" i="16"/>
  <c r="B69" i="16" a="1"/>
  <c r="C69" i="16"/>
  <c r="D69" i="16"/>
  <c r="E69" i="16"/>
  <c r="E69" i="16" a="1"/>
  <c r="F69" i="16"/>
  <c r="G69" i="16"/>
  <c r="G69" i="16" a="1"/>
  <c r="H69" i="16"/>
  <c r="I69" i="16"/>
  <c r="J69" i="16"/>
  <c r="O69" i="16"/>
  <c r="BD69" i="16"/>
  <c r="BE69" i="16"/>
  <c r="BG69" i="16"/>
  <c r="BH69" i="16"/>
  <c r="BI69" i="16"/>
  <c r="BJ69" i="16"/>
  <c r="BL69" i="16"/>
  <c r="BO69" i="16"/>
  <c r="BP69" i="16"/>
  <c r="BQ69" i="16"/>
  <c r="BR69" i="16"/>
  <c r="BS69" i="16"/>
  <c r="A70" i="16"/>
  <c r="B70" i="16"/>
  <c r="B70" i="16" a="1"/>
  <c r="C70" i="16"/>
  <c r="D70" i="16"/>
  <c r="E70" i="16"/>
  <c r="E70" i="16" a="1"/>
  <c r="F70" i="16"/>
  <c r="G70" i="16"/>
  <c r="G70" i="16" a="1"/>
  <c r="H70" i="16"/>
  <c r="I70" i="16"/>
  <c r="J70" i="16"/>
  <c r="O70" i="16"/>
  <c r="BD70" i="16"/>
  <c r="BE70" i="16"/>
  <c r="BG70" i="16"/>
  <c r="BH70" i="16"/>
  <c r="BI70" i="16"/>
  <c r="BJ70" i="16"/>
  <c r="BL70" i="16"/>
  <c r="BO70" i="16"/>
  <c r="BP70" i="16"/>
  <c r="BQ70" i="16"/>
  <c r="BR70" i="16"/>
  <c r="BS70" i="16"/>
  <c r="A71" i="16"/>
  <c r="B71" i="16"/>
  <c r="B71" i="16" a="1"/>
  <c r="C71" i="16"/>
  <c r="D71" i="16"/>
  <c r="E71" i="16"/>
  <c r="E71" i="16" a="1"/>
  <c r="F71" i="16"/>
  <c r="G71" i="16"/>
  <c r="G71" i="16" a="1"/>
  <c r="H71" i="16"/>
  <c r="I71" i="16"/>
  <c r="J71" i="16"/>
  <c r="O71" i="16"/>
  <c r="BD71" i="16"/>
  <c r="BE71" i="16"/>
  <c r="BG71" i="16"/>
  <c r="BH71" i="16"/>
  <c r="BI71" i="16"/>
  <c r="BJ71" i="16"/>
  <c r="BL71" i="16"/>
  <c r="BO71" i="16"/>
  <c r="BP71" i="16"/>
  <c r="BQ71" i="16"/>
  <c r="BR71" i="16"/>
  <c r="BS71" i="16"/>
  <c r="A72" i="16"/>
  <c r="B72" i="16"/>
  <c r="B72" i="16" a="1"/>
  <c r="C72" i="16"/>
  <c r="D72" i="16"/>
  <c r="E72" i="16"/>
  <c r="E72" i="16" a="1"/>
  <c r="F72" i="16"/>
  <c r="G72" i="16"/>
  <c r="G72" i="16" a="1"/>
  <c r="H72" i="16"/>
  <c r="I72" i="16"/>
  <c r="J72" i="16"/>
  <c r="O72" i="16"/>
  <c r="BD72" i="16"/>
  <c r="BE72" i="16"/>
  <c r="BG72" i="16"/>
  <c r="BH72" i="16"/>
  <c r="BI72" i="16"/>
  <c r="BJ72" i="16"/>
  <c r="BL72" i="16"/>
  <c r="BO72" i="16"/>
  <c r="BP72" i="16"/>
  <c r="BQ72" i="16"/>
  <c r="BR72" i="16"/>
  <c r="BS72" i="16"/>
  <c r="A73" i="16"/>
  <c r="B73" i="16"/>
  <c r="B73" i="16" a="1"/>
  <c r="C73" i="16"/>
  <c r="D73" i="16"/>
  <c r="E73" i="16"/>
  <c r="E73" i="16" a="1"/>
  <c r="F73" i="16"/>
  <c r="G73" i="16"/>
  <c r="G73" i="16" a="1"/>
  <c r="H73" i="16"/>
  <c r="I73" i="16"/>
  <c r="J73" i="16"/>
  <c r="O73" i="16"/>
  <c r="BD73" i="16"/>
  <c r="BE73" i="16"/>
  <c r="BG73" i="16"/>
  <c r="BH73" i="16"/>
  <c r="BI73" i="16"/>
  <c r="BJ73" i="16"/>
  <c r="BL73" i="16"/>
  <c r="BO73" i="16"/>
  <c r="BP73" i="16"/>
  <c r="BQ73" i="16"/>
  <c r="BR73" i="16"/>
  <c r="BS73" i="16"/>
  <c r="A74" i="16"/>
  <c r="B74" i="16"/>
  <c r="B74" i="16" a="1"/>
  <c r="C74" i="16"/>
  <c r="D74" i="16"/>
  <c r="E74" i="16"/>
  <c r="E74" i="16" a="1"/>
  <c r="F74" i="16"/>
  <c r="G74" i="16"/>
  <c r="G74" i="16" a="1"/>
  <c r="H74" i="16"/>
  <c r="I74" i="16"/>
  <c r="J74" i="16"/>
  <c r="O74" i="16"/>
  <c r="BD74" i="16"/>
  <c r="BE74" i="16"/>
  <c r="BG74" i="16"/>
  <c r="BH74" i="16"/>
  <c r="BI74" i="16"/>
  <c r="BJ74" i="16"/>
  <c r="BL74" i="16"/>
  <c r="BO74" i="16"/>
  <c r="BP74" i="16"/>
  <c r="BQ74" i="16"/>
  <c r="BR74" i="16"/>
  <c r="BS74" i="16"/>
  <c r="A75" i="16"/>
  <c r="B75" i="16"/>
  <c r="B75" i="16" a="1"/>
  <c r="C75" i="16"/>
  <c r="D75" i="16"/>
  <c r="E75" i="16"/>
  <c r="E75" i="16" a="1"/>
  <c r="F75" i="16"/>
  <c r="G75" i="16"/>
  <c r="G75" i="16" a="1"/>
  <c r="H75" i="16"/>
  <c r="I75" i="16"/>
  <c r="J75" i="16"/>
  <c r="O75" i="16"/>
  <c r="BD75" i="16"/>
  <c r="BE75" i="16"/>
  <c r="BG75" i="16"/>
  <c r="BH75" i="16"/>
  <c r="BI75" i="16"/>
  <c r="BJ75" i="16"/>
  <c r="BL75" i="16"/>
  <c r="BO75" i="16"/>
  <c r="BP75" i="16"/>
  <c r="BQ75" i="16"/>
  <c r="BR75" i="16"/>
  <c r="BS75" i="16"/>
  <c r="A76" i="16"/>
  <c r="B76" i="16"/>
  <c r="B76" i="16" a="1"/>
  <c r="C76" i="16"/>
  <c r="D76" i="16"/>
  <c r="E76" i="16"/>
  <c r="E76" i="16" a="1"/>
  <c r="F76" i="16"/>
  <c r="G76" i="16"/>
  <c r="G76" i="16" a="1"/>
  <c r="H76" i="16"/>
  <c r="I76" i="16"/>
  <c r="J76" i="16"/>
  <c r="O76" i="16"/>
  <c r="BD76" i="16"/>
  <c r="BE76" i="16"/>
  <c r="BG76" i="16"/>
  <c r="BH76" i="16"/>
  <c r="BI76" i="16"/>
  <c r="BJ76" i="16"/>
  <c r="BL76" i="16"/>
  <c r="BO76" i="16"/>
  <c r="BP76" i="16"/>
  <c r="BQ76" i="16"/>
  <c r="BR76" i="16"/>
  <c r="BS76" i="16"/>
  <c r="A77" i="16"/>
  <c r="B77" i="16"/>
  <c r="B77" i="16" a="1"/>
  <c r="C77" i="16"/>
  <c r="D77" i="16"/>
  <c r="E77" i="16"/>
  <c r="E77" i="16" a="1"/>
  <c r="F77" i="16"/>
  <c r="G77" i="16"/>
  <c r="G77" i="16" a="1"/>
  <c r="H77" i="16"/>
  <c r="I77" i="16"/>
  <c r="J77" i="16"/>
  <c r="O77" i="16"/>
  <c r="BD77" i="16"/>
  <c r="BE77" i="16"/>
  <c r="BG77" i="16"/>
  <c r="BH77" i="16"/>
  <c r="BI77" i="16"/>
  <c r="BJ77" i="16"/>
  <c r="BL77" i="16"/>
  <c r="BO77" i="16"/>
  <c r="BP77" i="16"/>
  <c r="BQ77" i="16"/>
  <c r="BR77" i="16"/>
  <c r="BS77" i="16"/>
  <c r="A78" i="16"/>
  <c r="B78" i="16"/>
  <c r="B78" i="16" a="1"/>
  <c r="C78" i="16"/>
  <c r="D78" i="16"/>
  <c r="E78" i="16"/>
  <c r="E78" i="16" a="1"/>
  <c r="F78" i="16"/>
  <c r="G78" i="16"/>
  <c r="G78" i="16" a="1"/>
  <c r="H78" i="16"/>
  <c r="I78" i="16"/>
  <c r="J78" i="16"/>
  <c r="O78" i="16"/>
  <c r="BD78" i="16"/>
  <c r="BE78" i="16"/>
  <c r="BG78" i="16"/>
  <c r="BH78" i="16"/>
  <c r="BI78" i="16"/>
  <c r="BJ78" i="16"/>
  <c r="BL78" i="16"/>
  <c r="BO78" i="16"/>
  <c r="BP78" i="16"/>
  <c r="BQ78" i="16"/>
  <c r="BR78" i="16"/>
  <c r="BS78" i="16"/>
  <c r="A79" i="16"/>
  <c r="B79" i="16"/>
  <c r="B79" i="16" a="1"/>
  <c r="C79" i="16"/>
  <c r="D79" i="16"/>
  <c r="E79" i="16"/>
  <c r="E79" i="16" a="1"/>
  <c r="F79" i="16"/>
  <c r="G79" i="16"/>
  <c r="G79" i="16" a="1"/>
  <c r="H79" i="16"/>
  <c r="I79" i="16"/>
  <c r="J79" i="16"/>
  <c r="O79" i="16"/>
  <c r="BD79" i="16"/>
  <c r="BE79" i="16"/>
  <c r="BG79" i="16"/>
  <c r="BH79" i="16"/>
  <c r="BI79" i="16"/>
  <c r="BJ79" i="16"/>
  <c r="BL79" i="16"/>
  <c r="BO79" i="16"/>
  <c r="BP79" i="16"/>
  <c r="BQ79" i="16"/>
  <c r="BR79" i="16"/>
  <c r="BS79" i="16"/>
  <c r="A80" i="16"/>
  <c r="B80" i="16"/>
  <c r="B80" i="16" a="1"/>
  <c r="C80" i="16"/>
  <c r="D80" i="16"/>
  <c r="E80" i="16"/>
  <c r="E80" i="16" a="1"/>
  <c r="F80" i="16"/>
  <c r="G80" i="16"/>
  <c r="G80" i="16" a="1"/>
  <c r="H80" i="16"/>
  <c r="I80" i="16"/>
  <c r="J80" i="16"/>
  <c r="O80" i="16"/>
  <c r="BD80" i="16"/>
  <c r="BE80" i="16"/>
  <c r="BG80" i="16"/>
  <c r="BH80" i="16"/>
  <c r="BI80" i="16"/>
  <c r="BJ80" i="16"/>
  <c r="BL80" i="16"/>
  <c r="BO80" i="16"/>
  <c r="BP80" i="16"/>
  <c r="BQ80" i="16"/>
  <c r="BR80" i="16"/>
  <c r="BS80" i="16"/>
  <c r="A81" i="16"/>
  <c r="B81" i="16"/>
  <c r="B81" i="16" a="1"/>
  <c r="C81" i="16"/>
  <c r="D81" i="16"/>
  <c r="E81" i="16"/>
  <c r="E81" i="16" a="1"/>
  <c r="F81" i="16"/>
  <c r="G81" i="16"/>
  <c r="G81" i="16" a="1"/>
  <c r="H81" i="16"/>
  <c r="I81" i="16"/>
  <c r="J81" i="16"/>
  <c r="O81" i="16"/>
  <c r="BD81" i="16"/>
  <c r="BE81" i="16"/>
  <c r="BG81" i="16"/>
  <c r="BH81" i="16"/>
  <c r="BI81" i="16"/>
  <c r="BJ81" i="16"/>
  <c r="BL81" i="16"/>
  <c r="BO81" i="16"/>
  <c r="BP81" i="16"/>
  <c r="BQ81" i="16"/>
  <c r="BR81" i="16"/>
  <c r="BS81" i="16"/>
  <c r="A82" i="16"/>
  <c r="B82" i="16"/>
  <c r="B82" i="16" a="1"/>
  <c r="C82" i="16"/>
  <c r="D82" i="16"/>
  <c r="E82" i="16"/>
  <c r="E82" i="16" a="1"/>
  <c r="F82" i="16"/>
  <c r="G82" i="16"/>
  <c r="G82" i="16" a="1"/>
  <c r="H82" i="16"/>
  <c r="I82" i="16"/>
  <c r="J82" i="16"/>
  <c r="O82" i="16"/>
  <c r="BD82" i="16"/>
  <c r="BE82" i="16"/>
  <c r="BG82" i="16"/>
  <c r="BH82" i="16"/>
  <c r="BI82" i="16"/>
  <c r="BJ82" i="16"/>
  <c r="BL82" i="16"/>
  <c r="BO82" i="16"/>
  <c r="BP82" i="16"/>
  <c r="BQ82" i="16"/>
  <c r="BR82" i="16"/>
  <c r="BS82" i="16"/>
  <c r="A83" i="16"/>
  <c r="B83" i="16"/>
  <c r="B83" i="16" a="1"/>
  <c r="C83" i="16"/>
  <c r="D83" i="16"/>
  <c r="E83" i="16"/>
  <c r="E83" i="16" a="1"/>
  <c r="F83" i="16"/>
  <c r="G83" i="16"/>
  <c r="G83" i="16" a="1"/>
  <c r="H83" i="16"/>
  <c r="I83" i="16"/>
  <c r="J83" i="16"/>
  <c r="O83" i="16"/>
  <c r="BD83" i="16"/>
  <c r="BE83" i="16"/>
  <c r="BG83" i="16"/>
  <c r="BH83" i="16"/>
  <c r="BI83" i="16"/>
  <c r="BJ83" i="16"/>
  <c r="BL83" i="16"/>
  <c r="BO83" i="16"/>
  <c r="BP83" i="16"/>
  <c r="BQ83" i="16"/>
  <c r="BR83" i="16"/>
  <c r="BS83" i="16"/>
  <c r="A84" i="16"/>
  <c r="B84" i="16"/>
  <c r="B84" i="16" a="1"/>
  <c r="C84" i="16"/>
  <c r="D84" i="16"/>
  <c r="E84" i="16"/>
  <c r="E84" i="16" a="1"/>
  <c r="F84" i="16"/>
  <c r="G84" i="16"/>
  <c r="G84" i="16" a="1"/>
  <c r="H84" i="16"/>
  <c r="I84" i="16"/>
  <c r="J84" i="16"/>
  <c r="O84" i="16"/>
  <c r="BD84" i="16"/>
  <c r="BE84" i="16"/>
  <c r="BG84" i="16"/>
  <c r="BH84" i="16"/>
  <c r="BI84" i="16"/>
  <c r="BJ84" i="16"/>
  <c r="BL84" i="16"/>
  <c r="BO84" i="16"/>
  <c r="BP84" i="16"/>
  <c r="BQ84" i="16"/>
  <c r="BR84" i="16"/>
  <c r="BS84" i="16"/>
  <c r="A85" i="16"/>
  <c r="B85" i="16"/>
  <c r="B85" i="16" a="1"/>
  <c r="C85" i="16"/>
  <c r="D85" i="16"/>
  <c r="E85" i="16"/>
  <c r="E85" i="16" a="1"/>
  <c r="F85" i="16"/>
  <c r="G85" i="16"/>
  <c r="G85" i="16" a="1"/>
  <c r="H85" i="16"/>
  <c r="I85" i="16"/>
  <c r="J85" i="16"/>
  <c r="O85" i="16"/>
  <c r="BD85" i="16"/>
  <c r="BE85" i="16"/>
  <c r="BG85" i="16"/>
  <c r="BH85" i="16"/>
  <c r="BI85" i="16"/>
  <c r="BJ85" i="16"/>
  <c r="BL85" i="16"/>
  <c r="BO85" i="16"/>
  <c r="BP85" i="16"/>
  <c r="BQ85" i="16"/>
  <c r="BR85" i="16"/>
  <c r="BS85" i="16"/>
  <c r="A86" i="16"/>
  <c r="B86" i="16"/>
  <c r="B86" i="16" a="1"/>
  <c r="C86" i="16"/>
  <c r="D86" i="16"/>
  <c r="E86" i="16"/>
  <c r="E86" i="16" a="1"/>
  <c r="F86" i="16"/>
  <c r="G86" i="16"/>
  <c r="G86" i="16" a="1"/>
  <c r="H86" i="16"/>
  <c r="I86" i="16"/>
  <c r="J86" i="16"/>
  <c r="O86" i="16"/>
  <c r="BD86" i="16"/>
  <c r="BE86" i="16"/>
  <c r="BG86" i="16"/>
  <c r="BH86" i="16"/>
  <c r="BI86" i="16"/>
  <c r="BJ86" i="16"/>
  <c r="BL86" i="16"/>
  <c r="BO86" i="16"/>
  <c r="BP86" i="16"/>
  <c r="BQ86" i="16"/>
  <c r="BR86" i="16"/>
  <c r="BS86" i="16"/>
  <c r="A87" i="16"/>
  <c r="B87" i="16"/>
  <c r="B87" i="16" a="1"/>
  <c r="C87" i="16"/>
  <c r="D87" i="16"/>
  <c r="E87" i="16"/>
  <c r="E87" i="16" a="1"/>
  <c r="F87" i="16"/>
  <c r="G87" i="16"/>
  <c r="G87" i="16" a="1"/>
  <c r="H87" i="16"/>
  <c r="I87" i="16"/>
  <c r="J87" i="16"/>
  <c r="O87" i="16"/>
  <c r="BD87" i="16"/>
  <c r="BE87" i="16"/>
  <c r="BG87" i="16"/>
  <c r="BH87" i="16"/>
  <c r="BI87" i="16"/>
  <c r="BJ87" i="16"/>
  <c r="BL87" i="16"/>
  <c r="BO87" i="16"/>
  <c r="BP87" i="16"/>
  <c r="BQ87" i="16"/>
  <c r="BR87" i="16"/>
  <c r="BS87" i="16"/>
  <c r="A88" i="16"/>
  <c r="B88" i="16"/>
  <c r="B88" i="16" a="1"/>
  <c r="C88" i="16"/>
  <c r="D88" i="16"/>
  <c r="E88" i="16"/>
  <c r="E88" i="16" a="1"/>
  <c r="F88" i="16"/>
  <c r="G88" i="16"/>
  <c r="G88" i="16" a="1"/>
  <c r="H88" i="16"/>
  <c r="I88" i="16"/>
  <c r="J88" i="16"/>
  <c r="O88" i="16"/>
  <c r="BD88" i="16"/>
  <c r="BE88" i="16"/>
  <c r="BG88" i="16"/>
  <c r="BH88" i="16"/>
  <c r="BI88" i="16"/>
  <c r="BJ88" i="16"/>
  <c r="BL88" i="16"/>
  <c r="BO88" i="16"/>
  <c r="BP88" i="16"/>
  <c r="BQ88" i="16"/>
  <c r="BR88" i="16"/>
  <c r="BS88" i="16"/>
  <c r="A89" i="16"/>
  <c r="B89" i="16"/>
  <c r="B89" i="16" a="1"/>
  <c r="C89" i="16"/>
  <c r="D89" i="16"/>
  <c r="E89" i="16"/>
  <c r="E89" i="16" a="1"/>
  <c r="F89" i="16"/>
  <c r="G89" i="16"/>
  <c r="G89" i="16" a="1"/>
  <c r="H89" i="16"/>
  <c r="I89" i="16"/>
  <c r="J89" i="16"/>
  <c r="O89" i="16"/>
  <c r="BD89" i="16"/>
  <c r="BE89" i="16"/>
  <c r="BG89" i="16"/>
  <c r="BH89" i="16"/>
  <c r="BI89" i="16"/>
  <c r="BJ89" i="16"/>
  <c r="BL89" i="16"/>
  <c r="BO89" i="16"/>
  <c r="BP89" i="16"/>
  <c r="BQ89" i="16"/>
  <c r="BR89" i="16"/>
  <c r="BS89" i="16"/>
  <c r="A90" i="16"/>
  <c r="B90" i="16"/>
  <c r="B90" i="16" a="1"/>
  <c r="C90" i="16"/>
  <c r="D90" i="16"/>
  <c r="E90" i="16"/>
  <c r="E90" i="16" a="1"/>
  <c r="F90" i="16"/>
  <c r="G90" i="16"/>
  <c r="G90" i="16" a="1"/>
  <c r="H90" i="16"/>
  <c r="I90" i="16"/>
  <c r="J90" i="16"/>
  <c r="O90" i="16"/>
  <c r="BD90" i="16"/>
  <c r="BE90" i="16"/>
  <c r="BG90" i="16"/>
  <c r="BH90" i="16"/>
  <c r="BI90" i="16"/>
  <c r="BJ90" i="16"/>
  <c r="BL90" i="16"/>
  <c r="BO90" i="16"/>
  <c r="BP90" i="16"/>
  <c r="BQ90" i="16"/>
  <c r="BR90" i="16"/>
  <c r="BS90" i="16"/>
  <c r="A91" i="16"/>
  <c r="B91" i="16"/>
  <c r="B91" i="16" a="1"/>
  <c r="C91" i="16"/>
  <c r="D91" i="16"/>
  <c r="E91" i="16"/>
  <c r="E91" i="16" a="1"/>
  <c r="F91" i="16"/>
  <c r="G91" i="16"/>
  <c r="G91" i="16" a="1"/>
  <c r="H91" i="16"/>
  <c r="I91" i="16"/>
  <c r="J91" i="16"/>
  <c r="O91" i="16"/>
  <c r="BD91" i="16"/>
  <c r="BE91" i="16"/>
  <c r="BG91" i="16"/>
  <c r="BH91" i="16"/>
  <c r="BI91" i="16"/>
  <c r="BJ91" i="16"/>
  <c r="BL91" i="16"/>
  <c r="BO91" i="16"/>
  <c r="BP91" i="16"/>
  <c r="BQ91" i="16"/>
  <c r="BR91" i="16"/>
  <c r="BS91" i="16"/>
  <c r="A92" i="16"/>
  <c r="B92" i="16"/>
  <c r="B92" i="16" a="1"/>
  <c r="C92" i="16"/>
  <c r="D92" i="16"/>
  <c r="E92" i="16"/>
  <c r="E92" i="16" a="1"/>
  <c r="F92" i="16"/>
  <c r="G92" i="16"/>
  <c r="G92" i="16" a="1"/>
  <c r="H92" i="16"/>
  <c r="I92" i="16"/>
  <c r="J92" i="16"/>
  <c r="O92" i="16"/>
  <c r="BD92" i="16"/>
  <c r="BE92" i="16"/>
  <c r="BG92" i="16"/>
  <c r="BH92" i="16"/>
  <c r="BI92" i="16"/>
  <c r="BJ92" i="16"/>
  <c r="BL92" i="16"/>
  <c r="BO92" i="16"/>
  <c r="BP92" i="16"/>
  <c r="BQ92" i="16"/>
  <c r="BR92" i="16"/>
  <c r="BS92" i="16"/>
  <c r="A93" i="16"/>
  <c r="B93" i="16"/>
  <c r="B93" i="16" a="1"/>
  <c r="C93" i="16"/>
  <c r="D93" i="16"/>
  <c r="E93" i="16"/>
  <c r="E93" i="16" a="1"/>
  <c r="F93" i="16"/>
  <c r="G93" i="16"/>
  <c r="G93" i="16" a="1"/>
  <c r="H93" i="16"/>
  <c r="I93" i="16"/>
  <c r="J93" i="16"/>
  <c r="O93" i="16"/>
  <c r="BD93" i="16"/>
  <c r="BE93" i="16"/>
  <c r="BG93" i="16"/>
  <c r="BH93" i="16"/>
  <c r="BI93" i="16"/>
  <c r="BJ93" i="16"/>
  <c r="BL93" i="16"/>
  <c r="BO93" i="16"/>
  <c r="BP93" i="16"/>
  <c r="BQ93" i="16"/>
  <c r="BR93" i="16"/>
  <c r="BS93" i="16"/>
  <c r="A94" i="16"/>
  <c r="B94" i="16"/>
  <c r="B94" i="16" a="1"/>
  <c r="C94" i="16"/>
  <c r="D94" i="16"/>
  <c r="E94" i="16"/>
  <c r="E94" i="16" a="1"/>
  <c r="F94" i="16"/>
  <c r="G94" i="16"/>
  <c r="G94" i="16" a="1"/>
  <c r="H94" i="16"/>
  <c r="I94" i="16"/>
  <c r="J94" i="16"/>
  <c r="O94" i="16"/>
  <c r="BD94" i="16"/>
  <c r="BE94" i="16"/>
  <c r="BG94" i="16"/>
  <c r="BH94" i="16"/>
  <c r="BI94" i="16"/>
  <c r="BJ94" i="16"/>
  <c r="BL94" i="16"/>
  <c r="BO94" i="16"/>
  <c r="BP94" i="16"/>
  <c r="BQ94" i="16"/>
  <c r="BR94" i="16"/>
  <c r="BS94" i="16"/>
  <c r="A95" i="16"/>
  <c r="B95" i="16"/>
  <c r="B95" i="16" a="1"/>
  <c r="C95" i="16"/>
  <c r="D95" i="16"/>
  <c r="E95" i="16"/>
  <c r="E95" i="16" a="1"/>
  <c r="F95" i="16"/>
  <c r="G95" i="16"/>
  <c r="G95" i="16" a="1"/>
  <c r="H95" i="16"/>
  <c r="I95" i="16"/>
  <c r="J95" i="16"/>
  <c r="O95" i="16"/>
  <c r="BD95" i="16"/>
  <c r="BE95" i="16"/>
  <c r="BG95" i="16"/>
  <c r="BH95" i="16"/>
  <c r="BI95" i="16"/>
  <c r="BJ95" i="16"/>
  <c r="BL95" i="16"/>
  <c r="BO95" i="16"/>
  <c r="BP95" i="16"/>
  <c r="BQ95" i="16"/>
  <c r="BR95" i="16"/>
  <c r="BS95" i="16"/>
  <c r="A96" i="16"/>
  <c r="B96" i="16"/>
  <c r="B96" i="16" a="1"/>
  <c r="C96" i="16"/>
  <c r="D96" i="16"/>
  <c r="E96" i="16"/>
  <c r="E96" i="16" a="1"/>
  <c r="F96" i="16"/>
  <c r="G96" i="16"/>
  <c r="G96" i="16" a="1"/>
  <c r="H96" i="16"/>
  <c r="I96" i="16"/>
  <c r="J96" i="16"/>
  <c r="O96" i="16"/>
  <c r="BD96" i="16"/>
  <c r="BE96" i="16"/>
  <c r="BG96" i="16"/>
  <c r="BH96" i="16"/>
  <c r="BI96" i="16"/>
  <c r="BJ96" i="16"/>
  <c r="BL96" i="16"/>
  <c r="BO96" i="16"/>
  <c r="BP96" i="16"/>
  <c r="BQ96" i="16"/>
  <c r="BR96" i="16"/>
  <c r="BS96" i="16"/>
  <c r="A97" i="16"/>
  <c r="B97" i="16"/>
  <c r="B97" i="16" a="1"/>
  <c r="C97" i="16"/>
  <c r="D97" i="16"/>
  <c r="E97" i="16"/>
  <c r="E97" i="16" a="1"/>
  <c r="F97" i="16"/>
  <c r="G97" i="16"/>
  <c r="G97" i="16" a="1"/>
  <c r="H97" i="16"/>
  <c r="I97" i="16"/>
  <c r="J97" i="16"/>
  <c r="O97" i="16"/>
  <c r="BD97" i="16"/>
  <c r="BE97" i="16"/>
  <c r="BG97" i="16"/>
  <c r="BH97" i="16"/>
  <c r="BI97" i="16"/>
  <c r="BJ97" i="16"/>
  <c r="BL97" i="16"/>
  <c r="BO97" i="16"/>
  <c r="BP97" i="16"/>
  <c r="BQ97" i="16"/>
  <c r="BR97" i="16"/>
  <c r="BS97" i="16"/>
  <c r="A98" i="16"/>
  <c r="B98" i="16"/>
  <c r="B98" i="16" a="1"/>
  <c r="C98" i="16"/>
  <c r="D98" i="16"/>
  <c r="E98" i="16"/>
  <c r="E98" i="16" a="1"/>
  <c r="F98" i="16"/>
  <c r="G98" i="16"/>
  <c r="G98" i="16" a="1"/>
  <c r="H98" i="16"/>
  <c r="I98" i="16"/>
  <c r="J98" i="16"/>
  <c r="O98" i="16"/>
  <c r="BD98" i="16"/>
  <c r="BE98" i="16"/>
  <c r="BG98" i="16"/>
  <c r="BH98" i="16"/>
  <c r="BI98" i="16"/>
  <c r="BJ98" i="16"/>
  <c r="BL98" i="16"/>
  <c r="BO98" i="16"/>
  <c r="BP98" i="16"/>
  <c r="BQ98" i="16"/>
  <c r="BR98" i="16"/>
  <c r="BS98" i="16"/>
  <c r="A99" i="16"/>
  <c r="B99" i="16"/>
  <c r="B99" i="16" a="1"/>
  <c r="C99" i="16"/>
  <c r="D99" i="16"/>
  <c r="E99" i="16"/>
  <c r="E99" i="16" a="1"/>
  <c r="F99" i="16"/>
  <c r="G99" i="16"/>
  <c r="G99" i="16" a="1"/>
  <c r="H99" i="16"/>
  <c r="I99" i="16"/>
  <c r="J99" i="16"/>
  <c r="O99" i="16"/>
  <c r="BD99" i="16"/>
  <c r="BE99" i="16"/>
  <c r="BG99" i="16"/>
  <c r="BH99" i="16"/>
  <c r="BI99" i="16"/>
  <c r="BJ99" i="16"/>
  <c r="BL99" i="16"/>
  <c r="BO99" i="16"/>
  <c r="BP99" i="16"/>
  <c r="BQ99" i="16"/>
  <c r="BR99" i="16"/>
  <c r="BS99" i="16"/>
  <c r="A100" i="16"/>
  <c r="B100" i="16"/>
  <c r="B100" i="16" a="1"/>
  <c r="C100" i="16"/>
  <c r="D100" i="16"/>
  <c r="E100" i="16"/>
  <c r="E100" i="16" a="1"/>
  <c r="F100" i="16"/>
  <c r="G100" i="16"/>
  <c r="G100" i="16" a="1"/>
  <c r="H100" i="16"/>
  <c r="I100" i="16"/>
  <c r="J100" i="16"/>
  <c r="O100" i="16"/>
  <c r="BD100" i="16"/>
  <c r="BE100" i="16"/>
  <c r="BG100" i="16"/>
  <c r="BH100" i="16"/>
  <c r="BI100" i="16"/>
  <c r="BJ100" i="16"/>
  <c r="BL100" i="16"/>
  <c r="BO100" i="16"/>
  <c r="BP100" i="16"/>
  <c r="BQ100" i="16"/>
  <c r="BR100" i="16"/>
  <c r="BS100" i="16"/>
  <c r="A101" i="16"/>
  <c r="B101" i="16"/>
  <c r="B101" i="16" a="1"/>
  <c r="C101" i="16"/>
  <c r="D101" i="16"/>
  <c r="E101" i="16"/>
  <c r="E101" i="16" a="1"/>
  <c r="F101" i="16"/>
  <c r="G101" i="16"/>
  <c r="G101" i="16" a="1"/>
  <c r="H101" i="16"/>
  <c r="I101" i="16"/>
  <c r="J101" i="16"/>
  <c r="O101" i="16"/>
  <c r="BD101" i="16"/>
  <c r="BE101" i="16"/>
  <c r="BG101" i="16"/>
  <c r="BH101" i="16"/>
  <c r="BI101" i="16"/>
  <c r="BJ101" i="16"/>
  <c r="BL101" i="16"/>
  <c r="BO101" i="16"/>
  <c r="BP101" i="16"/>
  <c r="BQ101" i="16"/>
  <c r="BR101" i="16"/>
  <c r="BS101" i="16"/>
  <c r="A102" i="16"/>
  <c r="B102" i="16"/>
  <c r="B102" i="16" a="1"/>
  <c r="C102" i="16"/>
  <c r="D102" i="16"/>
  <c r="E102" i="16"/>
  <c r="E102" i="16" a="1"/>
  <c r="F102" i="16"/>
  <c r="G102" i="16"/>
  <c r="G102" i="16" a="1"/>
  <c r="H102" i="16"/>
  <c r="I102" i="16"/>
  <c r="J102" i="16"/>
  <c r="O102" i="16"/>
  <c r="BD102" i="16"/>
  <c r="BE102" i="16"/>
  <c r="BG102" i="16"/>
  <c r="BH102" i="16"/>
  <c r="BI102" i="16"/>
  <c r="BJ102" i="16"/>
  <c r="BL102" i="16"/>
  <c r="BO102" i="16"/>
  <c r="BP102" i="16"/>
  <c r="BQ102" i="16"/>
  <c r="BR102" i="16"/>
  <c r="BS102" i="16"/>
  <c r="A103" i="16"/>
  <c r="B103" i="16"/>
  <c r="B103" i="16" a="1"/>
  <c r="C103" i="16"/>
  <c r="D103" i="16"/>
  <c r="E103" i="16"/>
  <c r="E103" i="16" a="1"/>
  <c r="F103" i="16"/>
  <c r="G103" i="16"/>
  <c r="G103" i="16" a="1"/>
  <c r="H103" i="16"/>
  <c r="I103" i="16"/>
  <c r="J103" i="16"/>
  <c r="O103" i="16"/>
  <c r="BD103" i="16"/>
  <c r="BE103" i="16"/>
  <c r="BG103" i="16"/>
  <c r="BH103" i="16"/>
  <c r="BI103" i="16"/>
  <c r="BJ103" i="16"/>
  <c r="BL103" i="16"/>
  <c r="BO103" i="16"/>
  <c r="BP103" i="16"/>
  <c r="BQ103" i="16"/>
  <c r="BR103" i="16"/>
  <c r="BS103" i="16"/>
  <c r="A104" i="16"/>
  <c r="B104" i="16"/>
  <c r="B104" i="16" a="1"/>
  <c r="C104" i="16"/>
  <c r="D104" i="16"/>
  <c r="E104" i="16"/>
  <c r="E104" i="16" a="1"/>
  <c r="F104" i="16"/>
  <c r="G104" i="16"/>
  <c r="G104" i="16" a="1"/>
  <c r="H104" i="16"/>
  <c r="I104" i="16"/>
  <c r="J104" i="16"/>
  <c r="O104" i="16"/>
  <c r="BD104" i="16"/>
  <c r="BE104" i="16"/>
  <c r="BG104" i="16"/>
  <c r="BH104" i="16"/>
  <c r="BI104" i="16"/>
  <c r="BJ104" i="16"/>
  <c r="BL104" i="16"/>
  <c r="BO104" i="16"/>
  <c r="BP104" i="16"/>
  <c r="BQ104" i="16"/>
  <c r="BR104" i="16"/>
  <c r="BS104" i="16"/>
  <c r="A105" i="16"/>
  <c r="B105" i="16"/>
  <c r="B105" i="16" a="1"/>
  <c r="C105" i="16"/>
  <c r="D105" i="16"/>
  <c r="E105" i="16"/>
  <c r="E105" i="16" a="1"/>
  <c r="F105" i="16"/>
  <c r="G105" i="16"/>
  <c r="G105" i="16" a="1"/>
  <c r="H105" i="16"/>
  <c r="I105" i="16"/>
  <c r="J105" i="16"/>
  <c r="O105" i="16"/>
  <c r="BD105" i="16"/>
  <c r="BE105" i="16"/>
  <c r="BG105" i="16"/>
  <c r="BH105" i="16"/>
  <c r="BI105" i="16"/>
  <c r="BJ105" i="16"/>
  <c r="BL105" i="16"/>
  <c r="BO105" i="16"/>
  <c r="BP105" i="16"/>
  <c r="BQ105" i="16"/>
  <c r="BR105" i="16"/>
  <c r="BS105" i="16"/>
  <c r="A106" i="16"/>
  <c r="B106" i="16"/>
  <c r="B106" i="16" a="1"/>
  <c r="C106" i="16"/>
  <c r="D106" i="16"/>
  <c r="E106" i="16"/>
  <c r="E106" i="16" a="1"/>
  <c r="F106" i="16"/>
  <c r="G106" i="16"/>
  <c r="G106" i="16" a="1"/>
  <c r="H106" i="16"/>
  <c r="I106" i="16"/>
  <c r="J106" i="16"/>
  <c r="O106" i="16"/>
  <c r="BD106" i="16"/>
  <c r="BE106" i="16"/>
  <c r="BG106" i="16"/>
  <c r="BH106" i="16"/>
  <c r="BI106" i="16"/>
  <c r="BJ106" i="16"/>
  <c r="BL106" i="16"/>
  <c r="BO106" i="16"/>
  <c r="BP106" i="16"/>
  <c r="BQ106" i="16"/>
  <c r="BR106" i="16"/>
  <c r="BS106" i="16"/>
  <c r="A107" i="16"/>
  <c r="B107" i="16"/>
  <c r="B107" i="16" a="1"/>
  <c r="C107" i="16"/>
  <c r="D107" i="16"/>
  <c r="E107" i="16"/>
  <c r="E107" i="16" a="1"/>
  <c r="F107" i="16"/>
  <c r="G107" i="16"/>
  <c r="G107" i="16" a="1"/>
  <c r="H107" i="16"/>
  <c r="I107" i="16"/>
  <c r="J107" i="16"/>
  <c r="O107" i="16"/>
  <c r="BD107" i="16"/>
  <c r="BE107" i="16"/>
  <c r="BG107" i="16"/>
  <c r="BH107" i="16"/>
  <c r="BI107" i="16"/>
  <c r="BJ107" i="16"/>
  <c r="BL107" i="16"/>
  <c r="BO107" i="16"/>
  <c r="BP107" i="16"/>
  <c r="BQ107" i="16"/>
  <c r="BR107" i="16"/>
  <c r="BS107" i="16"/>
  <c r="A108" i="16"/>
  <c r="B108" i="16"/>
  <c r="B108" i="16" a="1"/>
  <c r="C108" i="16"/>
  <c r="D108" i="16"/>
  <c r="E108" i="16"/>
  <c r="E108" i="16" a="1"/>
  <c r="F108" i="16"/>
  <c r="G108" i="16"/>
  <c r="G108" i="16" a="1"/>
  <c r="H108" i="16"/>
  <c r="I108" i="16"/>
  <c r="J108" i="16"/>
  <c r="O108" i="16"/>
  <c r="BD108" i="16"/>
  <c r="BE108" i="16"/>
  <c r="BG108" i="16"/>
  <c r="BH108" i="16"/>
  <c r="BI108" i="16"/>
  <c r="BJ108" i="16"/>
  <c r="BL108" i="16"/>
  <c r="BO108" i="16"/>
  <c r="BP108" i="16"/>
  <c r="BQ108" i="16"/>
  <c r="BR108" i="16"/>
  <c r="BS108" i="16"/>
  <c r="A109" i="16"/>
  <c r="B109" i="16"/>
  <c r="B109" i="16" a="1"/>
  <c r="C109" i="16"/>
  <c r="D109" i="16"/>
  <c r="E109" i="16"/>
  <c r="E109" i="16" a="1"/>
  <c r="F109" i="16"/>
  <c r="G109" i="16"/>
  <c r="G109" i="16" a="1"/>
  <c r="H109" i="16"/>
  <c r="I109" i="16"/>
  <c r="J109" i="16"/>
  <c r="O109" i="16"/>
  <c r="BD109" i="16"/>
  <c r="BE109" i="16"/>
  <c r="BG109" i="16"/>
  <c r="BH109" i="16"/>
  <c r="BI109" i="16"/>
  <c r="BJ109" i="16"/>
  <c r="BL109" i="16"/>
  <c r="BO109" i="16"/>
  <c r="BP109" i="16"/>
  <c r="BQ109" i="16"/>
  <c r="BR109" i="16"/>
  <c r="BS109" i="16"/>
  <c r="A110" i="16"/>
  <c r="B110" i="16"/>
  <c r="B110" i="16" a="1"/>
  <c r="C110" i="16"/>
  <c r="D110" i="16"/>
  <c r="E110" i="16"/>
  <c r="E110" i="16" a="1"/>
  <c r="F110" i="16"/>
  <c r="G110" i="16"/>
  <c r="G110" i="16" a="1"/>
  <c r="H110" i="16"/>
  <c r="I110" i="16"/>
  <c r="J110" i="16"/>
  <c r="O110" i="16"/>
  <c r="BD110" i="16"/>
  <c r="BE110" i="16"/>
  <c r="BG110" i="16"/>
  <c r="BH110" i="16"/>
  <c r="BI110" i="16"/>
  <c r="BJ110" i="16"/>
  <c r="BL110" i="16"/>
  <c r="BO110" i="16"/>
  <c r="BP110" i="16"/>
  <c r="BQ110" i="16"/>
  <c r="BR110" i="16"/>
  <c r="BS110" i="16"/>
  <c r="A111" i="16"/>
  <c r="B111" i="16"/>
  <c r="B111" i="16" a="1"/>
  <c r="C111" i="16"/>
  <c r="D111" i="16"/>
  <c r="E111" i="16"/>
  <c r="E111" i="16" a="1"/>
  <c r="F111" i="16"/>
  <c r="G111" i="16"/>
  <c r="G111" i="16" a="1"/>
  <c r="H111" i="16"/>
  <c r="I111" i="16"/>
  <c r="J111" i="16"/>
  <c r="O111" i="16"/>
  <c r="BD111" i="16"/>
  <c r="BE111" i="16"/>
  <c r="BG111" i="16"/>
  <c r="BH111" i="16"/>
  <c r="BI111" i="16"/>
  <c r="BJ111" i="16"/>
  <c r="BL111" i="16"/>
  <c r="BO111" i="16"/>
  <c r="BP111" i="16"/>
  <c r="BQ111" i="16"/>
  <c r="BR111" i="16"/>
  <c r="BS111" i="16"/>
  <c r="A112" i="16"/>
  <c r="B112" i="16"/>
  <c r="B112" i="16" a="1"/>
  <c r="C112" i="16"/>
  <c r="D112" i="16"/>
  <c r="E112" i="16"/>
  <c r="E112" i="16" a="1"/>
  <c r="F112" i="16"/>
  <c r="G112" i="16"/>
  <c r="G112" i="16" a="1"/>
  <c r="H112" i="16"/>
  <c r="I112" i="16"/>
  <c r="J112" i="16"/>
  <c r="O112" i="16"/>
  <c r="BD112" i="16"/>
  <c r="BE112" i="16"/>
  <c r="BG112" i="16"/>
  <c r="BH112" i="16"/>
  <c r="BI112" i="16"/>
  <c r="BJ112" i="16"/>
  <c r="BL112" i="16"/>
  <c r="BO112" i="16"/>
  <c r="BP112" i="16"/>
  <c r="BQ112" i="16"/>
  <c r="BR112" i="16"/>
  <c r="BS112" i="16"/>
  <c r="A113" i="16"/>
  <c r="B113" i="16"/>
  <c r="B113" i="16" a="1"/>
  <c r="C113" i="16"/>
  <c r="D113" i="16"/>
  <c r="E113" i="16"/>
  <c r="E113" i="16" a="1"/>
  <c r="F113" i="16"/>
  <c r="G113" i="16"/>
  <c r="G113" i="16" a="1"/>
  <c r="H113" i="16"/>
  <c r="I113" i="16"/>
  <c r="J113" i="16"/>
  <c r="O113" i="16"/>
  <c r="BD113" i="16"/>
  <c r="BE113" i="16"/>
  <c r="BG113" i="16"/>
  <c r="BH113" i="16"/>
  <c r="BI113" i="16"/>
  <c r="BJ113" i="16"/>
  <c r="BL113" i="16"/>
  <c r="BO113" i="16"/>
  <c r="BP113" i="16"/>
  <c r="BQ113" i="16"/>
  <c r="BR113" i="16"/>
  <c r="BS113" i="16"/>
  <c r="A114" i="16"/>
  <c r="B114" i="16"/>
  <c r="B114" i="16" a="1"/>
  <c r="C114" i="16"/>
  <c r="D114" i="16"/>
  <c r="E114" i="16"/>
  <c r="E114" i="16" a="1"/>
  <c r="F114" i="16"/>
  <c r="G114" i="16"/>
  <c r="G114" i="16" a="1"/>
  <c r="H114" i="16"/>
  <c r="I114" i="16"/>
  <c r="J114" i="16"/>
  <c r="O114" i="16"/>
  <c r="BD114" i="16"/>
  <c r="BE114" i="16"/>
  <c r="BG114" i="16"/>
  <c r="BH114" i="16"/>
  <c r="BI114" i="16"/>
  <c r="BJ114" i="16"/>
  <c r="BL114" i="16"/>
  <c r="BO114" i="16"/>
  <c r="BP114" i="16"/>
  <c r="BQ114" i="16"/>
  <c r="BR114" i="16"/>
  <c r="BS114" i="16"/>
  <c r="A115" i="16"/>
  <c r="B115" i="16"/>
  <c r="B115" i="16" a="1"/>
  <c r="C115" i="16"/>
  <c r="D115" i="16"/>
  <c r="E115" i="16"/>
  <c r="E115" i="16" a="1"/>
  <c r="F115" i="16"/>
  <c r="G115" i="16"/>
  <c r="G115" i="16" a="1"/>
  <c r="H115" i="16"/>
  <c r="I115" i="16"/>
  <c r="J115" i="16"/>
  <c r="O115" i="16"/>
  <c r="BD115" i="16"/>
  <c r="BE115" i="16"/>
  <c r="BG115" i="16"/>
  <c r="BH115" i="16"/>
  <c r="BI115" i="16"/>
  <c r="BJ115" i="16"/>
  <c r="BL115" i="16"/>
  <c r="BO115" i="16"/>
  <c r="BP115" i="16"/>
  <c r="BQ115" i="16"/>
  <c r="BR115" i="16"/>
  <c r="BS115" i="16"/>
  <c r="A116" i="16"/>
  <c r="B116" i="16"/>
  <c r="B116" i="16" a="1"/>
  <c r="C116" i="16"/>
  <c r="D116" i="16"/>
  <c r="E116" i="16"/>
  <c r="E116" i="16" a="1"/>
  <c r="F116" i="16"/>
  <c r="G116" i="16"/>
  <c r="G116" i="16" a="1"/>
  <c r="H116" i="16"/>
  <c r="I116" i="16"/>
  <c r="J116" i="16"/>
  <c r="O116" i="16"/>
  <c r="BD116" i="16"/>
  <c r="BE116" i="16"/>
  <c r="BG116" i="16"/>
  <c r="BH116" i="16"/>
  <c r="BI116" i="16"/>
  <c r="BJ116" i="16"/>
  <c r="BL116" i="16"/>
  <c r="BO116" i="16"/>
  <c r="BP116" i="16"/>
  <c r="BQ116" i="16"/>
  <c r="BR116" i="16"/>
  <c r="BS116" i="16"/>
  <c r="A117" i="16"/>
  <c r="B117" i="16"/>
  <c r="B117" i="16" a="1"/>
  <c r="C117" i="16"/>
  <c r="D117" i="16"/>
  <c r="E117" i="16"/>
  <c r="E117" i="16" a="1"/>
  <c r="F117" i="16"/>
  <c r="G117" i="16"/>
  <c r="G117" i="16" a="1"/>
  <c r="H117" i="16"/>
  <c r="I117" i="16"/>
  <c r="J117" i="16"/>
  <c r="O117" i="16"/>
  <c r="BD117" i="16"/>
  <c r="BE117" i="16"/>
  <c r="BG117" i="16"/>
  <c r="BH117" i="16"/>
  <c r="BI117" i="16"/>
  <c r="BJ117" i="16"/>
  <c r="BL117" i="16"/>
  <c r="BO117" i="16"/>
  <c r="BP117" i="16"/>
  <c r="BQ117" i="16"/>
  <c r="BR117" i="16"/>
  <c r="BS117" i="16"/>
  <c r="A118" i="16"/>
  <c r="B118" i="16"/>
  <c r="B118" i="16" a="1"/>
  <c r="C118" i="16"/>
  <c r="D118" i="16"/>
  <c r="E118" i="16"/>
  <c r="E118" i="16" a="1"/>
  <c r="F118" i="16"/>
  <c r="G118" i="16"/>
  <c r="G118" i="16" a="1"/>
  <c r="H118" i="16"/>
  <c r="I118" i="16"/>
  <c r="J118" i="16"/>
  <c r="O118" i="16"/>
  <c r="BD118" i="16"/>
  <c r="BE118" i="16"/>
  <c r="BG118" i="16"/>
  <c r="BH118" i="16"/>
  <c r="BI118" i="16"/>
  <c r="BJ118" i="16"/>
  <c r="BL118" i="16"/>
  <c r="BO118" i="16"/>
  <c r="BP118" i="16"/>
  <c r="BQ118" i="16"/>
  <c r="BR118" i="16"/>
  <c r="BS118" i="16"/>
  <c r="A119" i="16"/>
  <c r="B119" i="16"/>
  <c r="B119" i="16" a="1"/>
  <c r="C119" i="16"/>
  <c r="D119" i="16"/>
  <c r="E119" i="16"/>
  <c r="E119" i="16" a="1"/>
  <c r="F119" i="16"/>
  <c r="G119" i="16"/>
  <c r="G119" i="16" a="1"/>
  <c r="H119" i="16"/>
  <c r="I119" i="16"/>
  <c r="J119" i="16"/>
  <c r="O119" i="16"/>
  <c r="BD119" i="16"/>
  <c r="BE119" i="16"/>
  <c r="BG119" i="16"/>
  <c r="BH119" i="16"/>
  <c r="BI119" i="16"/>
  <c r="BJ119" i="16"/>
  <c r="BL119" i="16"/>
  <c r="BO119" i="16"/>
  <c r="BP119" i="16"/>
  <c r="BQ119" i="16"/>
  <c r="BR119" i="16"/>
  <c r="BS119" i="16"/>
  <c r="A120" i="16"/>
  <c r="B120" i="16"/>
  <c r="B120" i="16" a="1"/>
  <c r="C120" i="16"/>
  <c r="D120" i="16"/>
  <c r="E120" i="16"/>
  <c r="E120" i="16" a="1"/>
  <c r="F120" i="16"/>
  <c r="G120" i="16"/>
  <c r="G120" i="16" a="1"/>
  <c r="H120" i="16"/>
  <c r="I120" i="16"/>
  <c r="J120" i="16"/>
  <c r="O120" i="16"/>
  <c r="BD120" i="16"/>
  <c r="BE120" i="16"/>
  <c r="BG120" i="16"/>
  <c r="BH120" i="16"/>
  <c r="BI120" i="16"/>
  <c r="BJ120" i="16"/>
  <c r="BL120" i="16"/>
  <c r="BO120" i="16"/>
  <c r="BP120" i="16"/>
  <c r="BQ120" i="16"/>
  <c r="BR120" i="16"/>
  <c r="BS120" i="16"/>
  <c r="A121" i="16"/>
  <c r="B121" i="16"/>
  <c r="B121" i="16" a="1"/>
  <c r="C121" i="16"/>
  <c r="D121" i="16"/>
  <c r="E121" i="16"/>
  <c r="E121" i="16" a="1"/>
  <c r="F121" i="16"/>
  <c r="G121" i="16"/>
  <c r="G121" i="16" a="1"/>
  <c r="H121" i="16"/>
  <c r="I121" i="16"/>
  <c r="J121" i="16"/>
  <c r="O121" i="16"/>
  <c r="BD121" i="16"/>
  <c r="BE121" i="16"/>
  <c r="BG121" i="16"/>
  <c r="BH121" i="16"/>
  <c r="BI121" i="16"/>
  <c r="BJ121" i="16"/>
  <c r="BL121" i="16"/>
  <c r="BO121" i="16"/>
  <c r="BP121" i="16"/>
  <c r="BQ121" i="16"/>
  <c r="BR121" i="16"/>
  <c r="BS121" i="16"/>
  <c r="A122" i="16"/>
  <c r="B122" i="16"/>
  <c r="B122" i="16" a="1"/>
  <c r="C122" i="16"/>
  <c r="D122" i="16"/>
  <c r="E122" i="16"/>
  <c r="E122" i="16" a="1"/>
  <c r="F122" i="16"/>
  <c r="G122" i="16"/>
  <c r="G122" i="16" a="1"/>
  <c r="H122" i="16"/>
  <c r="I122" i="16"/>
  <c r="J122" i="16"/>
  <c r="O122" i="16"/>
  <c r="BD122" i="16"/>
  <c r="BE122" i="16"/>
  <c r="BG122" i="16"/>
  <c r="BH122" i="16"/>
  <c r="BI122" i="16"/>
  <c r="BJ122" i="16"/>
  <c r="BL122" i="16"/>
  <c r="BO122" i="16"/>
  <c r="BP122" i="16"/>
  <c r="BQ122" i="16"/>
  <c r="BR122" i="16"/>
  <c r="BS122" i="16"/>
  <c r="A123" i="16"/>
  <c r="B123" i="16"/>
  <c r="B123" i="16" a="1"/>
  <c r="C123" i="16"/>
  <c r="D123" i="16"/>
  <c r="E123" i="16"/>
  <c r="E123" i="16" a="1"/>
  <c r="F123" i="16"/>
  <c r="G123" i="16"/>
  <c r="G123" i="16" a="1"/>
  <c r="H123" i="16"/>
  <c r="I123" i="16"/>
  <c r="J123" i="16"/>
  <c r="O123" i="16"/>
  <c r="BD123" i="16"/>
  <c r="BE123" i="16"/>
  <c r="BG123" i="16"/>
  <c r="BH123" i="16"/>
  <c r="BI123" i="16"/>
  <c r="BJ123" i="16"/>
  <c r="BL123" i="16"/>
  <c r="BO123" i="16"/>
  <c r="BP123" i="16"/>
  <c r="BQ123" i="16"/>
  <c r="BR123" i="16"/>
  <c r="BS123" i="16"/>
  <c r="A124" i="16"/>
  <c r="B124" i="16"/>
  <c r="B124" i="16" a="1"/>
  <c r="C124" i="16"/>
  <c r="D124" i="16"/>
  <c r="E124" i="16"/>
  <c r="E124" i="16" a="1"/>
  <c r="F124" i="16"/>
  <c r="G124" i="16"/>
  <c r="G124" i="16" a="1"/>
  <c r="H124" i="16"/>
  <c r="I124" i="16"/>
  <c r="J124" i="16"/>
  <c r="O124" i="16"/>
  <c r="BD124" i="16"/>
  <c r="BE124" i="16"/>
  <c r="BG124" i="16"/>
  <c r="BH124" i="16"/>
  <c r="BI124" i="16"/>
  <c r="BJ124" i="16"/>
  <c r="BL124" i="16"/>
  <c r="BO124" i="16"/>
  <c r="BP124" i="16"/>
  <c r="BQ124" i="16"/>
  <c r="BR124" i="16"/>
  <c r="BS124" i="16"/>
  <c r="A125" i="16"/>
  <c r="B125" i="16"/>
  <c r="B125" i="16" a="1"/>
  <c r="C125" i="16"/>
  <c r="D125" i="16"/>
  <c r="E125" i="16"/>
  <c r="E125" i="16" a="1"/>
  <c r="F125" i="16"/>
  <c r="G125" i="16"/>
  <c r="G125" i="16" a="1"/>
  <c r="H125" i="16"/>
  <c r="I125" i="16"/>
  <c r="J125" i="16"/>
  <c r="O125" i="16"/>
  <c r="BD125" i="16"/>
  <c r="BE125" i="16"/>
  <c r="BG125" i="16"/>
  <c r="BH125" i="16"/>
  <c r="BI125" i="16"/>
  <c r="BJ125" i="16"/>
  <c r="BL125" i="16"/>
  <c r="BO125" i="16"/>
  <c r="BP125" i="16"/>
  <c r="BQ125" i="16"/>
  <c r="BR125" i="16"/>
  <c r="BS125" i="16"/>
  <c r="A126" i="16"/>
  <c r="B126" i="16"/>
  <c r="B126" i="16" a="1"/>
  <c r="C126" i="16"/>
  <c r="D126" i="16"/>
  <c r="E126" i="16"/>
  <c r="E126" i="16" a="1"/>
  <c r="F126" i="16"/>
  <c r="G126" i="16"/>
  <c r="G126" i="16" a="1"/>
  <c r="H126" i="16"/>
  <c r="I126" i="16"/>
  <c r="J126" i="16"/>
  <c r="O126" i="16"/>
  <c r="BD126" i="16"/>
  <c r="BE126" i="16"/>
  <c r="BG126" i="16"/>
  <c r="BH126" i="16"/>
  <c r="BI126" i="16"/>
  <c r="BJ126" i="16"/>
  <c r="BL126" i="16"/>
  <c r="BO126" i="16"/>
  <c r="BP126" i="16"/>
  <c r="BQ126" i="16"/>
  <c r="BR126" i="16"/>
  <c r="BS126" i="16"/>
  <c r="A127" i="16"/>
  <c r="B127" i="16"/>
  <c r="B127" i="16" a="1"/>
  <c r="C127" i="16"/>
  <c r="D127" i="16"/>
  <c r="E127" i="16"/>
  <c r="E127" i="16" a="1"/>
  <c r="F127" i="16"/>
  <c r="G127" i="16"/>
  <c r="G127" i="16" a="1"/>
  <c r="H127" i="16"/>
  <c r="I127" i="16"/>
  <c r="J127" i="16"/>
  <c r="O127" i="16"/>
  <c r="BD127" i="16"/>
  <c r="BE127" i="16"/>
  <c r="BG127" i="16"/>
  <c r="BH127" i="16"/>
  <c r="BI127" i="16"/>
  <c r="BJ127" i="16"/>
  <c r="BL127" i="16"/>
  <c r="BO127" i="16"/>
  <c r="BP127" i="16"/>
  <c r="BQ127" i="16"/>
  <c r="BR127" i="16"/>
  <c r="BS127" i="16"/>
  <c r="A128" i="16"/>
  <c r="B128" i="16"/>
  <c r="B128" i="16" a="1"/>
  <c r="C128" i="16"/>
  <c r="D128" i="16"/>
  <c r="E128" i="16"/>
  <c r="E128" i="16" a="1"/>
  <c r="F128" i="16"/>
  <c r="G128" i="16"/>
  <c r="G128" i="16" a="1"/>
  <c r="H128" i="16"/>
  <c r="I128" i="16"/>
  <c r="J128" i="16"/>
  <c r="O128" i="16"/>
  <c r="BD128" i="16"/>
  <c r="BE128" i="16"/>
  <c r="BG128" i="16"/>
  <c r="BH128" i="16"/>
  <c r="BI128" i="16"/>
  <c r="BJ128" i="16"/>
  <c r="BL128" i="16"/>
  <c r="BO128" i="16"/>
  <c r="BP128" i="16"/>
  <c r="BQ128" i="16"/>
  <c r="BR128" i="16"/>
  <c r="BS128" i="16"/>
  <c r="A129" i="16"/>
  <c r="B129" i="16"/>
  <c r="B129" i="16" a="1"/>
  <c r="C129" i="16"/>
  <c r="D129" i="16"/>
  <c r="E129" i="16"/>
  <c r="E129" i="16" a="1"/>
  <c r="F129" i="16"/>
  <c r="G129" i="16"/>
  <c r="G129" i="16" a="1"/>
  <c r="H129" i="16"/>
  <c r="I129" i="16"/>
  <c r="J129" i="16"/>
  <c r="O129" i="16"/>
  <c r="BD129" i="16"/>
  <c r="BE129" i="16"/>
  <c r="BG129" i="16"/>
  <c r="BH129" i="16"/>
  <c r="BI129" i="16"/>
  <c r="BJ129" i="16"/>
  <c r="BL129" i="16"/>
  <c r="BO129" i="16"/>
  <c r="BP129" i="16"/>
  <c r="BQ129" i="16"/>
  <c r="BR129" i="16"/>
  <c r="BS129" i="16"/>
  <c r="A130" i="16"/>
  <c r="B130" i="16"/>
  <c r="B130" i="16" a="1"/>
  <c r="C130" i="16"/>
  <c r="D130" i="16"/>
  <c r="E130" i="16"/>
  <c r="E130" i="16" a="1"/>
  <c r="F130" i="16"/>
  <c r="G130" i="16"/>
  <c r="G130" i="16" a="1"/>
  <c r="H130" i="16"/>
  <c r="I130" i="16"/>
  <c r="J130" i="16"/>
  <c r="O130" i="16"/>
  <c r="BD130" i="16"/>
  <c r="BE130" i="16"/>
  <c r="BG130" i="16"/>
  <c r="BH130" i="16"/>
  <c r="BI130" i="16"/>
  <c r="BJ130" i="16"/>
  <c r="BL130" i="16"/>
  <c r="BO130" i="16"/>
  <c r="BP130" i="16"/>
  <c r="BQ130" i="16"/>
  <c r="BR130" i="16"/>
  <c r="BS130" i="16"/>
  <c r="A131" i="16"/>
  <c r="B131" i="16"/>
  <c r="B131" i="16" a="1"/>
  <c r="C131" i="16"/>
  <c r="D131" i="16"/>
  <c r="E131" i="16"/>
  <c r="E131" i="16" a="1"/>
  <c r="F131" i="16"/>
  <c r="G131" i="16"/>
  <c r="G131" i="16" a="1"/>
  <c r="H131" i="16"/>
  <c r="I131" i="16"/>
  <c r="J131" i="16"/>
  <c r="O131" i="16"/>
  <c r="BD131" i="16"/>
  <c r="BE131" i="16"/>
  <c r="BG131" i="16"/>
  <c r="BH131" i="16"/>
  <c r="BI131" i="16"/>
  <c r="BJ131" i="16"/>
  <c r="BL131" i="16"/>
  <c r="BO131" i="16"/>
  <c r="BP131" i="16"/>
  <c r="BQ131" i="16"/>
  <c r="BR131" i="16"/>
  <c r="BS131" i="16"/>
  <c r="A132" i="16"/>
  <c r="B132" i="16"/>
  <c r="B132" i="16" a="1"/>
  <c r="C132" i="16"/>
  <c r="D132" i="16"/>
  <c r="E132" i="16"/>
  <c r="E132" i="16" a="1"/>
  <c r="F132" i="16"/>
  <c r="G132" i="16"/>
  <c r="G132" i="16" a="1"/>
  <c r="H132" i="16"/>
  <c r="I132" i="16"/>
  <c r="J132" i="16"/>
  <c r="O132" i="16"/>
  <c r="BD132" i="16"/>
  <c r="BE132" i="16"/>
  <c r="BG132" i="16"/>
  <c r="BH132" i="16"/>
  <c r="BI132" i="16"/>
  <c r="BJ132" i="16"/>
  <c r="BL132" i="16"/>
  <c r="BO132" i="16"/>
  <c r="BP132" i="16"/>
  <c r="BQ132" i="16"/>
  <c r="BR132" i="16"/>
  <c r="BS132" i="16"/>
  <c r="A133" i="16"/>
  <c r="B133" i="16"/>
  <c r="B133" i="16" a="1"/>
  <c r="C133" i="16"/>
  <c r="D133" i="16"/>
  <c r="E133" i="16"/>
  <c r="E133" i="16" a="1"/>
  <c r="F133" i="16"/>
  <c r="G133" i="16"/>
  <c r="G133" i="16" a="1"/>
  <c r="H133" i="16"/>
  <c r="I133" i="16"/>
  <c r="J133" i="16"/>
  <c r="O133" i="16"/>
  <c r="BD133" i="16"/>
  <c r="BE133" i="16"/>
  <c r="BG133" i="16"/>
  <c r="BH133" i="16"/>
  <c r="BI133" i="16"/>
  <c r="BJ133" i="16"/>
  <c r="BL133" i="16"/>
  <c r="BO133" i="16"/>
  <c r="BP133" i="16"/>
  <c r="BQ133" i="16"/>
  <c r="BR133" i="16"/>
  <c r="BS133" i="16"/>
  <c r="A134" i="16"/>
  <c r="B134" i="16"/>
  <c r="B134" i="16" a="1"/>
  <c r="C134" i="16"/>
  <c r="D134" i="16"/>
  <c r="E134" i="16"/>
  <c r="E134" i="16" a="1"/>
  <c r="F134" i="16"/>
  <c r="G134" i="16"/>
  <c r="G134" i="16" a="1"/>
  <c r="H134" i="16"/>
  <c r="I134" i="16"/>
  <c r="J134" i="16"/>
  <c r="O134" i="16"/>
  <c r="BD134" i="16"/>
  <c r="BE134" i="16"/>
  <c r="BG134" i="16"/>
  <c r="BH134" i="16"/>
  <c r="BI134" i="16"/>
  <c r="BJ134" i="16"/>
  <c r="BL134" i="16"/>
  <c r="BO134" i="16"/>
  <c r="BP134" i="16"/>
  <c r="BQ134" i="16"/>
  <c r="BR134" i="16"/>
  <c r="BS134" i="16"/>
  <c r="A135" i="16"/>
  <c r="B135" i="16"/>
  <c r="B135" i="16" a="1"/>
  <c r="C135" i="16"/>
  <c r="D135" i="16"/>
  <c r="E135" i="16"/>
  <c r="E135" i="16" a="1"/>
  <c r="F135" i="16"/>
  <c r="G135" i="16"/>
  <c r="G135" i="16" a="1"/>
  <c r="H135" i="16"/>
  <c r="I135" i="16"/>
  <c r="J135" i="16"/>
  <c r="O135" i="16"/>
  <c r="BD135" i="16"/>
  <c r="BE135" i="16"/>
  <c r="BG135" i="16"/>
  <c r="BH135" i="16"/>
  <c r="BI135" i="16"/>
  <c r="BJ135" i="16"/>
  <c r="BL135" i="16"/>
  <c r="BO135" i="16"/>
  <c r="BP135" i="16"/>
  <c r="BQ135" i="16"/>
  <c r="BR135" i="16"/>
  <c r="BS135" i="16"/>
  <c r="A136" i="16"/>
  <c r="B136" i="16"/>
  <c r="B136" i="16" a="1"/>
  <c r="C136" i="16"/>
  <c r="D136" i="16"/>
  <c r="E136" i="16"/>
  <c r="E136" i="16" a="1"/>
  <c r="F136" i="16"/>
  <c r="G136" i="16"/>
  <c r="G136" i="16" a="1"/>
  <c r="H136" i="16"/>
  <c r="I136" i="16"/>
  <c r="J136" i="16"/>
  <c r="O136" i="16"/>
  <c r="BD136" i="16"/>
  <c r="BE136" i="16"/>
  <c r="BG136" i="16"/>
  <c r="BH136" i="16"/>
  <c r="BI136" i="16"/>
  <c r="BJ136" i="16"/>
  <c r="BL136" i="16"/>
  <c r="BO136" i="16"/>
  <c r="BP136" i="16"/>
  <c r="BQ136" i="16"/>
  <c r="BR136" i="16"/>
  <c r="BS136" i="16"/>
  <c r="A137" i="16"/>
  <c r="B137" i="16"/>
  <c r="B137" i="16" a="1"/>
  <c r="C137" i="16"/>
  <c r="D137" i="16"/>
  <c r="E137" i="16"/>
  <c r="E137" i="16" a="1"/>
  <c r="F137" i="16"/>
  <c r="G137" i="16"/>
  <c r="G137" i="16" a="1"/>
  <c r="H137" i="16"/>
  <c r="I137" i="16"/>
  <c r="J137" i="16"/>
  <c r="O137" i="16"/>
  <c r="BD137" i="16"/>
  <c r="BE137" i="16"/>
  <c r="BG137" i="16"/>
  <c r="BH137" i="16"/>
  <c r="BI137" i="16"/>
  <c r="BJ137" i="16"/>
  <c r="BL137" i="16"/>
  <c r="BO137" i="16"/>
  <c r="BP137" i="16"/>
  <c r="BQ137" i="16"/>
  <c r="BR137" i="16"/>
  <c r="BS137" i="16"/>
  <c r="A138" i="16"/>
  <c r="B138" i="16"/>
  <c r="B138" i="16" a="1"/>
  <c r="C138" i="16"/>
  <c r="D138" i="16"/>
  <c r="E138" i="16"/>
  <c r="E138" i="16" a="1"/>
  <c r="F138" i="16"/>
  <c r="G138" i="16"/>
  <c r="G138" i="16" a="1"/>
  <c r="H138" i="16"/>
  <c r="I138" i="16"/>
  <c r="J138" i="16"/>
  <c r="O138" i="16"/>
  <c r="BD138" i="16"/>
  <c r="BE138" i="16"/>
  <c r="BG138" i="16"/>
  <c r="BH138" i="16"/>
  <c r="BI138" i="16"/>
  <c r="BJ138" i="16"/>
  <c r="BL138" i="16"/>
  <c r="BO138" i="16"/>
  <c r="BP138" i="16"/>
  <c r="BQ138" i="16"/>
  <c r="BR138" i="16"/>
  <c r="BS138" i="16"/>
  <c r="A139" i="16"/>
  <c r="B139" i="16"/>
  <c r="B139" i="16" a="1"/>
  <c r="C139" i="16"/>
  <c r="D139" i="16"/>
  <c r="E139" i="16"/>
  <c r="E139" i="16" a="1"/>
  <c r="F139" i="16"/>
  <c r="G139" i="16"/>
  <c r="G139" i="16" a="1"/>
  <c r="H139" i="16"/>
  <c r="I139" i="16"/>
  <c r="J139" i="16"/>
  <c r="O139" i="16"/>
  <c r="BD139" i="16"/>
  <c r="BE139" i="16"/>
  <c r="BG139" i="16"/>
  <c r="BH139" i="16"/>
  <c r="BI139" i="16"/>
  <c r="BJ139" i="16"/>
  <c r="BL139" i="16"/>
  <c r="BO139" i="16"/>
  <c r="BP139" i="16"/>
  <c r="BQ139" i="16"/>
  <c r="BR139" i="16"/>
  <c r="BS139" i="16"/>
  <c r="A140" i="16"/>
  <c r="B140" i="16"/>
  <c r="B140" i="16" a="1"/>
  <c r="C140" i="16"/>
  <c r="D140" i="16"/>
  <c r="E140" i="16"/>
  <c r="E140" i="16" a="1"/>
  <c r="F140" i="16"/>
  <c r="G140" i="16"/>
  <c r="G140" i="16" a="1"/>
  <c r="H140" i="16"/>
  <c r="I140" i="16"/>
  <c r="J140" i="16"/>
  <c r="O140" i="16"/>
  <c r="BD140" i="16"/>
  <c r="BE140" i="16"/>
  <c r="BG140" i="16"/>
  <c r="BH140" i="16"/>
  <c r="BI140" i="16"/>
  <c r="BJ140" i="16"/>
  <c r="BL140" i="16"/>
  <c r="BO140" i="16"/>
  <c r="BP140" i="16"/>
  <c r="BQ140" i="16"/>
  <c r="BR140" i="16"/>
  <c r="BS140" i="16"/>
  <c r="A141" i="16"/>
  <c r="B141" i="16"/>
  <c r="B141" i="16" a="1"/>
  <c r="C141" i="16"/>
  <c r="D141" i="16"/>
  <c r="E141" i="16"/>
  <c r="E141" i="16" a="1"/>
  <c r="F141" i="16"/>
  <c r="G141" i="16"/>
  <c r="G141" i="16" a="1"/>
  <c r="H141" i="16"/>
  <c r="I141" i="16"/>
  <c r="J141" i="16"/>
  <c r="O141" i="16"/>
  <c r="BD141" i="16"/>
  <c r="BE141" i="16"/>
  <c r="BG141" i="16"/>
  <c r="BH141" i="16"/>
  <c r="BI141" i="16"/>
  <c r="BJ141" i="16"/>
  <c r="BL141" i="16"/>
  <c r="BO141" i="16"/>
  <c r="BP141" i="16"/>
  <c r="BQ141" i="16"/>
  <c r="BR141" i="16"/>
  <c r="BS141" i="16"/>
  <c r="A142" i="16"/>
  <c r="B142" i="16"/>
  <c r="B142" i="16" a="1"/>
  <c r="C142" i="16"/>
  <c r="D142" i="16"/>
  <c r="E142" i="16"/>
  <c r="E142" i="16" a="1"/>
  <c r="F142" i="16"/>
  <c r="G142" i="16"/>
  <c r="G142" i="16" a="1"/>
  <c r="H142" i="16"/>
  <c r="I142" i="16"/>
  <c r="J142" i="16"/>
  <c r="O142" i="16"/>
  <c r="BD142" i="16"/>
  <c r="BE142" i="16"/>
  <c r="BG142" i="16"/>
  <c r="BH142" i="16"/>
  <c r="BI142" i="16"/>
  <c r="BJ142" i="16"/>
  <c r="BL142" i="16"/>
  <c r="BO142" i="16"/>
  <c r="BP142" i="16"/>
  <c r="BQ142" i="16"/>
  <c r="BR142" i="16"/>
  <c r="BS142" i="16"/>
  <c r="A143" i="16"/>
  <c r="B143" i="16"/>
  <c r="B143" i="16" a="1"/>
  <c r="C143" i="16"/>
  <c r="D143" i="16"/>
  <c r="E143" i="16"/>
  <c r="E143" i="16" a="1"/>
  <c r="F143" i="16"/>
  <c r="G143" i="16"/>
  <c r="G143" i="16" a="1"/>
  <c r="H143" i="16"/>
  <c r="I143" i="16"/>
  <c r="J143" i="16"/>
  <c r="O143" i="16"/>
  <c r="BD143" i="16"/>
  <c r="BE143" i="16"/>
  <c r="BG143" i="16"/>
  <c r="BH143" i="16"/>
  <c r="BI143" i="16"/>
  <c r="BJ143" i="16"/>
  <c r="BL143" i="16"/>
  <c r="BO143" i="16"/>
  <c r="BP143" i="16"/>
  <c r="BQ143" i="16"/>
  <c r="BR143" i="16"/>
  <c r="BS143" i="16"/>
  <c r="A144" i="16"/>
  <c r="B144" i="16"/>
  <c r="B144" i="16" a="1"/>
  <c r="C144" i="16"/>
  <c r="D144" i="16"/>
  <c r="E144" i="16"/>
  <c r="E144" i="16" a="1"/>
  <c r="F144" i="16"/>
  <c r="G144" i="16"/>
  <c r="G144" i="16" a="1"/>
  <c r="H144" i="16"/>
  <c r="I144" i="16"/>
  <c r="J144" i="16"/>
  <c r="O144" i="16"/>
  <c r="BD144" i="16"/>
  <c r="BE144" i="16"/>
  <c r="BG144" i="16"/>
  <c r="BH144" i="16"/>
  <c r="BI144" i="16"/>
  <c r="BJ144" i="16"/>
  <c r="BL144" i="16"/>
  <c r="BO144" i="16"/>
  <c r="BP144" i="16"/>
  <c r="BQ144" i="16"/>
  <c r="BR144" i="16"/>
  <c r="BS144" i="16"/>
  <c r="A145" i="16"/>
  <c r="B145" i="16"/>
  <c r="B145" i="16" a="1"/>
  <c r="C145" i="16"/>
  <c r="D145" i="16"/>
  <c r="E145" i="16"/>
  <c r="E145" i="16" a="1"/>
  <c r="F145" i="16"/>
  <c r="G145" i="16"/>
  <c r="G145" i="16" a="1"/>
  <c r="H145" i="16"/>
  <c r="I145" i="16"/>
  <c r="J145" i="16"/>
  <c r="O145" i="16"/>
  <c r="BD145" i="16"/>
  <c r="BE145" i="16"/>
  <c r="BG145" i="16"/>
  <c r="BH145" i="16"/>
  <c r="BI145" i="16"/>
  <c r="BJ145" i="16"/>
  <c r="BL145" i="16"/>
  <c r="BO145" i="16"/>
  <c r="BP145" i="16"/>
  <c r="BQ145" i="16"/>
  <c r="BR145" i="16"/>
  <c r="BS145" i="16"/>
  <c r="A146" i="16"/>
  <c r="B146" i="16"/>
  <c r="B146" i="16" a="1"/>
  <c r="C146" i="16"/>
  <c r="D146" i="16"/>
  <c r="E146" i="16"/>
  <c r="E146" i="16" a="1"/>
  <c r="F146" i="16"/>
  <c r="G146" i="16"/>
  <c r="G146" i="16" a="1"/>
  <c r="H146" i="16"/>
  <c r="I146" i="16"/>
  <c r="J146" i="16"/>
  <c r="O146" i="16"/>
  <c r="BD146" i="16"/>
  <c r="BE146" i="16"/>
  <c r="BG146" i="16"/>
  <c r="BH146" i="16"/>
  <c r="BI146" i="16"/>
  <c r="BJ146" i="16"/>
  <c r="BL146" i="16"/>
  <c r="BO146" i="16"/>
  <c r="BP146" i="16"/>
  <c r="BQ146" i="16"/>
  <c r="BR146" i="16"/>
  <c r="BS146" i="16"/>
  <c r="A147" i="16"/>
  <c r="B147" i="16"/>
  <c r="B147" i="16" a="1"/>
  <c r="C147" i="16"/>
  <c r="D147" i="16"/>
  <c r="E147" i="16"/>
  <c r="E147" i="16" a="1"/>
  <c r="F147" i="16"/>
  <c r="G147" i="16"/>
  <c r="G147" i="16" a="1"/>
  <c r="H147" i="16"/>
  <c r="I147" i="16"/>
  <c r="J147" i="16"/>
  <c r="O147" i="16"/>
  <c r="BD147" i="16"/>
  <c r="BE147" i="16"/>
  <c r="BG147" i="16"/>
  <c r="BH147" i="16"/>
  <c r="BI147" i="16"/>
  <c r="BJ147" i="16"/>
  <c r="BL147" i="16"/>
  <c r="BO147" i="16"/>
  <c r="BP147" i="16"/>
  <c r="BQ147" i="16"/>
  <c r="BR147" i="16"/>
  <c r="BS147" i="16"/>
  <c r="A148" i="16"/>
  <c r="B148" i="16"/>
  <c r="B148" i="16" a="1"/>
  <c r="C148" i="16"/>
  <c r="D148" i="16"/>
  <c r="E148" i="16"/>
  <c r="E148" i="16" a="1"/>
  <c r="F148" i="16"/>
  <c r="G148" i="16"/>
  <c r="G148" i="16" a="1"/>
  <c r="H148" i="16"/>
  <c r="I148" i="16"/>
  <c r="J148" i="16"/>
  <c r="O148" i="16"/>
  <c r="BD148" i="16"/>
  <c r="BE148" i="16"/>
  <c r="BG148" i="16"/>
  <c r="BH148" i="16"/>
  <c r="BI148" i="16"/>
  <c r="BJ148" i="16"/>
  <c r="BL148" i="16"/>
  <c r="BO148" i="16"/>
  <c r="BP148" i="16"/>
  <c r="BQ148" i="16"/>
  <c r="BR148" i="16"/>
  <c r="BS148" i="16"/>
  <c r="A149" i="16"/>
  <c r="B149" i="16"/>
  <c r="B149" i="16" a="1"/>
  <c r="C149" i="16"/>
  <c r="D149" i="16"/>
  <c r="E149" i="16"/>
  <c r="E149" i="16" a="1"/>
  <c r="F149" i="16"/>
  <c r="G149" i="16"/>
  <c r="G149" i="16" a="1"/>
  <c r="H149" i="16"/>
  <c r="I149" i="16"/>
  <c r="J149" i="16"/>
  <c r="O149" i="16"/>
  <c r="BD149" i="16"/>
  <c r="BE149" i="16"/>
  <c r="BG149" i="16"/>
  <c r="BH149" i="16"/>
  <c r="BI149" i="16"/>
  <c r="BJ149" i="16"/>
  <c r="BL149" i="16"/>
  <c r="BO149" i="16"/>
  <c r="BP149" i="16"/>
  <c r="BQ149" i="16"/>
  <c r="BR149" i="16"/>
  <c r="BS149" i="16"/>
  <c r="A150" i="16"/>
  <c r="B150" i="16"/>
  <c r="B150" i="16" a="1"/>
  <c r="C150" i="16"/>
  <c r="D150" i="16"/>
  <c r="E150" i="16"/>
  <c r="E150" i="16" a="1"/>
  <c r="F150" i="16"/>
  <c r="G150" i="16"/>
  <c r="G150" i="16" a="1"/>
  <c r="H150" i="16"/>
  <c r="I150" i="16"/>
  <c r="J150" i="16"/>
  <c r="O150" i="16"/>
  <c r="BD150" i="16"/>
  <c r="BE150" i="16"/>
  <c r="BG150" i="16"/>
  <c r="BH150" i="16"/>
  <c r="BI150" i="16"/>
  <c r="BJ150" i="16"/>
  <c r="BL150" i="16"/>
  <c r="BO150" i="16"/>
  <c r="BP150" i="16"/>
  <c r="BQ150" i="16"/>
  <c r="BR150" i="16"/>
  <c r="BS150" i="16"/>
  <c r="A151" i="16"/>
  <c r="B151" i="16"/>
  <c r="B151" i="16" a="1"/>
  <c r="C151" i="16"/>
  <c r="D151" i="16"/>
  <c r="E151" i="16"/>
  <c r="E151" i="16" a="1"/>
  <c r="F151" i="16"/>
  <c r="G151" i="16"/>
  <c r="G151" i="16" a="1"/>
  <c r="H151" i="16"/>
  <c r="I151" i="16"/>
  <c r="J151" i="16"/>
  <c r="O151" i="16"/>
  <c r="BD151" i="16"/>
  <c r="BE151" i="16"/>
  <c r="BG151" i="16"/>
  <c r="BH151" i="16"/>
  <c r="BI151" i="16"/>
  <c r="BJ151" i="16"/>
  <c r="BL151" i="16"/>
  <c r="BO151" i="16"/>
  <c r="BP151" i="16"/>
  <c r="BQ151" i="16"/>
  <c r="BR151" i="16"/>
  <c r="BS151" i="16"/>
  <c r="A152" i="16"/>
  <c r="B152" i="16"/>
  <c r="B152" i="16" a="1"/>
  <c r="C152" i="16"/>
  <c r="D152" i="16"/>
  <c r="E152" i="16"/>
  <c r="E152" i="16" a="1"/>
  <c r="F152" i="16"/>
  <c r="G152" i="16"/>
  <c r="G152" i="16" a="1"/>
  <c r="H152" i="16"/>
  <c r="I152" i="16"/>
  <c r="J152" i="16"/>
  <c r="O152" i="16"/>
  <c r="BD152" i="16"/>
  <c r="BE152" i="16"/>
  <c r="BG152" i="16"/>
  <c r="BH152" i="16"/>
  <c r="BI152" i="16"/>
  <c r="BJ152" i="16"/>
  <c r="BL152" i="16"/>
  <c r="BO152" i="16"/>
  <c r="BP152" i="16"/>
  <c r="BQ152" i="16"/>
  <c r="BR152" i="16"/>
  <c r="BS152" i="16"/>
  <c r="A153" i="16"/>
  <c r="B153" i="16"/>
  <c r="B153" i="16" a="1"/>
  <c r="C153" i="16"/>
  <c r="D153" i="16"/>
  <c r="E153" i="16"/>
  <c r="E153" i="16" a="1"/>
  <c r="F153" i="16"/>
  <c r="G153" i="16"/>
  <c r="G153" i="16" a="1"/>
  <c r="H153" i="16"/>
  <c r="I153" i="16"/>
  <c r="J153" i="16"/>
  <c r="O153" i="16"/>
  <c r="BD153" i="16"/>
  <c r="BE153" i="16"/>
  <c r="BG153" i="16"/>
  <c r="BH153" i="16"/>
  <c r="BI153" i="16"/>
  <c r="BJ153" i="16"/>
  <c r="BL153" i="16"/>
  <c r="BO153" i="16"/>
  <c r="BP153" i="16"/>
  <c r="BQ153" i="16"/>
  <c r="BR153" i="16"/>
  <c r="BS153" i="16"/>
  <c r="A154" i="16"/>
  <c r="B154" i="16"/>
  <c r="B154" i="16" a="1"/>
  <c r="C154" i="16"/>
  <c r="D154" i="16"/>
  <c r="E154" i="16"/>
  <c r="E154" i="16" a="1"/>
  <c r="F154" i="16"/>
  <c r="G154" i="16"/>
  <c r="G154" i="16" a="1"/>
  <c r="H154" i="16"/>
  <c r="I154" i="16"/>
  <c r="J154" i="16"/>
  <c r="O154" i="16"/>
  <c r="BD154" i="16"/>
  <c r="BE154" i="16"/>
  <c r="BG154" i="16"/>
  <c r="BH154" i="16"/>
  <c r="BI154" i="16"/>
  <c r="BJ154" i="16"/>
  <c r="BL154" i="16"/>
  <c r="BO154" i="16"/>
  <c r="BP154" i="16"/>
  <c r="BQ154" i="16"/>
  <c r="BR154" i="16"/>
  <c r="BS154" i="16"/>
  <c r="A155" i="16"/>
  <c r="B155" i="16"/>
  <c r="B155" i="16" a="1"/>
  <c r="C155" i="16"/>
  <c r="D155" i="16"/>
  <c r="E155" i="16"/>
  <c r="E155" i="16" a="1"/>
  <c r="F155" i="16"/>
  <c r="G155" i="16"/>
  <c r="G155" i="16" a="1"/>
  <c r="H155" i="16"/>
  <c r="I155" i="16"/>
  <c r="J155" i="16"/>
  <c r="O155" i="16"/>
  <c r="BD155" i="16"/>
  <c r="BE155" i="16"/>
  <c r="BG155" i="16"/>
  <c r="BH155" i="16"/>
  <c r="BI155" i="16"/>
  <c r="BJ155" i="16"/>
  <c r="BL155" i="16"/>
  <c r="BO155" i="16"/>
  <c r="BP155" i="16"/>
  <c r="BQ155" i="16"/>
  <c r="BR155" i="16"/>
  <c r="BS155" i="16"/>
  <c r="A156" i="16"/>
  <c r="B156" i="16"/>
  <c r="B156" i="16" a="1"/>
  <c r="C156" i="16"/>
  <c r="D156" i="16"/>
  <c r="E156" i="16"/>
  <c r="E156" i="16" a="1"/>
  <c r="F156" i="16"/>
  <c r="G156" i="16"/>
  <c r="G156" i="16" a="1"/>
  <c r="H156" i="16"/>
  <c r="I156" i="16"/>
  <c r="J156" i="16"/>
  <c r="O156" i="16"/>
  <c r="BD156" i="16"/>
  <c r="BE156" i="16"/>
  <c r="BG156" i="16"/>
  <c r="BH156" i="16"/>
  <c r="BI156" i="16"/>
  <c r="BJ156" i="16"/>
  <c r="BL156" i="16"/>
  <c r="BO156" i="16"/>
  <c r="BP156" i="16"/>
  <c r="BQ156" i="16"/>
  <c r="BR156" i="16"/>
  <c r="BS156" i="16"/>
  <c r="A157" i="16"/>
  <c r="B157" i="16"/>
  <c r="B157" i="16" a="1"/>
  <c r="C157" i="16"/>
  <c r="D157" i="16"/>
  <c r="E157" i="16"/>
  <c r="E157" i="16" a="1"/>
  <c r="F157" i="16"/>
  <c r="G157" i="16"/>
  <c r="G157" i="16" a="1"/>
  <c r="H157" i="16"/>
  <c r="I157" i="16"/>
  <c r="J157" i="16"/>
  <c r="O157" i="16"/>
  <c r="BD157" i="16"/>
  <c r="BE157" i="16"/>
  <c r="BG157" i="16"/>
  <c r="BH157" i="16"/>
  <c r="BI157" i="16"/>
  <c r="BJ157" i="16"/>
  <c r="BL157" i="16"/>
  <c r="BO157" i="16"/>
  <c r="BP157" i="16"/>
  <c r="BQ157" i="16"/>
  <c r="BR157" i="16"/>
  <c r="BS157" i="16"/>
  <c r="A158" i="16"/>
  <c r="B158" i="16"/>
  <c r="B158" i="16" a="1"/>
  <c r="C158" i="16"/>
  <c r="D158" i="16"/>
  <c r="E158" i="16"/>
  <c r="E158" i="16" a="1"/>
  <c r="F158" i="16"/>
  <c r="G158" i="16"/>
  <c r="G158" i="16" a="1"/>
  <c r="H158" i="16"/>
  <c r="I158" i="16"/>
  <c r="J158" i="16"/>
  <c r="O158" i="16"/>
  <c r="BD158" i="16"/>
  <c r="BE158" i="16"/>
  <c r="BG158" i="16"/>
  <c r="BH158" i="16"/>
  <c r="BI158" i="16"/>
  <c r="BJ158" i="16"/>
  <c r="BL158" i="16"/>
  <c r="BO158" i="16"/>
  <c r="BP158" i="16"/>
  <c r="BQ158" i="16"/>
  <c r="BR158" i="16"/>
  <c r="BS158" i="16"/>
  <c r="A159" i="16"/>
  <c r="B159" i="16"/>
  <c r="B159" i="16" a="1"/>
  <c r="C159" i="16"/>
  <c r="D159" i="16"/>
  <c r="E159" i="16"/>
  <c r="E159" i="16" a="1"/>
  <c r="F159" i="16"/>
  <c r="G159" i="16"/>
  <c r="G159" i="16" a="1"/>
  <c r="H159" i="16"/>
  <c r="I159" i="16"/>
  <c r="J159" i="16"/>
  <c r="O159" i="16"/>
  <c r="BD159" i="16"/>
  <c r="BE159" i="16"/>
  <c r="BG159" i="16"/>
  <c r="BH159" i="16"/>
  <c r="BI159" i="16"/>
  <c r="BJ159" i="16"/>
  <c r="BL159" i="16"/>
  <c r="BO159" i="16"/>
  <c r="BP159" i="16"/>
  <c r="BQ159" i="16"/>
  <c r="BR159" i="16"/>
  <c r="BS159" i="16"/>
  <c r="A160" i="16"/>
  <c r="B160" i="16"/>
  <c r="B160" i="16" a="1"/>
  <c r="C160" i="16"/>
  <c r="D160" i="16"/>
  <c r="E160" i="16"/>
  <c r="E160" i="16" a="1"/>
  <c r="F160" i="16"/>
  <c r="G160" i="16"/>
  <c r="G160" i="16" a="1"/>
  <c r="H160" i="16"/>
  <c r="I160" i="16"/>
  <c r="J160" i="16"/>
  <c r="O160" i="16"/>
  <c r="BD160" i="16"/>
  <c r="BE160" i="16"/>
  <c r="BG160" i="16"/>
  <c r="BH160" i="16"/>
  <c r="BI160" i="16"/>
  <c r="BJ160" i="16"/>
  <c r="BL160" i="16"/>
  <c r="BO160" i="16"/>
  <c r="BP160" i="16"/>
  <c r="BQ160" i="16"/>
  <c r="BR160" i="16"/>
  <c r="BS160" i="16"/>
  <c r="A161" i="16"/>
  <c r="B161" i="16"/>
  <c r="B161" i="16" a="1"/>
  <c r="C161" i="16"/>
  <c r="D161" i="16"/>
  <c r="E161" i="16"/>
  <c r="E161" i="16" a="1"/>
  <c r="F161" i="16"/>
  <c r="G161" i="16"/>
  <c r="G161" i="16" a="1"/>
  <c r="H161" i="16"/>
  <c r="I161" i="16"/>
  <c r="J161" i="16"/>
  <c r="O161" i="16"/>
  <c r="BD161" i="16"/>
  <c r="BE161" i="16"/>
  <c r="BG161" i="16"/>
  <c r="BH161" i="16"/>
  <c r="BI161" i="16"/>
  <c r="BJ161" i="16"/>
  <c r="BL161" i="16"/>
  <c r="BO161" i="16"/>
  <c r="BP161" i="16"/>
  <c r="BQ161" i="16"/>
  <c r="BR161" i="16"/>
  <c r="BS161" i="16"/>
  <c r="A162" i="16"/>
  <c r="B162" i="16"/>
  <c r="B162" i="16" a="1"/>
  <c r="C162" i="16"/>
  <c r="D162" i="16"/>
  <c r="E162" i="16"/>
  <c r="E162" i="16" a="1"/>
  <c r="F162" i="16"/>
  <c r="G162" i="16"/>
  <c r="G162" i="16" a="1"/>
  <c r="H162" i="16"/>
  <c r="I162" i="16"/>
  <c r="J162" i="16"/>
  <c r="O162" i="16"/>
  <c r="BD162" i="16"/>
  <c r="BE162" i="16"/>
  <c r="BG162" i="16"/>
  <c r="BH162" i="16"/>
  <c r="BI162" i="16"/>
  <c r="BJ162" i="16"/>
  <c r="BL162" i="16"/>
  <c r="BO162" i="16"/>
  <c r="BP162" i="16"/>
  <c r="BQ162" i="16"/>
  <c r="BR162" i="16"/>
  <c r="BS162" i="16"/>
  <c r="A163" i="16"/>
  <c r="B163" i="16"/>
  <c r="B163" i="16" a="1"/>
  <c r="C163" i="16"/>
  <c r="D163" i="16"/>
  <c r="E163" i="16"/>
  <c r="E163" i="16" a="1"/>
  <c r="F163" i="16"/>
  <c r="G163" i="16"/>
  <c r="G163" i="16" a="1"/>
  <c r="H163" i="16"/>
  <c r="I163" i="16"/>
  <c r="J163" i="16"/>
  <c r="O163" i="16"/>
  <c r="BD163" i="16"/>
  <c r="BE163" i="16"/>
  <c r="BG163" i="16"/>
  <c r="BH163" i="16"/>
  <c r="BI163" i="16"/>
  <c r="BJ163" i="16"/>
  <c r="BL163" i="16"/>
  <c r="BO163" i="16"/>
  <c r="BP163" i="16"/>
  <c r="BQ163" i="16"/>
  <c r="BR163" i="16"/>
  <c r="BS163" i="16"/>
  <c r="A164" i="16"/>
  <c r="B164" i="16"/>
  <c r="B164" i="16" a="1"/>
  <c r="C164" i="16"/>
  <c r="D164" i="16"/>
  <c r="E164" i="16"/>
  <c r="E164" i="16" a="1"/>
  <c r="F164" i="16"/>
  <c r="G164" i="16"/>
  <c r="G164" i="16" a="1"/>
  <c r="H164" i="16"/>
  <c r="I164" i="16"/>
  <c r="J164" i="16"/>
  <c r="O164" i="16"/>
  <c r="BD164" i="16"/>
  <c r="BE164" i="16"/>
  <c r="BG164" i="16"/>
  <c r="BH164" i="16"/>
  <c r="BI164" i="16"/>
  <c r="BJ164" i="16"/>
  <c r="BL164" i="16"/>
  <c r="BO164" i="16"/>
  <c r="BP164" i="16"/>
  <c r="BQ164" i="16"/>
  <c r="BR164" i="16"/>
  <c r="BS164" i="16"/>
  <c r="A165" i="16"/>
  <c r="B165" i="16"/>
  <c r="B165" i="16" a="1"/>
  <c r="C165" i="16"/>
  <c r="D165" i="16"/>
  <c r="E165" i="16"/>
  <c r="E165" i="16" a="1"/>
  <c r="F165" i="16"/>
  <c r="G165" i="16"/>
  <c r="G165" i="16" a="1"/>
  <c r="H165" i="16"/>
  <c r="I165" i="16"/>
  <c r="J165" i="16"/>
  <c r="O165" i="16"/>
  <c r="BD165" i="16"/>
  <c r="BE165" i="16"/>
  <c r="BG165" i="16"/>
  <c r="BH165" i="16"/>
  <c r="BI165" i="16"/>
  <c r="BJ165" i="16"/>
  <c r="BL165" i="16"/>
  <c r="BO165" i="16"/>
  <c r="BP165" i="16"/>
  <c r="BQ165" i="16"/>
  <c r="BR165" i="16"/>
  <c r="BS165" i="16"/>
  <c r="A166" i="16"/>
  <c r="B166" i="16"/>
  <c r="B166" i="16" a="1"/>
  <c r="C166" i="16"/>
  <c r="D166" i="16"/>
  <c r="E166" i="16"/>
  <c r="E166" i="16" a="1"/>
  <c r="F166" i="16"/>
  <c r="G166" i="16"/>
  <c r="G166" i="16" a="1"/>
  <c r="H166" i="16"/>
  <c r="I166" i="16"/>
  <c r="J166" i="16"/>
  <c r="O166" i="16"/>
  <c r="BD166" i="16"/>
  <c r="BE166" i="16"/>
  <c r="BG166" i="16"/>
  <c r="BH166" i="16"/>
  <c r="BI166" i="16"/>
  <c r="BJ166" i="16"/>
  <c r="BL166" i="16"/>
  <c r="BO166" i="16"/>
  <c r="BP166" i="16"/>
  <c r="BQ166" i="16"/>
  <c r="BR166" i="16"/>
  <c r="BS166" i="16"/>
  <c r="A167" i="16"/>
  <c r="B167" i="16"/>
  <c r="B167" i="16" a="1"/>
  <c r="C167" i="16"/>
  <c r="D167" i="16"/>
  <c r="E167" i="16"/>
  <c r="E167" i="16" a="1"/>
  <c r="F167" i="16"/>
  <c r="G167" i="16"/>
  <c r="G167" i="16" a="1"/>
  <c r="H167" i="16"/>
  <c r="I167" i="16"/>
  <c r="J167" i="16"/>
  <c r="O167" i="16"/>
  <c r="BD167" i="16"/>
  <c r="BE167" i="16"/>
  <c r="BG167" i="16"/>
  <c r="BH167" i="16"/>
  <c r="BI167" i="16"/>
  <c r="BJ167" i="16"/>
  <c r="BL167" i="16"/>
  <c r="BO167" i="16"/>
  <c r="BP167" i="16"/>
  <c r="BQ167" i="16"/>
  <c r="BR167" i="16"/>
  <c r="BS167" i="16"/>
  <c r="A168" i="16"/>
  <c r="B168" i="16"/>
  <c r="B168" i="16" a="1"/>
  <c r="C168" i="16"/>
  <c r="D168" i="16"/>
  <c r="E168" i="16"/>
  <c r="E168" i="16" a="1"/>
  <c r="F168" i="16"/>
  <c r="G168" i="16"/>
  <c r="G168" i="16" a="1"/>
  <c r="H168" i="16"/>
  <c r="I168" i="16"/>
  <c r="J168" i="16"/>
  <c r="O168" i="16"/>
  <c r="BD168" i="16"/>
  <c r="BE168" i="16"/>
  <c r="BG168" i="16"/>
  <c r="BH168" i="16"/>
  <c r="BI168" i="16"/>
  <c r="BJ168" i="16"/>
  <c r="BL168" i="16"/>
  <c r="BO168" i="16"/>
  <c r="BP168" i="16"/>
  <c r="BQ168" i="16"/>
  <c r="BR168" i="16"/>
  <c r="BS168" i="16"/>
  <c r="A169" i="16"/>
  <c r="B169" i="16"/>
  <c r="B169" i="16" a="1"/>
  <c r="C169" i="16"/>
  <c r="D169" i="16"/>
  <c r="E169" i="16"/>
  <c r="E169" i="16" a="1"/>
  <c r="F169" i="16"/>
  <c r="G169" i="16"/>
  <c r="G169" i="16" a="1"/>
  <c r="H169" i="16"/>
  <c r="I169" i="16"/>
  <c r="J169" i="16"/>
  <c r="O169" i="16"/>
  <c r="BD169" i="16"/>
  <c r="BE169" i="16"/>
  <c r="BG169" i="16"/>
  <c r="BH169" i="16"/>
  <c r="BI169" i="16"/>
  <c r="BJ169" i="16"/>
  <c r="BL169" i="16"/>
  <c r="BO169" i="16"/>
  <c r="BP169" i="16"/>
  <c r="BQ169" i="16"/>
  <c r="BR169" i="16"/>
  <c r="BS169" i="16"/>
  <c r="A170" i="16"/>
  <c r="B170" i="16"/>
  <c r="B170" i="16" a="1"/>
  <c r="C170" i="16"/>
  <c r="D170" i="16"/>
  <c r="E170" i="16"/>
  <c r="E170" i="16" a="1"/>
  <c r="F170" i="16"/>
  <c r="G170" i="16"/>
  <c r="G170" i="16" a="1"/>
  <c r="H170" i="16"/>
  <c r="I170" i="16"/>
  <c r="J170" i="16"/>
  <c r="O170" i="16"/>
  <c r="BD170" i="16"/>
  <c r="BE170" i="16"/>
  <c r="BG170" i="16"/>
  <c r="BH170" i="16"/>
  <c r="BI170" i="16"/>
  <c r="BJ170" i="16"/>
  <c r="BL170" i="16"/>
  <c r="BO170" i="16"/>
  <c r="BP170" i="16"/>
  <c r="BQ170" i="16"/>
  <c r="BR170" i="16"/>
  <c r="BS170" i="16"/>
  <c r="A171" i="16"/>
  <c r="B171" i="16"/>
  <c r="B171" i="16" a="1"/>
  <c r="C171" i="16"/>
  <c r="D171" i="16"/>
  <c r="E171" i="16"/>
  <c r="E171" i="16" a="1"/>
  <c r="F171" i="16"/>
  <c r="G171" i="16"/>
  <c r="G171" i="16" a="1"/>
  <c r="H171" i="16"/>
  <c r="I171" i="16"/>
  <c r="J171" i="16"/>
  <c r="O171" i="16"/>
  <c r="BD171" i="16"/>
  <c r="BE171" i="16"/>
  <c r="BG171" i="16"/>
  <c r="BH171" i="16"/>
  <c r="BI171" i="16"/>
  <c r="BJ171" i="16"/>
  <c r="BL171" i="16"/>
  <c r="BO171" i="16"/>
  <c r="BP171" i="16"/>
  <c r="BQ171" i="16"/>
  <c r="BR171" i="16"/>
  <c r="BS171" i="16"/>
  <c r="A172" i="16"/>
  <c r="B172" i="16"/>
  <c r="B172" i="16" a="1"/>
  <c r="C172" i="16"/>
  <c r="D172" i="16"/>
  <c r="E172" i="16"/>
  <c r="E172" i="16" a="1"/>
  <c r="F172" i="16"/>
  <c r="G172" i="16"/>
  <c r="G172" i="16" a="1"/>
  <c r="H172" i="16"/>
  <c r="I172" i="16"/>
  <c r="J172" i="16"/>
  <c r="O172" i="16"/>
  <c r="BD172" i="16"/>
  <c r="BE172" i="16"/>
  <c r="BG172" i="16"/>
  <c r="BH172" i="16"/>
  <c r="BI172" i="16"/>
  <c r="BJ172" i="16"/>
  <c r="BL172" i="16"/>
  <c r="BO172" i="16"/>
  <c r="BP172" i="16"/>
  <c r="BQ172" i="16"/>
  <c r="BR172" i="16"/>
  <c r="BS172" i="16"/>
  <c r="A173" i="16"/>
  <c r="B173" i="16"/>
  <c r="B173" i="16" a="1"/>
  <c r="C173" i="16"/>
  <c r="D173" i="16"/>
  <c r="E173" i="16"/>
  <c r="E173" i="16" a="1"/>
  <c r="F173" i="16"/>
  <c r="G173" i="16"/>
  <c r="G173" i="16" a="1"/>
  <c r="H173" i="16"/>
  <c r="I173" i="16"/>
  <c r="J173" i="16"/>
  <c r="O173" i="16"/>
  <c r="BD173" i="16"/>
  <c r="BE173" i="16"/>
  <c r="BG173" i="16"/>
  <c r="BH173" i="16"/>
  <c r="BI173" i="16"/>
  <c r="BJ173" i="16"/>
  <c r="BL173" i="16"/>
  <c r="BO173" i="16"/>
  <c r="BP173" i="16"/>
  <c r="BQ173" i="16"/>
  <c r="BR173" i="16"/>
  <c r="BS173" i="16"/>
  <c r="A174" i="16"/>
  <c r="B174" i="16"/>
  <c r="B174" i="16" a="1"/>
  <c r="C174" i="16"/>
  <c r="D174" i="16"/>
  <c r="E174" i="16"/>
  <c r="E174" i="16" a="1"/>
  <c r="F174" i="16"/>
  <c r="G174" i="16"/>
  <c r="G174" i="16" a="1"/>
  <c r="H174" i="16"/>
  <c r="I174" i="16"/>
  <c r="J174" i="16"/>
  <c r="O174" i="16"/>
  <c r="BD174" i="16"/>
  <c r="BE174" i="16"/>
  <c r="BG174" i="16"/>
  <c r="BH174" i="16"/>
  <c r="BI174" i="16"/>
  <c r="BJ174" i="16"/>
  <c r="BL174" i="16"/>
  <c r="BO174" i="16"/>
  <c r="BP174" i="16"/>
  <c r="BQ174" i="16"/>
  <c r="BR174" i="16"/>
  <c r="BS174" i="16"/>
  <c r="A175" i="16"/>
  <c r="B175" i="16"/>
  <c r="B175" i="16" a="1"/>
  <c r="C175" i="16"/>
  <c r="D175" i="16"/>
  <c r="E175" i="16"/>
  <c r="E175" i="16" a="1"/>
  <c r="F175" i="16"/>
  <c r="G175" i="16"/>
  <c r="G175" i="16" a="1"/>
  <c r="H175" i="16"/>
  <c r="I175" i="16"/>
  <c r="J175" i="16"/>
  <c r="O175" i="16"/>
  <c r="BD175" i="16"/>
  <c r="BE175" i="16"/>
  <c r="BG175" i="16"/>
  <c r="BH175" i="16"/>
  <c r="BI175" i="16"/>
  <c r="BJ175" i="16"/>
  <c r="BL175" i="16"/>
  <c r="BO175" i="16"/>
  <c r="BP175" i="16"/>
  <c r="BQ175" i="16"/>
  <c r="BR175" i="16"/>
  <c r="BS175" i="16"/>
  <c r="A176" i="16"/>
  <c r="B176" i="16"/>
  <c r="B176" i="16" a="1"/>
  <c r="C176" i="16"/>
  <c r="D176" i="16"/>
  <c r="E176" i="16"/>
  <c r="E176" i="16" a="1"/>
  <c r="F176" i="16"/>
  <c r="G176" i="16"/>
  <c r="G176" i="16" a="1"/>
  <c r="H176" i="16"/>
  <c r="I176" i="16"/>
  <c r="J176" i="16"/>
  <c r="O176" i="16"/>
  <c r="BD176" i="16"/>
  <c r="BE176" i="16"/>
  <c r="BG176" i="16"/>
  <c r="BH176" i="16"/>
  <c r="BI176" i="16"/>
  <c r="BJ176" i="16"/>
  <c r="BL176" i="16"/>
  <c r="BO176" i="16"/>
  <c r="BP176" i="16"/>
  <c r="BQ176" i="16"/>
  <c r="BR176" i="16"/>
  <c r="BS176" i="16"/>
  <c r="A177" i="16"/>
  <c r="B177" i="16"/>
  <c r="B177" i="16" a="1"/>
  <c r="C177" i="16"/>
  <c r="D177" i="16"/>
  <c r="E177" i="16"/>
  <c r="E177" i="16" a="1"/>
  <c r="F177" i="16"/>
  <c r="G177" i="16"/>
  <c r="G177" i="16" a="1"/>
  <c r="H177" i="16"/>
  <c r="I177" i="16"/>
  <c r="J177" i="16"/>
  <c r="O177" i="16"/>
  <c r="BD177" i="16"/>
  <c r="BE177" i="16"/>
  <c r="BG177" i="16"/>
  <c r="BH177" i="16"/>
  <c r="BI177" i="16"/>
  <c r="BJ177" i="16"/>
  <c r="BL177" i="16"/>
  <c r="BO177" i="16"/>
  <c r="BP177" i="16"/>
  <c r="BQ177" i="16"/>
  <c r="BR177" i="16"/>
  <c r="BS177" i="16"/>
  <c r="A178" i="16"/>
  <c r="B178" i="16"/>
  <c r="B178" i="16" a="1"/>
  <c r="C178" i="16"/>
  <c r="D178" i="16"/>
  <c r="E178" i="16"/>
  <c r="E178" i="16" a="1"/>
  <c r="F178" i="16"/>
  <c r="G178" i="16"/>
  <c r="G178" i="16" a="1"/>
  <c r="H178" i="16"/>
  <c r="I178" i="16"/>
  <c r="J178" i="16"/>
  <c r="O178" i="16"/>
  <c r="BD178" i="16"/>
  <c r="BE178" i="16"/>
  <c r="BG178" i="16"/>
  <c r="BH178" i="16"/>
  <c r="BI178" i="16"/>
  <c r="BJ178" i="16"/>
  <c r="BL178" i="16"/>
  <c r="BO178" i="16"/>
  <c r="BP178" i="16"/>
  <c r="BQ178" i="16"/>
  <c r="BR178" i="16"/>
  <c r="BS178" i="16"/>
  <c r="A179" i="16"/>
  <c r="B179" i="16"/>
  <c r="B179" i="16" a="1"/>
  <c r="C179" i="16"/>
  <c r="D179" i="16"/>
  <c r="E179" i="16"/>
  <c r="E179" i="16" a="1"/>
  <c r="F179" i="16"/>
  <c r="G179" i="16"/>
  <c r="G179" i="16" a="1"/>
  <c r="H179" i="16"/>
  <c r="I179" i="16"/>
  <c r="J179" i="16"/>
  <c r="O179" i="16"/>
  <c r="BD179" i="16"/>
  <c r="BE179" i="16"/>
  <c r="BG179" i="16"/>
  <c r="BH179" i="16"/>
  <c r="BI179" i="16"/>
  <c r="BJ179" i="16"/>
  <c r="BL179" i="16"/>
  <c r="BO179" i="16"/>
  <c r="BP179" i="16"/>
  <c r="BQ179" i="16"/>
  <c r="BR179" i="16"/>
  <c r="BS179" i="16"/>
  <c r="A180" i="16"/>
  <c r="B180" i="16"/>
  <c r="B180" i="16" a="1"/>
  <c r="C180" i="16"/>
  <c r="D180" i="16"/>
  <c r="E180" i="16"/>
  <c r="E180" i="16" a="1"/>
  <c r="F180" i="16"/>
  <c r="G180" i="16"/>
  <c r="G180" i="16" a="1"/>
  <c r="H180" i="16"/>
  <c r="I180" i="16"/>
  <c r="J180" i="16"/>
  <c r="O180" i="16"/>
  <c r="BD180" i="16"/>
  <c r="BE180" i="16"/>
  <c r="BG180" i="16"/>
  <c r="BH180" i="16"/>
  <c r="BI180" i="16"/>
  <c r="BJ180" i="16"/>
  <c r="BL180" i="16"/>
  <c r="BO180" i="16"/>
  <c r="BP180" i="16"/>
  <c r="BQ180" i="16"/>
  <c r="BR180" i="16"/>
  <c r="BS180" i="16"/>
  <c r="A181" i="16"/>
  <c r="B181" i="16"/>
  <c r="B181" i="16" a="1"/>
  <c r="C181" i="16"/>
  <c r="D181" i="16"/>
  <c r="E181" i="16"/>
  <c r="E181" i="16" a="1"/>
  <c r="F181" i="16"/>
  <c r="G181" i="16"/>
  <c r="G181" i="16" a="1"/>
  <c r="H181" i="16"/>
  <c r="I181" i="16"/>
  <c r="J181" i="16"/>
  <c r="O181" i="16"/>
  <c r="BD181" i="16"/>
  <c r="BE181" i="16"/>
  <c r="BG181" i="16"/>
  <c r="BH181" i="16"/>
  <c r="BI181" i="16"/>
  <c r="BJ181" i="16"/>
  <c r="BL181" i="16"/>
  <c r="BO181" i="16"/>
  <c r="BP181" i="16"/>
  <c r="BQ181" i="16"/>
  <c r="BR181" i="16"/>
  <c r="BS181" i="16"/>
  <c r="A182" i="16"/>
  <c r="B182" i="16"/>
  <c r="B182" i="16" a="1"/>
  <c r="C182" i="16"/>
  <c r="D182" i="16"/>
  <c r="E182" i="16"/>
  <c r="E182" i="16" a="1"/>
  <c r="F182" i="16"/>
  <c r="G182" i="16"/>
  <c r="G182" i="16" a="1"/>
  <c r="H182" i="16"/>
  <c r="I182" i="16"/>
  <c r="J182" i="16"/>
  <c r="O182" i="16"/>
  <c r="BD182" i="16"/>
  <c r="BE182" i="16"/>
  <c r="BG182" i="16"/>
  <c r="BH182" i="16"/>
  <c r="BI182" i="16"/>
  <c r="BJ182" i="16"/>
  <c r="BL182" i="16"/>
  <c r="BO182" i="16"/>
  <c r="BP182" i="16"/>
  <c r="BQ182" i="16"/>
  <c r="BR182" i="16"/>
  <c r="BS182" i="16"/>
  <c r="A183" i="16"/>
  <c r="B183" i="16"/>
  <c r="B183" i="16" a="1"/>
  <c r="C183" i="16"/>
  <c r="D183" i="16"/>
  <c r="E183" i="16"/>
  <c r="E183" i="16" a="1"/>
  <c r="F183" i="16"/>
  <c r="G183" i="16"/>
  <c r="G183" i="16" a="1"/>
  <c r="H183" i="16"/>
  <c r="I183" i="16"/>
  <c r="J183" i="16"/>
  <c r="O183" i="16"/>
  <c r="BD183" i="16"/>
  <c r="BE183" i="16"/>
  <c r="BG183" i="16"/>
  <c r="BH183" i="16"/>
  <c r="BI183" i="16"/>
  <c r="BJ183" i="16"/>
  <c r="BL183" i="16"/>
  <c r="BO183" i="16"/>
  <c r="BP183" i="16"/>
  <c r="BQ183" i="16"/>
  <c r="BR183" i="16"/>
  <c r="BS183" i="16"/>
  <c r="A184" i="16"/>
  <c r="B184" i="16"/>
  <c r="B184" i="16" a="1"/>
  <c r="C184" i="16"/>
  <c r="D184" i="16"/>
  <c r="E184" i="16"/>
  <c r="E184" i="16" a="1"/>
  <c r="F184" i="16"/>
  <c r="G184" i="16"/>
  <c r="G184" i="16" a="1"/>
  <c r="H184" i="16"/>
  <c r="I184" i="16"/>
  <c r="J184" i="16"/>
  <c r="O184" i="16"/>
  <c r="BD184" i="16"/>
  <c r="BE184" i="16"/>
  <c r="BG184" i="16"/>
  <c r="BH184" i="16"/>
  <c r="BI184" i="16"/>
  <c r="BJ184" i="16"/>
  <c r="BL184" i="16"/>
  <c r="BO184" i="16"/>
  <c r="BP184" i="16"/>
  <c r="BQ184" i="16"/>
  <c r="BR184" i="16"/>
  <c r="BS184" i="16"/>
  <c r="A185" i="16"/>
  <c r="B185" i="16"/>
  <c r="B185" i="16" a="1"/>
  <c r="C185" i="16"/>
  <c r="D185" i="16"/>
  <c r="E185" i="16"/>
  <c r="E185" i="16" a="1"/>
  <c r="F185" i="16"/>
  <c r="G185" i="16"/>
  <c r="G185" i="16" a="1"/>
  <c r="H185" i="16"/>
  <c r="I185" i="16"/>
  <c r="J185" i="16"/>
  <c r="O185" i="16"/>
  <c r="BD185" i="16"/>
  <c r="BE185" i="16"/>
  <c r="BG185" i="16"/>
  <c r="BH185" i="16"/>
  <c r="BI185" i="16"/>
  <c r="BJ185" i="16"/>
  <c r="BL185" i="16"/>
  <c r="BO185" i="16"/>
  <c r="BP185" i="16"/>
  <c r="BQ185" i="16"/>
  <c r="BR185" i="16"/>
  <c r="BS185" i="16"/>
  <c r="A186" i="16"/>
  <c r="B186" i="16"/>
  <c r="B186" i="16" a="1"/>
  <c r="C186" i="16"/>
  <c r="D186" i="16"/>
  <c r="E186" i="16"/>
  <c r="E186" i="16" a="1"/>
  <c r="F186" i="16"/>
  <c r="G186" i="16"/>
  <c r="G186" i="16" a="1"/>
  <c r="H186" i="16"/>
  <c r="I186" i="16"/>
  <c r="J186" i="16"/>
  <c r="O186" i="16"/>
  <c r="BD186" i="16"/>
  <c r="BE186" i="16"/>
  <c r="BG186" i="16"/>
  <c r="BH186" i="16"/>
  <c r="BI186" i="16"/>
  <c r="BJ186" i="16"/>
  <c r="BL186" i="16"/>
  <c r="BO186" i="16"/>
  <c r="BP186" i="16"/>
  <c r="BQ186" i="16"/>
  <c r="BR186" i="16"/>
  <c r="BS186" i="16"/>
  <c r="A187" i="16"/>
  <c r="B187" i="16"/>
  <c r="B187" i="16" a="1"/>
  <c r="C187" i="16"/>
  <c r="D187" i="16"/>
  <c r="E187" i="16"/>
  <c r="E187" i="16" a="1"/>
  <c r="F187" i="16"/>
  <c r="G187" i="16"/>
  <c r="G187" i="16" a="1"/>
  <c r="H187" i="16"/>
  <c r="I187" i="16"/>
  <c r="J187" i="16"/>
  <c r="O187" i="16"/>
  <c r="BD187" i="16"/>
  <c r="BE187" i="16"/>
  <c r="BG187" i="16"/>
  <c r="BH187" i="16"/>
  <c r="BI187" i="16"/>
  <c r="BJ187" i="16"/>
  <c r="BL187" i="16"/>
  <c r="BO187" i="16"/>
  <c r="BP187" i="16"/>
  <c r="BQ187" i="16"/>
  <c r="BR187" i="16"/>
  <c r="BS187" i="16"/>
  <c r="A188" i="16"/>
  <c r="B188" i="16"/>
  <c r="B188" i="16" a="1"/>
  <c r="C188" i="16"/>
  <c r="D188" i="16"/>
  <c r="E188" i="16"/>
  <c r="E188" i="16" a="1"/>
  <c r="F188" i="16"/>
  <c r="G188" i="16"/>
  <c r="G188" i="16" a="1"/>
  <c r="H188" i="16"/>
  <c r="I188" i="16"/>
  <c r="J188" i="16"/>
  <c r="O188" i="16"/>
  <c r="BD188" i="16"/>
  <c r="BE188" i="16"/>
  <c r="BG188" i="16"/>
  <c r="BH188" i="16"/>
  <c r="BI188" i="16"/>
  <c r="BJ188" i="16"/>
  <c r="BL188" i="16"/>
  <c r="BO188" i="16"/>
  <c r="BP188" i="16"/>
  <c r="BQ188" i="16"/>
  <c r="BR188" i="16"/>
  <c r="BS188" i="16"/>
  <c r="BR189" i="16"/>
  <c r="BS189" i="16"/>
  <c r="BT189" i="16"/>
  <c r="C191" i="16"/>
  <c r="J191" i="16"/>
  <c r="J192" i="16"/>
  <c r="J193" i="16"/>
  <c r="J194" i="16"/>
  <c r="A200" i="16"/>
  <c r="B200" i="16"/>
  <c r="B200" i="16" a="1"/>
  <c r="C200" i="16"/>
  <c r="D200" i="16"/>
  <c r="E200" i="16"/>
  <c r="E200" i="16" a="1"/>
  <c r="F200" i="16"/>
  <c r="G200" i="16"/>
  <c r="G200" i="16" a="1"/>
  <c r="H200" i="16"/>
  <c r="I200" i="16"/>
  <c r="J200" i="16"/>
  <c r="O200" i="16"/>
  <c r="BD200" i="16"/>
  <c r="BE200" i="16"/>
  <c r="BG200" i="16"/>
  <c r="BH200" i="16"/>
  <c r="BI200" i="16"/>
  <c r="BJ200" i="16"/>
  <c r="BL200" i="16"/>
  <c r="BO200" i="16"/>
  <c r="BP200" i="16"/>
  <c r="BQ200" i="16"/>
  <c r="BR200" i="16"/>
  <c r="BS200" i="16"/>
  <c r="A201" i="16"/>
  <c r="B201" i="16"/>
  <c r="B201" i="16" a="1"/>
  <c r="C201" i="16"/>
  <c r="D201" i="16"/>
  <c r="E201" i="16"/>
  <c r="E201" i="16" a="1"/>
  <c r="F201" i="16"/>
  <c r="G201" i="16"/>
  <c r="G201" i="16" a="1"/>
  <c r="H201" i="16"/>
  <c r="I201" i="16"/>
  <c r="J201" i="16"/>
  <c r="O201" i="16"/>
  <c r="BD201" i="16"/>
  <c r="BE201" i="16"/>
  <c r="BG201" i="16"/>
  <c r="BH201" i="16"/>
  <c r="BI201" i="16"/>
  <c r="BJ201" i="16"/>
  <c r="BL201" i="16"/>
  <c r="BO201" i="16"/>
  <c r="BP201" i="16"/>
  <c r="BQ201" i="16"/>
  <c r="BR201" i="16"/>
  <c r="BS201" i="16"/>
  <c r="A202" i="16"/>
  <c r="B202" i="16"/>
  <c r="B202" i="16" a="1"/>
  <c r="C202" i="16"/>
  <c r="D202" i="16"/>
  <c r="E202" i="16"/>
  <c r="E202" i="16" a="1"/>
  <c r="F202" i="16"/>
  <c r="G202" i="16"/>
  <c r="G202" i="16" a="1"/>
  <c r="H202" i="16"/>
  <c r="I202" i="16"/>
  <c r="J202" i="16"/>
  <c r="O202" i="16"/>
  <c r="BD202" i="16"/>
  <c r="BE202" i="16"/>
  <c r="BG202" i="16"/>
  <c r="BH202" i="16"/>
  <c r="BI202" i="16"/>
  <c r="BJ202" i="16"/>
  <c r="BL202" i="16"/>
  <c r="BO202" i="16"/>
  <c r="BP202" i="16"/>
  <c r="BQ202" i="16"/>
  <c r="BR202" i="16"/>
  <c r="BS202" i="16"/>
  <c r="A203" i="16"/>
  <c r="B203" i="16"/>
  <c r="B203" i="16" a="1"/>
  <c r="C203" i="16"/>
  <c r="D203" i="16"/>
  <c r="E203" i="16"/>
  <c r="E203" i="16" a="1"/>
  <c r="F203" i="16"/>
  <c r="G203" i="16"/>
  <c r="G203" i="16" a="1"/>
  <c r="H203" i="16"/>
  <c r="I203" i="16"/>
  <c r="J203" i="16"/>
  <c r="O203" i="16"/>
  <c r="BD203" i="16"/>
  <c r="BE203" i="16"/>
  <c r="BG203" i="16"/>
  <c r="BH203" i="16"/>
  <c r="BI203" i="16"/>
  <c r="BJ203" i="16"/>
  <c r="BL203" i="16"/>
  <c r="BO203" i="16"/>
  <c r="BP203" i="16"/>
  <c r="BQ203" i="16"/>
  <c r="BR203" i="16"/>
  <c r="BS203" i="16"/>
  <c r="A204" i="16"/>
  <c r="B204" i="16"/>
  <c r="B204" i="16" a="1"/>
  <c r="C204" i="16"/>
  <c r="D204" i="16"/>
  <c r="E204" i="16"/>
  <c r="E204" i="16" a="1"/>
  <c r="F204" i="16"/>
  <c r="G204" i="16"/>
  <c r="G204" i="16" a="1"/>
  <c r="H204" i="16"/>
  <c r="I204" i="16"/>
  <c r="J204" i="16"/>
  <c r="O204" i="16"/>
  <c r="BD204" i="16"/>
  <c r="BE204" i="16"/>
  <c r="BG204" i="16"/>
  <c r="BH204" i="16"/>
  <c r="BI204" i="16"/>
  <c r="BJ204" i="16"/>
  <c r="BL204" i="16"/>
  <c r="BO204" i="16"/>
  <c r="BP204" i="16"/>
  <c r="BQ204" i="16"/>
  <c r="BR204" i="16"/>
  <c r="BS204" i="16"/>
  <c r="A205" i="16"/>
  <c r="B205" i="16"/>
  <c r="B205" i="16" a="1"/>
  <c r="C205" i="16"/>
  <c r="D205" i="16"/>
  <c r="E205" i="16"/>
  <c r="E205" i="16" a="1"/>
  <c r="F205" i="16"/>
  <c r="G205" i="16"/>
  <c r="G205" i="16" a="1"/>
  <c r="H205" i="16"/>
  <c r="I205" i="16"/>
  <c r="J205" i="16"/>
  <c r="O205" i="16"/>
  <c r="BD205" i="16"/>
  <c r="BE205" i="16"/>
  <c r="BG205" i="16"/>
  <c r="BH205" i="16"/>
  <c r="BI205" i="16"/>
  <c r="BJ205" i="16"/>
  <c r="BL205" i="16"/>
  <c r="BO205" i="16"/>
  <c r="BP205" i="16"/>
  <c r="BQ205" i="16"/>
  <c r="BR205" i="16"/>
  <c r="BS205" i="16"/>
  <c r="A206" i="16"/>
  <c r="B206" i="16"/>
  <c r="B206" i="16" a="1"/>
  <c r="C206" i="16"/>
  <c r="D206" i="16"/>
  <c r="E206" i="16"/>
  <c r="E206" i="16" a="1"/>
  <c r="F206" i="16"/>
  <c r="G206" i="16"/>
  <c r="G206" i="16" a="1"/>
  <c r="H206" i="16"/>
  <c r="I206" i="16"/>
  <c r="J206" i="16"/>
  <c r="O206" i="16"/>
  <c r="BD206" i="16"/>
  <c r="BE206" i="16"/>
  <c r="BG206" i="16"/>
  <c r="BH206" i="16"/>
  <c r="BI206" i="16"/>
  <c r="BJ206" i="16"/>
  <c r="BL206" i="16"/>
  <c r="BO206" i="16"/>
  <c r="BP206" i="16"/>
  <c r="BQ206" i="16"/>
  <c r="BR206" i="16"/>
  <c r="BS206" i="16"/>
  <c r="A207" i="16"/>
  <c r="B207" i="16"/>
  <c r="B207" i="16" a="1"/>
  <c r="C207" i="16"/>
  <c r="D207" i="16"/>
  <c r="E207" i="16"/>
  <c r="E207" i="16" a="1"/>
  <c r="F207" i="16"/>
  <c r="G207" i="16"/>
  <c r="G207" i="16" a="1"/>
  <c r="H207" i="16"/>
  <c r="I207" i="16"/>
  <c r="J207" i="16"/>
  <c r="O207" i="16"/>
  <c r="BD207" i="16"/>
  <c r="BE207" i="16"/>
  <c r="BG207" i="16"/>
  <c r="BH207" i="16"/>
  <c r="BI207" i="16"/>
  <c r="BJ207" i="16"/>
  <c r="BL207" i="16"/>
  <c r="BO207" i="16"/>
  <c r="BP207" i="16"/>
  <c r="BQ207" i="16"/>
  <c r="BR207" i="16"/>
  <c r="BS207" i="16"/>
  <c r="A208" i="16"/>
  <c r="B208" i="16"/>
  <c r="B208" i="16" a="1"/>
  <c r="C208" i="16"/>
  <c r="D208" i="16"/>
  <c r="E208" i="16"/>
  <c r="E208" i="16" a="1"/>
  <c r="F208" i="16"/>
  <c r="G208" i="16"/>
  <c r="G208" i="16" a="1"/>
  <c r="H208" i="16"/>
  <c r="I208" i="16"/>
  <c r="J208" i="16"/>
  <c r="O208" i="16"/>
  <c r="BD208" i="16"/>
  <c r="BE208" i="16"/>
  <c r="BG208" i="16"/>
  <c r="BH208" i="16"/>
  <c r="BI208" i="16"/>
  <c r="BJ208" i="16"/>
  <c r="BL208" i="16"/>
  <c r="BO208" i="16"/>
  <c r="BP208" i="16"/>
  <c r="BQ208" i="16"/>
  <c r="BR208" i="16"/>
  <c r="BS208" i="16"/>
  <c r="A209" i="16"/>
  <c r="B209" i="16"/>
  <c r="B209" i="16" a="1"/>
  <c r="C209" i="16"/>
  <c r="D209" i="16"/>
  <c r="E209" i="16"/>
  <c r="E209" i="16" a="1"/>
  <c r="F209" i="16"/>
  <c r="G209" i="16"/>
  <c r="G209" i="16" a="1"/>
  <c r="H209" i="16"/>
  <c r="I209" i="16"/>
  <c r="J209" i="16"/>
  <c r="O209" i="16"/>
  <c r="BD209" i="16"/>
  <c r="BE209" i="16"/>
  <c r="BG209" i="16"/>
  <c r="BH209" i="16"/>
  <c r="BI209" i="16"/>
  <c r="BJ209" i="16"/>
  <c r="BL209" i="16"/>
  <c r="BO209" i="16"/>
  <c r="BP209" i="16"/>
  <c r="BQ209" i="16"/>
  <c r="BR209" i="16"/>
  <c r="BS209" i="16"/>
  <c r="A210" i="16"/>
  <c r="B210" i="16"/>
  <c r="B210" i="16" a="1"/>
  <c r="C210" i="16"/>
  <c r="D210" i="16"/>
  <c r="E210" i="16"/>
  <c r="E210" i="16" a="1"/>
  <c r="F210" i="16"/>
  <c r="G210" i="16"/>
  <c r="G210" i="16" a="1"/>
  <c r="H210" i="16"/>
  <c r="I210" i="16"/>
  <c r="J210" i="16"/>
  <c r="O210" i="16"/>
  <c r="BD210" i="16"/>
  <c r="BE210" i="16"/>
  <c r="BG210" i="16"/>
  <c r="BH210" i="16"/>
  <c r="BI210" i="16"/>
  <c r="BJ210" i="16"/>
  <c r="BL210" i="16"/>
  <c r="BO210" i="16"/>
  <c r="BP210" i="16"/>
  <c r="BQ210" i="16"/>
  <c r="BR210" i="16"/>
  <c r="BS210" i="16"/>
  <c r="A211" i="16"/>
  <c r="B211" i="16"/>
  <c r="B211" i="16" a="1"/>
  <c r="C211" i="16"/>
  <c r="D211" i="16"/>
  <c r="E211" i="16"/>
  <c r="E211" i="16" a="1"/>
  <c r="F211" i="16"/>
  <c r="G211" i="16"/>
  <c r="G211" i="16" a="1"/>
  <c r="H211" i="16"/>
  <c r="I211" i="16"/>
  <c r="J211" i="16"/>
  <c r="O211" i="16"/>
  <c r="BD211" i="16"/>
  <c r="BE211" i="16"/>
  <c r="BG211" i="16"/>
  <c r="BH211" i="16"/>
  <c r="BI211" i="16"/>
  <c r="BJ211" i="16"/>
  <c r="BL211" i="16"/>
  <c r="BO211" i="16"/>
  <c r="BP211" i="16"/>
  <c r="BQ211" i="16"/>
  <c r="BR211" i="16"/>
  <c r="BS211" i="16"/>
  <c r="A212" i="16"/>
  <c r="B212" i="16"/>
  <c r="B212" i="16" a="1"/>
  <c r="C212" i="16"/>
  <c r="D212" i="16"/>
  <c r="E212" i="16"/>
  <c r="E212" i="16" a="1"/>
  <c r="F212" i="16"/>
  <c r="G212" i="16"/>
  <c r="G212" i="16" a="1"/>
  <c r="H212" i="16"/>
  <c r="I212" i="16"/>
  <c r="J212" i="16"/>
  <c r="O212" i="16"/>
  <c r="BD212" i="16"/>
  <c r="BE212" i="16"/>
  <c r="BG212" i="16"/>
  <c r="BH212" i="16"/>
  <c r="BI212" i="16"/>
  <c r="BJ212" i="16"/>
  <c r="BL212" i="16"/>
  <c r="BO212" i="16"/>
  <c r="BP212" i="16"/>
  <c r="BQ212" i="16"/>
  <c r="BR212" i="16"/>
  <c r="BS212" i="16"/>
  <c r="A213" i="16"/>
  <c r="B213" i="16"/>
  <c r="B213" i="16" a="1"/>
  <c r="C213" i="16"/>
  <c r="D213" i="16"/>
  <c r="E213" i="16"/>
  <c r="E213" i="16" a="1"/>
  <c r="F213" i="16"/>
  <c r="G213" i="16"/>
  <c r="G213" i="16" a="1"/>
  <c r="H213" i="16"/>
  <c r="I213" i="16"/>
  <c r="J213" i="16"/>
  <c r="O213" i="16"/>
  <c r="BD213" i="16"/>
  <c r="BE213" i="16"/>
  <c r="BG213" i="16"/>
  <c r="BH213" i="16"/>
  <c r="BI213" i="16"/>
  <c r="BJ213" i="16"/>
  <c r="BL213" i="16"/>
  <c r="BO213" i="16"/>
  <c r="BP213" i="16"/>
  <c r="BQ213" i="16"/>
  <c r="BR213" i="16"/>
  <c r="BS213" i="16"/>
  <c r="A214" i="16"/>
  <c r="B214" i="16"/>
  <c r="B214" i="16" a="1"/>
  <c r="C214" i="16"/>
  <c r="D214" i="16"/>
  <c r="E214" i="16"/>
  <c r="E214" i="16" a="1"/>
  <c r="F214" i="16"/>
  <c r="G214" i="16"/>
  <c r="G214" i="16" a="1"/>
  <c r="H214" i="16"/>
  <c r="I214" i="16"/>
  <c r="J214" i="16"/>
  <c r="O214" i="16"/>
  <c r="BD214" i="16"/>
  <c r="BE214" i="16"/>
  <c r="BG214" i="16"/>
  <c r="BH214" i="16"/>
  <c r="BI214" i="16"/>
  <c r="BJ214" i="16"/>
  <c r="BL214" i="16"/>
  <c r="BO214" i="16"/>
  <c r="BP214" i="16"/>
  <c r="BQ214" i="16"/>
  <c r="BR214" i="16"/>
  <c r="BS214" i="16"/>
  <c r="A215" i="16"/>
  <c r="B215" i="16"/>
  <c r="B215" i="16" a="1"/>
  <c r="C215" i="16"/>
  <c r="D215" i="16"/>
  <c r="E215" i="16"/>
  <c r="E215" i="16" a="1"/>
  <c r="F215" i="16"/>
  <c r="G215" i="16"/>
  <c r="G215" i="16" a="1"/>
  <c r="H215" i="16"/>
  <c r="I215" i="16"/>
  <c r="J215" i="16"/>
  <c r="O215" i="16"/>
  <c r="BD215" i="16"/>
  <c r="BE215" i="16"/>
  <c r="BG215" i="16"/>
  <c r="BH215" i="16"/>
  <c r="BI215" i="16"/>
  <c r="BJ215" i="16"/>
  <c r="BL215" i="16"/>
  <c r="BO215" i="16"/>
  <c r="BP215" i="16"/>
  <c r="BQ215" i="16"/>
  <c r="BR215" i="16"/>
  <c r="BS215" i="16"/>
  <c r="A216" i="16"/>
  <c r="B216" i="16"/>
  <c r="B216" i="16" a="1"/>
  <c r="C216" i="16"/>
  <c r="D216" i="16"/>
  <c r="E216" i="16"/>
  <c r="E216" i="16" a="1"/>
  <c r="F216" i="16"/>
  <c r="G216" i="16"/>
  <c r="G216" i="16" a="1"/>
  <c r="H216" i="16"/>
  <c r="I216" i="16"/>
  <c r="J216" i="16"/>
  <c r="O216" i="16"/>
  <c r="BD216" i="16"/>
  <c r="BE216" i="16"/>
  <c r="BG216" i="16"/>
  <c r="BH216" i="16"/>
  <c r="BI216" i="16"/>
  <c r="BJ216" i="16"/>
  <c r="BL216" i="16"/>
  <c r="BO216" i="16"/>
  <c r="BP216" i="16"/>
  <c r="BQ216" i="16"/>
  <c r="BR216" i="16"/>
  <c r="BS216" i="16"/>
  <c r="A217" i="16"/>
  <c r="B217" i="16"/>
  <c r="B217" i="16" a="1"/>
  <c r="C217" i="16"/>
  <c r="D217" i="16"/>
  <c r="E217" i="16"/>
  <c r="E217" i="16" a="1"/>
  <c r="F217" i="16"/>
  <c r="G217" i="16"/>
  <c r="G217" i="16" a="1"/>
  <c r="H217" i="16"/>
  <c r="I217" i="16"/>
  <c r="J217" i="16"/>
  <c r="O217" i="16"/>
  <c r="BD217" i="16"/>
  <c r="BE217" i="16"/>
  <c r="BG217" i="16"/>
  <c r="BH217" i="16"/>
  <c r="BI217" i="16"/>
  <c r="BJ217" i="16"/>
  <c r="BL217" i="16"/>
  <c r="BO217" i="16"/>
  <c r="BP217" i="16"/>
  <c r="BQ217" i="16"/>
  <c r="BR217" i="16"/>
  <c r="BS217" i="16"/>
  <c r="A218" i="16"/>
  <c r="B218" i="16"/>
  <c r="B218" i="16" a="1"/>
  <c r="C218" i="16"/>
  <c r="D218" i="16"/>
  <c r="E218" i="16"/>
  <c r="E218" i="16" a="1"/>
  <c r="F218" i="16"/>
  <c r="G218" i="16"/>
  <c r="G218" i="16" a="1"/>
  <c r="H218" i="16"/>
  <c r="I218" i="16"/>
  <c r="J218" i="16"/>
  <c r="O218" i="16"/>
  <c r="BD218" i="16"/>
  <c r="BE218" i="16"/>
  <c r="BG218" i="16"/>
  <c r="BH218" i="16"/>
  <c r="BI218" i="16"/>
  <c r="BJ218" i="16"/>
  <c r="BL218" i="16"/>
  <c r="BO218" i="16"/>
  <c r="BP218" i="16"/>
  <c r="BQ218" i="16"/>
  <c r="BR218" i="16"/>
  <c r="BS218" i="16"/>
  <c r="A219" i="16"/>
  <c r="B219" i="16"/>
  <c r="B219" i="16" a="1"/>
  <c r="C219" i="16"/>
  <c r="D219" i="16"/>
  <c r="E219" i="16"/>
  <c r="E219" i="16" a="1"/>
  <c r="F219" i="16"/>
  <c r="G219" i="16"/>
  <c r="G219" i="16" a="1"/>
  <c r="H219" i="16"/>
  <c r="I219" i="16"/>
  <c r="J219" i="16"/>
  <c r="O219" i="16"/>
  <c r="BD219" i="16"/>
  <c r="BE219" i="16"/>
  <c r="BG219" i="16"/>
  <c r="BH219" i="16"/>
  <c r="BI219" i="16"/>
  <c r="BJ219" i="16"/>
  <c r="BL219" i="16"/>
  <c r="BO219" i="16"/>
  <c r="BP219" i="16"/>
  <c r="BQ219" i="16"/>
  <c r="BR219" i="16"/>
  <c r="BS219" i="16"/>
  <c r="A220" i="16"/>
  <c r="B220" i="16"/>
  <c r="B220" i="16" a="1"/>
  <c r="C220" i="16"/>
  <c r="D220" i="16"/>
  <c r="E220" i="16"/>
  <c r="E220" i="16" a="1"/>
  <c r="F220" i="16"/>
  <c r="G220" i="16"/>
  <c r="G220" i="16" a="1"/>
  <c r="H220" i="16"/>
  <c r="I220" i="16"/>
  <c r="J220" i="16"/>
  <c r="O220" i="16"/>
  <c r="BD220" i="16"/>
  <c r="BE220" i="16"/>
  <c r="BG220" i="16"/>
  <c r="BH220" i="16"/>
  <c r="BI220" i="16"/>
  <c r="BJ220" i="16"/>
  <c r="BL220" i="16"/>
  <c r="BO220" i="16"/>
  <c r="BP220" i="16"/>
  <c r="BQ220" i="16"/>
  <c r="BR220" i="16"/>
  <c r="BS220" i="16"/>
  <c r="A221" i="16"/>
  <c r="B221" i="16"/>
  <c r="B221" i="16" a="1"/>
  <c r="C221" i="16"/>
  <c r="D221" i="16"/>
  <c r="E221" i="16"/>
  <c r="E221" i="16" a="1"/>
  <c r="F221" i="16"/>
  <c r="G221" i="16"/>
  <c r="G221" i="16" a="1"/>
  <c r="H221" i="16"/>
  <c r="I221" i="16"/>
  <c r="J221" i="16"/>
  <c r="O221" i="16"/>
  <c r="BD221" i="16"/>
  <c r="BE221" i="16"/>
  <c r="BG221" i="16"/>
  <c r="BH221" i="16"/>
  <c r="BI221" i="16"/>
  <c r="BJ221" i="16"/>
  <c r="BL221" i="16"/>
  <c r="BO221" i="16"/>
  <c r="BP221" i="16"/>
  <c r="BQ221" i="16"/>
  <c r="BR221" i="16"/>
  <c r="BS221" i="16"/>
  <c r="A222" i="16"/>
  <c r="B222" i="16"/>
  <c r="B222" i="16" a="1"/>
  <c r="C222" i="16"/>
  <c r="D222" i="16"/>
  <c r="E222" i="16"/>
  <c r="E222" i="16" a="1"/>
  <c r="F222" i="16"/>
  <c r="G222" i="16"/>
  <c r="G222" i="16" a="1"/>
  <c r="H222" i="16"/>
  <c r="I222" i="16"/>
  <c r="J222" i="16"/>
  <c r="O222" i="16"/>
  <c r="BD222" i="16"/>
  <c r="BE222" i="16"/>
  <c r="BG222" i="16"/>
  <c r="BH222" i="16"/>
  <c r="BI222" i="16"/>
  <c r="BJ222" i="16"/>
  <c r="BL222" i="16"/>
  <c r="BO222" i="16"/>
  <c r="BP222" i="16"/>
  <c r="BQ222" i="16"/>
  <c r="BR222" i="16"/>
  <c r="BS222" i="16"/>
  <c r="A223" i="16"/>
  <c r="B223" i="16"/>
  <c r="B223" i="16" a="1"/>
  <c r="C223" i="16"/>
  <c r="D223" i="16"/>
  <c r="E223" i="16"/>
  <c r="E223" i="16" a="1"/>
  <c r="F223" i="16"/>
  <c r="G223" i="16"/>
  <c r="G223" i="16" a="1"/>
  <c r="H223" i="16"/>
  <c r="I223" i="16"/>
  <c r="J223" i="16"/>
  <c r="O223" i="16"/>
  <c r="BD223" i="16"/>
  <c r="BE223" i="16"/>
  <c r="BG223" i="16"/>
  <c r="BH223" i="16"/>
  <c r="BI223" i="16"/>
  <c r="BJ223" i="16"/>
  <c r="BL223" i="16"/>
  <c r="BO223" i="16"/>
  <c r="BP223" i="16"/>
  <c r="BQ223" i="16"/>
  <c r="BR223" i="16"/>
  <c r="BS223" i="16"/>
  <c r="A224" i="16"/>
  <c r="B224" i="16"/>
  <c r="B224" i="16" a="1"/>
  <c r="C224" i="16"/>
  <c r="D224" i="16"/>
  <c r="E224" i="16"/>
  <c r="E224" i="16" a="1"/>
  <c r="F224" i="16"/>
  <c r="G224" i="16"/>
  <c r="G224" i="16" a="1"/>
  <c r="H224" i="16"/>
  <c r="I224" i="16"/>
  <c r="J224" i="16"/>
  <c r="O224" i="16"/>
  <c r="BD224" i="16"/>
  <c r="BE224" i="16"/>
  <c r="BG224" i="16"/>
  <c r="BH224" i="16"/>
  <c r="BI224" i="16"/>
  <c r="BJ224" i="16"/>
  <c r="BL224" i="16"/>
  <c r="BO224" i="16"/>
  <c r="BP224" i="16"/>
  <c r="BQ224" i="16"/>
  <c r="BR224" i="16"/>
  <c r="BS224" i="16"/>
  <c r="A225" i="16"/>
  <c r="B225" i="16"/>
  <c r="B225" i="16" a="1"/>
  <c r="C225" i="16"/>
  <c r="D225" i="16"/>
  <c r="E225" i="16"/>
  <c r="E225" i="16" a="1"/>
  <c r="F225" i="16"/>
  <c r="G225" i="16"/>
  <c r="G225" i="16" a="1"/>
  <c r="H225" i="16"/>
  <c r="I225" i="16"/>
  <c r="J225" i="16"/>
  <c r="O225" i="16"/>
  <c r="BD225" i="16"/>
  <c r="BE225" i="16"/>
  <c r="BG225" i="16"/>
  <c r="BH225" i="16"/>
  <c r="BI225" i="16"/>
  <c r="BJ225" i="16"/>
  <c r="BL225" i="16"/>
  <c r="BO225" i="16"/>
  <c r="BP225" i="16"/>
  <c r="BQ225" i="16"/>
  <c r="BR225" i="16"/>
  <c r="BS225" i="16"/>
  <c r="A226" i="16"/>
  <c r="B226" i="16"/>
  <c r="B226" i="16" a="1"/>
  <c r="C226" i="16"/>
  <c r="D226" i="16"/>
  <c r="E226" i="16"/>
  <c r="E226" i="16" a="1"/>
  <c r="F226" i="16"/>
  <c r="G226" i="16"/>
  <c r="G226" i="16" a="1"/>
  <c r="H226" i="16"/>
  <c r="I226" i="16"/>
  <c r="J226" i="16"/>
  <c r="O226" i="16"/>
  <c r="BD226" i="16"/>
  <c r="BE226" i="16"/>
  <c r="BG226" i="16"/>
  <c r="BH226" i="16"/>
  <c r="BI226" i="16"/>
  <c r="BJ226" i="16"/>
  <c r="BL226" i="16"/>
  <c r="BO226" i="16"/>
  <c r="BP226" i="16"/>
  <c r="BQ226" i="16"/>
  <c r="BR226" i="16"/>
  <c r="BS226" i="16"/>
  <c r="A227" i="16"/>
  <c r="B227" i="16"/>
  <c r="B227" i="16" a="1"/>
  <c r="C227" i="16"/>
  <c r="D227" i="16"/>
  <c r="E227" i="16"/>
  <c r="E227" i="16" a="1"/>
  <c r="F227" i="16"/>
  <c r="G227" i="16"/>
  <c r="G227" i="16" a="1"/>
  <c r="H227" i="16"/>
  <c r="I227" i="16"/>
  <c r="J227" i="16"/>
  <c r="O227" i="16"/>
  <c r="BD227" i="16"/>
  <c r="BE227" i="16"/>
  <c r="BG227" i="16"/>
  <c r="BH227" i="16"/>
  <c r="BI227" i="16"/>
  <c r="BJ227" i="16"/>
  <c r="BL227" i="16"/>
  <c r="BO227" i="16"/>
  <c r="BP227" i="16"/>
  <c r="BQ227" i="16"/>
  <c r="BR227" i="16"/>
  <c r="BS227" i="16"/>
  <c r="A228" i="16"/>
  <c r="B228" i="16"/>
  <c r="B228" i="16" a="1"/>
  <c r="C228" i="16"/>
  <c r="D228" i="16"/>
  <c r="E228" i="16"/>
  <c r="E228" i="16" a="1"/>
  <c r="F228" i="16"/>
  <c r="G228" i="16"/>
  <c r="G228" i="16" a="1"/>
  <c r="H228" i="16"/>
  <c r="I228" i="16"/>
  <c r="J228" i="16"/>
  <c r="O228" i="16"/>
  <c r="BD228" i="16"/>
  <c r="BE228" i="16"/>
  <c r="BG228" i="16"/>
  <c r="BH228" i="16"/>
  <c r="BI228" i="16"/>
  <c r="BJ228" i="16"/>
  <c r="BL228" i="16"/>
  <c r="BO228" i="16"/>
  <c r="BP228" i="16"/>
  <c r="BQ228" i="16"/>
  <c r="BR228" i="16"/>
  <c r="BS228" i="16"/>
  <c r="A229" i="16"/>
  <c r="B229" i="16"/>
  <c r="B229" i="16" a="1"/>
  <c r="C229" i="16"/>
  <c r="D229" i="16"/>
  <c r="E229" i="16"/>
  <c r="E229" i="16" a="1"/>
  <c r="F229" i="16"/>
  <c r="G229" i="16"/>
  <c r="G229" i="16" a="1"/>
  <c r="H229" i="16"/>
  <c r="I229" i="16"/>
  <c r="J229" i="16"/>
  <c r="O229" i="16"/>
  <c r="BD229" i="16"/>
  <c r="BE229" i="16"/>
  <c r="BG229" i="16"/>
  <c r="BH229" i="16"/>
  <c r="BI229" i="16"/>
  <c r="BJ229" i="16"/>
  <c r="BL229" i="16"/>
  <c r="BO229" i="16"/>
  <c r="BP229" i="16"/>
  <c r="BQ229" i="16"/>
  <c r="BR229" i="16"/>
  <c r="BS229" i="16"/>
  <c r="A230" i="16"/>
  <c r="B230" i="16"/>
  <c r="B230" i="16" a="1"/>
  <c r="C230" i="16"/>
  <c r="D230" i="16"/>
  <c r="E230" i="16"/>
  <c r="E230" i="16" a="1"/>
  <c r="F230" i="16"/>
  <c r="G230" i="16"/>
  <c r="G230" i="16" a="1"/>
  <c r="H230" i="16"/>
  <c r="I230" i="16"/>
  <c r="J230" i="16"/>
  <c r="O230" i="16"/>
  <c r="BD230" i="16"/>
  <c r="BE230" i="16"/>
  <c r="BG230" i="16"/>
  <c r="BH230" i="16"/>
  <c r="BI230" i="16"/>
  <c r="BJ230" i="16"/>
  <c r="BL230" i="16"/>
  <c r="BO230" i="16"/>
  <c r="BP230" i="16"/>
  <c r="BQ230" i="16"/>
  <c r="BR230" i="16"/>
  <c r="BS230" i="16"/>
  <c r="A231" i="16"/>
  <c r="B231" i="16"/>
  <c r="B231" i="16" a="1"/>
  <c r="C231" i="16"/>
  <c r="D231" i="16"/>
  <c r="E231" i="16"/>
  <c r="E231" i="16" a="1"/>
  <c r="F231" i="16"/>
  <c r="G231" i="16"/>
  <c r="G231" i="16" a="1"/>
  <c r="H231" i="16"/>
  <c r="I231" i="16"/>
  <c r="J231" i="16"/>
  <c r="O231" i="16"/>
  <c r="BD231" i="16"/>
  <c r="BE231" i="16"/>
  <c r="BG231" i="16"/>
  <c r="BH231" i="16"/>
  <c r="BI231" i="16"/>
  <c r="BJ231" i="16"/>
  <c r="BL231" i="16"/>
  <c r="BO231" i="16"/>
  <c r="BP231" i="16"/>
  <c r="BQ231" i="16"/>
  <c r="BR231" i="16"/>
  <c r="BS231" i="16"/>
  <c r="A232" i="16"/>
  <c r="B232" i="16"/>
  <c r="B232" i="16" a="1"/>
  <c r="C232" i="16"/>
  <c r="D232" i="16"/>
  <c r="E232" i="16"/>
  <c r="E232" i="16" a="1"/>
  <c r="F232" i="16"/>
  <c r="G232" i="16"/>
  <c r="G232" i="16" a="1"/>
  <c r="H232" i="16"/>
  <c r="I232" i="16"/>
  <c r="J232" i="16"/>
  <c r="O232" i="16"/>
  <c r="BD232" i="16"/>
  <c r="BE232" i="16"/>
  <c r="BG232" i="16"/>
  <c r="BH232" i="16"/>
  <c r="BI232" i="16"/>
  <c r="BJ232" i="16"/>
  <c r="BL232" i="16"/>
  <c r="BO232" i="16"/>
  <c r="BP232" i="16"/>
  <c r="BQ232" i="16"/>
  <c r="BR232" i="16"/>
  <c r="BS232" i="16"/>
  <c r="A233" i="16"/>
  <c r="B233" i="16"/>
  <c r="B233" i="16" a="1"/>
  <c r="C233" i="16"/>
  <c r="D233" i="16"/>
  <c r="E233" i="16"/>
  <c r="E233" i="16" a="1"/>
  <c r="F233" i="16"/>
  <c r="G233" i="16"/>
  <c r="G233" i="16" a="1"/>
  <c r="H233" i="16"/>
  <c r="I233" i="16"/>
  <c r="J233" i="16"/>
  <c r="O233" i="16"/>
  <c r="BD233" i="16"/>
  <c r="BE233" i="16"/>
  <c r="BG233" i="16"/>
  <c r="BH233" i="16"/>
  <c r="BI233" i="16"/>
  <c r="BJ233" i="16"/>
  <c r="BL233" i="16"/>
  <c r="BO233" i="16"/>
  <c r="BP233" i="16"/>
  <c r="BQ233" i="16"/>
  <c r="BR233" i="16"/>
  <c r="BS233" i="16"/>
  <c r="A234" i="16"/>
  <c r="B234" i="16"/>
  <c r="B234" i="16" a="1"/>
  <c r="C234" i="16"/>
  <c r="D234" i="16"/>
  <c r="E234" i="16"/>
  <c r="E234" i="16" a="1"/>
  <c r="F234" i="16"/>
  <c r="G234" i="16"/>
  <c r="G234" i="16" a="1"/>
  <c r="H234" i="16"/>
  <c r="I234" i="16"/>
  <c r="J234" i="16"/>
  <c r="O234" i="16"/>
  <c r="BD234" i="16"/>
  <c r="BE234" i="16"/>
  <c r="BG234" i="16"/>
  <c r="BH234" i="16"/>
  <c r="BI234" i="16"/>
  <c r="BJ234" i="16"/>
  <c r="BL234" i="16"/>
  <c r="BO234" i="16"/>
  <c r="BP234" i="16"/>
  <c r="BQ234" i="16"/>
  <c r="BR234" i="16"/>
  <c r="BS234" i="16"/>
  <c r="A235" i="16"/>
  <c r="B235" i="16"/>
  <c r="B235" i="16" a="1"/>
  <c r="C235" i="16"/>
  <c r="D235" i="16"/>
  <c r="E235" i="16"/>
  <c r="E235" i="16" a="1"/>
  <c r="F235" i="16"/>
  <c r="G235" i="16"/>
  <c r="G235" i="16" a="1"/>
  <c r="H235" i="16"/>
  <c r="I235" i="16"/>
  <c r="J235" i="16"/>
  <c r="O235" i="16"/>
  <c r="BD235" i="16"/>
  <c r="BE235" i="16"/>
  <c r="BG235" i="16"/>
  <c r="BH235" i="16"/>
  <c r="BI235" i="16"/>
  <c r="BJ235" i="16"/>
  <c r="BL235" i="16"/>
  <c r="BO235" i="16"/>
  <c r="BP235" i="16"/>
  <c r="BQ235" i="16"/>
  <c r="BR235" i="16"/>
  <c r="BS235" i="16"/>
  <c r="A236" i="16"/>
  <c r="B236" i="16"/>
  <c r="B236" i="16" a="1"/>
  <c r="C236" i="16"/>
  <c r="D236" i="16"/>
  <c r="E236" i="16"/>
  <c r="E236" i="16" a="1"/>
  <c r="F236" i="16"/>
  <c r="G236" i="16"/>
  <c r="G236" i="16" a="1"/>
  <c r="H236" i="16"/>
  <c r="I236" i="16"/>
  <c r="J236" i="16"/>
  <c r="O236" i="16"/>
  <c r="BD236" i="16"/>
  <c r="BE236" i="16"/>
  <c r="BG236" i="16"/>
  <c r="BH236" i="16"/>
  <c r="BI236" i="16"/>
  <c r="BJ236" i="16"/>
  <c r="BL236" i="16"/>
  <c r="BO236" i="16"/>
  <c r="BP236" i="16"/>
  <c r="BQ236" i="16"/>
  <c r="BR236" i="16"/>
  <c r="BS236" i="16"/>
  <c r="A237" i="16"/>
  <c r="B237" i="16"/>
  <c r="B237" i="16" a="1"/>
  <c r="C237" i="16"/>
  <c r="D237" i="16"/>
  <c r="E237" i="16"/>
  <c r="E237" i="16" a="1"/>
  <c r="F237" i="16"/>
  <c r="G237" i="16"/>
  <c r="G237" i="16" a="1"/>
  <c r="H237" i="16"/>
  <c r="I237" i="16"/>
  <c r="J237" i="16"/>
  <c r="O237" i="16"/>
  <c r="BD237" i="16"/>
  <c r="BE237" i="16"/>
  <c r="BG237" i="16"/>
  <c r="BH237" i="16"/>
  <c r="BI237" i="16"/>
  <c r="BJ237" i="16"/>
  <c r="BL237" i="16"/>
  <c r="BO237" i="16"/>
  <c r="BP237" i="16"/>
  <c r="BQ237" i="16"/>
  <c r="BR237" i="16"/>
  <c r="BS237" i="16"/>
  <c r="A238" i="16"/>
  <c r="B238" i="16"/>
  <c r="B238" i="16" a="1"/>
  <c r="C238" i="16"/>
  <c r="D238" i="16"/>
  <c r="E238" i="16"/>
  <c r="E238" i="16" a="1"/>
  <c r="F238" i="16"/>
  <c r="G238" i="16"/>
  <c r="G238" i="16" a="1"/>
  <c r="H238" i="16"/>
  <c r="I238" i="16"/>
  <c r="J238" i="16"/>
  <c r="O238" i="16"/>
  <c r="BD238" i="16"/>
  <c r="BE238" i="16"/>
  <c r="BG238" i="16"/>
  <c r="BH238" i="16"/>
  <c r="BI238" i="16"/>
  <c r="BJ238" i="16"/>
  <c r="BL238" i="16"/>
  <c r="BO238" i="16"/>
  <c r="BP238" i="16"/>
  <c r="BQ238" i="16"/>
  <c r="BR238" i="16"/>
  <c r="BS238" i="16"/>
  <c r="A239" i="16"/>
  <c r="B239" i="16"/>
  <c r="B239" i="16" a="1"/>
  <c r="C239" i="16"/>
  <c r="D239" i="16"/>
  <c r="E239" i="16"/>
  <c r="E239" i="16" a="1"/>
  <c r="F239" i="16"/>
  <c r="G239" i="16"/>
  <c r="G239" i="16" a="1"/>
  <c r="H239" i="16"/>
  <c r="I239" i="16"/>
  <c r="J239" i="16"/>
  <c r="O239" i="16"/>
  <c r="BD239" i="16"/>
  <c r="BE239" i="16"/>
  <c r="BG239" i="16"/>
  <c r="BH239" i="16"/>
  <c r="BI239" i="16"/>
  <c r="BJ239" i="16"/>
  <c r="BL239" i="16"/>
  <c r="BO239" i="16"/>
  <c r="BP239" i="16"/>
  <c r="BQ239" i="16"/>
  <c r="BR239" i="16"/>
  <c r="BS239" i="16"/>
  <c r="A240" i="16"/>
  <c r="B240" i="16"/>
  <c r="B240" i="16" a="1"/>
  <c r="C240" i="16"/>
  <c r="D240" i="16"/>
  <c r="E240" i="16"/>
  <c r="E240" i="16" a="1"/>
  <c r="F240" i="16"/>
  <c r="G240" i="16"/>
  <c r="G240" i="16" a="1"/>
  <c r="H240" i="16"/>
  <c r="I240" i="16"/>
  <c r="J240" i="16"/>
  <c r="O240" i="16"/>
  <c r="BD240" i="16"/>
  <c r="BE240" i="16"/>
  <c r="BG240" i="16"/>
  <c r="BH240" i="16"/>
  <c r="BI240" i="16"/>
  <c r="BJ240" i="16"/>
  <c r="BL240" i="16"/>
  <c r="BO240" i="16"/>
  <c r="BP240" i="16"/>
  <c r="BQ240" i="16"/>
  <c r="BR240" i="16"/>
  <c r="BS240" i="16"/>
  <c r="A241" i="16"/>
  <c r="B241" i="16"/>
  <c r="B241" i="16" a="1"/>
  <c r="C241" i="16"/>
  <c r="D241" i="16"/>
  <c r="E241" i="16"/>
  <c r="E241" i="16" a="1"/>
  <c r="F241" i="16"/>
  <c r="G241" i="16"/>
  <c r="G241" i="16" a="1"/>
  <c r="H241" i="16"/>
  <c r="I241" i="16"/>
  <c r="J241" i="16"/>
  <c r="O241" i="16"/>
  <c r="BD241" i="16"/>
  <c r="BE241" i="16"/>
  <c r="BG241" i="16"/>
  <c r="BH241" i="16"/>
  <c r="BI241" i="16"/>
  <c r="BJ241" i="16"/>
  <c r="BL241" i="16"/>
  <c r="BO241" i="16"/>
  <c r="BP241" i="16"/>
  <c r="BQ241" i="16"/>
  <c r="BR241" i="16"/>
  <c r="BS241" i="16"/>
  <c r="A242" i="16"/>
  <c r="B242" i="16"/>
  <c r="B242" i="16" a="1"/>
  <c r="C242" i="16"/>
  <c r="D242" i="16"/>
  <c r="E242" i="16"/>
  <c r="E242" i="16" a="1"/>
  <c r="F242" i="16"/>
  <c r="G242" i="16"/>
  <c r="G242" i="16" a="1"/>
  <c r="H242" i="16"/>
  <c r="I242" i="16"/>
  <c r="J242" i="16"/>
  <c r="O242" i="16"/>
  <c r="BD242" i="16"/>
  <c r="BE242" i="16"/>
  <c r="BG242" i="16"/>
  <c r="BH242" i="16"/>
  <c r="BI242" i="16"/>
  <c r="BJ242" i="16"/>
  <c r="BL242" i="16"/>
  <c r="BO242" i="16"/>
  <c r="BP242" i="16"/>
  <c r="BQ242" i="16"/>
  <c r="BR242" i="16"/>
  <c r="BS242" i="16"/>
  <c r="A243" i="16"/>
  <c r="B243" i="16"/>
  <c r="B243" i="16" a="1"/>
  <c r="C243" i="16"/>
  <c r="D243" i="16"/>
  <c r="E243" i="16"/>
  <c r="E243" i="16" a="1"/>
  <c r="F243" i="16"/>
  <c r="G243" i="16"/>
  <c r="G243" i="16" a="1"/>
  <c r="H243" i="16"/>
  <c r="I243" i="16"/>
  <c r="J243" i="16"/>
  <c r="O243" i="16"/>
  <c r="BD243" i="16"/>
  <c r="BE243" i="16"/>
  <c r="BG243" i="16"/>
  <c r="BH243" i="16"/>
  <c r="BI243" i="16"/>
  <c r="BJ243" i="16"/>
  <c r="BL243" i="16"/>
  <c r="BO243" i="16"/>
  <c r="BP243" i="16"/>
  <c r="BQ243" i="16"/>
  <c r="BR243" i="16"/>
  <c r="BS243" i="16"/>
  <c r="A244" i="16"/>
  <c r="B244" i="16"/>
  <c r="B244" i="16" a="1"/>
  <c r="C244" i="16"/>
  <c r="D244" i="16"/>
  <c r="E244" i="16"/>
  <c r="E244" i="16" a="1"/>
  <c r="F244" i="16"/>
  <c r="G244" i="16"/>
  <c r="G244" i="16" a="1"/>
  <c r="H244" i="16"/>
  <c r="I244" i="16"/>
  <c r="J244" i="16"/>
  <c r="O244" i="16"/>
  <c r="BD244" i="16"/>
  <c r="BE244" i="16"/>
  <c r="BG244" i="16"/>
  <c r="BH244" i="16"/>
  <c r="BI244" i="16"/>
  <c r="BJ244" i="16"/>
  <c r="BL244" i="16"/>
  <c r="BO244" i="16"/>
  <c r="BP244" i="16"/>
  <c r="BQ244" i="16"/>
  <c r="BR244" i="16"/>
  <c r="BS244" i="16"/>
  <c r="A245" i="16"/>
  <c r="B245" i="16"/>
  <c r="B245" i="16" a="1"/>
  <c r="C245" i="16"/>
  <c r="D245" i="16"/>
  <c r="E245" i="16"/>
  <c r="E245" i="16" a="1"/>
  <c r="F245" i="16"/>
  <c r="G245" i="16"/>
  <c r="G245" i="16" a="1"/>
  <c r="H245" i="16"/>
  <c r="I245" i="16"/>
  <c r="J245" i="16"/>
  <c r="O245" i="16"/>
  <c r="BD245" i="16"/>
  <c r="BE245" i="16"/>
  <c r="BG245" i="16"/>
  <c r="BH245" i="16"/>
  <c r="BI245" i="16"/>
  <c r="BJ245" i="16"/>
  <c r="BL245" i="16"/>
  <c r="BO245" i="16"/>
  <c r="BP245" i="16"/>
  <c r="BQ245" i="16"/>
  <c r="BR245" i="16"/>
  <c r="BS245" i="16"/>
  <c r="A246" i="16"/>
  <c r="B246" i="16"/>
  <c r="B246" i="16" a="1"/>
  <c r="C246" i="16"/>
  <c r="D246" i="16"/>
  <c r="E246" i="16"/>
  <c r="E246" i="16" a="1"/>
  <c r="F246" i="16"/>
  <c r="G246" i="16"/>
  <c r="G246" i="16" a="1"/>
  <c r="H246" i="16"/>
  <c r="I246" i="16"/>
  <c r="J246" i="16"/>
  <c r="O246" i="16"/>
  <c r="BD246" i="16"/>
  <c r="BE246" i="16"/>
  <c r="BG246" i="16"/>
  <c r="BH246" i="16"/>
  <c r="BI246" i="16"/>
  <c r="BJ246" i="16"/>
  <c r="BL246" i="16"/>
  <c r="BO246" i="16"/>
  <c r="BP246" i="16"/>
  <c r="BQ246" i="16"/>
  <c r="BR246" i="16"/>
  <c r="BS246" i="16"/>
  <c r="A247" i="16"/>
  <c r="B247" i="16"/>
  <c r="B247" i="16" a="1"/>
  <c r="C247" i="16"/>
  <c r="D247" i="16"/>
  <c r="E247" i="16"/>
  <c r="E247" i="16" a="1"/>
  <c r="F247" i="16"/>
  <c r="G247" i="16"/>
  <c r="G247" i="16" a="1"/>
  <c r="H247" i="16"/>
  <c r="I247" i="16"/>
  <c r="J247" i="16"/>
  <c r="O247" i="16"/>
  <c r="BD247" i="16"/>
  <c r="BE247" i="16"/>
  <c r="BG247" i="16"/>
  <c r="BH247" i="16"/>
  <c r="BI247" i="16"/>
  <c r="BJ247" i="16"/>
  <c r="BL247" i="16"/>
  <c r="BO247" i="16"/>
  <c r="BP247" i="16"/>
  <c r="BQ247" i="16"/>
  <c r="BR247" i="16"/>
  <c r="BS247" i="16"/>
  <c r="A248" i="16"/>
  <c r="B248" i="16"/>
  <c r="B248" i="16" a="1"/>
  <c r="C248" i="16"/>
  <c r="D248" i="16"/>
  <c r="E248" i="16"/>
  <c r="E248" i="16" a="1"/>
  <c r="F248" i="16"/>
  <c r="G248" i="16"/>
  <c r="G248" i="16" a="1"/>
  <c r="H248" i="16"/>
  <c r="I248" i="16"/>
  <c r="J248" i="16"/>
  <c r="O248" i="16"/>
  <c r="BD248" i="16"/>
  <c r="BE248" i="16"/>
  <c r="BG248" i="16"/>
  <c r="BH248" i="16"/>
  <c r="BI248" i="16"/>
  <c r="BJ248" i="16"/>
  <c r="BL248" i="16"/>
  <c r="BO248" i="16"/>
  <c r="BP248" i="16"/>
  <c r="BQ248" i="16"/>
  <c r="BR248" i="16"/>
  <c r="BS248" i="16"/>
  <c r="A249" i="16"/>
  <c r="B249" i="16"/>
  <c r="B249" i="16" a="1"/>
  <c r="C249" i="16"/>
  <c r="D249" i="16"/>
  <c r="E249" i="16"/>
  <c r="E249" i="16" a="1"/>
  <c r="F249" i="16"/>
  <c r="G249" i="16"/>
  <c r="G249" i="16" a="1"/>
  <c r="H249" i="16"/>
  <c r="I249" i="16"/>
  <c r="J249" i="16"/>
  <c r="O249" i="16"/>
  <c r="BD249" i="16"/>
  <c r="BE249" i="16"/>
  <c r="BG249" i="16"/>
  <c r="BH249" i="16"/>
  <c r="BI249" i="16"/>
  <c r="BJ249" i="16"/>
  <c r="BL249" i="16"/>
  <c r="BO249" i="16"/>
  <c r="BP249" i="16"/>
  <c r="BQ249" i="16"/>
  <c r="BR249" i="16"/>
  <c r="BS249" i="16"/>
  <c r="A250" i="16"/>
  <c r="B250" i="16"/>
  <c r="B250" i="16" a="1"/>
  <c r="C250" i="16"/>
  <c r="D250" i="16"/>
  <c r="E250" i="16"/>
  <c r="E250" i="16" a="1"/>
  <c r="F250" i="16"/>
  <c r="G250" i="16"/>
  <c r="G250" i="16" a="1"/>
  <c r="H250" i="16"/>
  <c r="I250" i="16"/>
  <c r="J250" i="16"/>
  <c r="O250" i="16"/>
  <c r="BD250" i="16"/>
  <c r="BE250" i="16"/>
  <c r="BG250" i="16"/>
  <c r="BH250" i="16"/>
  <c r="BI250" i="16"/>
  <c r="BJ250" i="16"/>
  <c r="BL250" i="16"/>
  <c r="BO250" i="16"/>
  <c r="BP250" i="16"/>
  <c r="BQ250" i="16"/>
  <c r="BR250" i="16"/>
  <c r="BS250" i="16"/>
  <c r="A251" i="16"/>
  <c r="B251" i="16"/>
  <c r="B251" i="16" a="1"/>
  <c r="C251" i="16"/>
  <c r="D251" i="16"/>
  <c r="E251" i="16"/>
  <c r="E251" i="16" a="1"/>
  <c r="F251" i="16"/>
  <c r="G251" i="16"/>
  <c r="G251" i="16" a="1"/>
  <c r="H251" i="16"/>
  <c r="I251" i="16"/>
  <c r="J251" i="16"/>
  <c r="O251" i="16"/>
  <c r="BD251" i="16"/>
  <c r="BE251" i="16"/>
  <c r="BG251" i="16"/>
  <c r="BH251" i="16"/>
  <c r="BI251" i="16"/>
  <c r="BJ251" i="16"/>
  <c r="BL251" i="16"/>
  <c r="BO251" i="16"/>
  <c r="BP251" i="16"/>
  <c r="BQ251" i="16"/>
  <c r="BR251" i="16"/>
  <c r="BS251" i="16"/>
  <c r="A252" i="16"/>
  <c r="B252" i="16"/>
  <c r="B252" i="16" a="1"/>
  <c r="C252" i="16"/>
  <c r="D252" i="16"/>
  <c r="E252" i="16"/>
  <c r="E252" i="16" a="1"/>
  <c r="F252" i="16"/>
  <c r="G252" i="16"/>
  <c r="G252" i="16" a="1"/>
  <c r="H252" i="16"/>
  <c r="I252" i="16"/>
  <c r="J252" i="16"/>
  <c r="O252" i="16"/>
  <c r="BD252" i="16"/>
  <c r="BE252" i="16"/>
  <c r="BG252" i="16"/>
  <c r="BH252" i="16"/>
  <c r="BI252" i="16"/>
  <c r="BJ252" i="16"/>
  <c r="BL252" i="16"/>
  <c r="BO252" i="16"/>
  <c r="BP252" i="16"/>
  <c r="BQ252" i="16"/>
  <c r="BR252" i="16"/>
  <c r="BS252" i="16"/>
  <c r="A253" i="16"/>
  <c r="B253" i="16"/>
  <c r="B253" i="16" a="1"/>
  <c r="C253" i="16"/>
  <c r="D253" i="16"/>
  <c r="E253" i="16"/>
  <c r="E253" i="16" a="1"/>
  <c r="F253" i="16"/>
  <c r="G253" i="16"/>
  <c r="G253" i="16" a="1"/>
  <c r="H253" i="16"/>
  <c r="I253" i="16"/>
  <c r="J253" i="16"/>
  <c r="O253" i="16"/>
  <c r="BD253" i="16"/>
  <c r="BE253" i="16"/>
  <c r="BG253" i="16"/>
  <c r="BH253" i="16"/>
  <c r="BI253" i="16"/>
  <c r="BJ253" i="16"/>
  <c r="BL253" i="16"/>
  <c r="BO253" i="16"/>
  <c r="BP253" i="16"/>
  <c r="BQ253" i="16"/>
  <c r="BR253" i="16"/>
  <c r="BS253" i="16"/>
  <c r="A254" i="16"/>
  <c r="B254" i="16"/>
  <c r="B254" i="16" a="1"/>
  <c r="C254" i="16"/>
  <c r="D254" i="16"/>
  <c r="E254" i="16"/>
  <c r="E254" i="16" a="1"/>
  <c r="F254" i="16"/>
  <c r="G254" i="16"/>
  <c r="G254" i="16" a="1"/>
  <c r="H254" i="16"/>
  <c r="I254" i="16"/>
  <c r="J254" i="16"/>
  <c r="O254" i="16"/>
  <c r="BD254" i="16"/>
  <c r="BE254" i="16"/>
  <c r="BG254" i="16"/>
  <c r="BH254" i="16"/>
  <c r="BI254" i="16"/>
  <c r="BJ254" i="16"/>
  <c r="BL254" i="16"/>
  <c r="BO254" i="16"/>
  <c r="BP254" i="16"/>
  <c r="BQ254" i="16"/>
  <c r="BR254" i="16"/>
  <c r="BS254" i="16"/>
  <c r="A255" i="16"/>
  <c r="B255" i="16"/>
  <c r="B255" i="16" a="1"/>
  <c r="C255" i="16"/>
  <c r="D255" i="16"/>
  <c r="E255" i="16"/>
  <c r="E255" i="16" a="1"/>
  <c r="F255" i="16"/>
  <c r="G255" i="16"/>
  <c r="G255" i="16" a="1"/>
  <c r="H255" i="16"/>
  <c r="I255" i="16"/>
  <c r="J255" i="16"/>
  <c r="O255" i="16"/>
  <c r="BD255" i="16"/>
  <c r="BE255" i="16"/>
  <c r="BG255" i="16"/>
  <c r="BH255" i="16"/>
  <c r="BI255" i="16"/>
  <c r="BJ255" i="16"/>
  <c r="BL255" i="16"/>
  <c r="BO255" i="16"/>
  <c r="BP255" i="16"/>
  <c r="BQ255" i="16"/>
  <c r="BR255" i="16"/>
  <c r="BS255" i="16"/>
  <c r="A256" i="16"/>
  <c r="B256" i="16"/>
  <c r="B256" i="16" a="1"/>
  <c r="C256" i="16"/>
  <c r="D256" i="16"/>
  <c r="E256" i="16"/>
  <c r="E256" i="16" a="1"/>
  <c r="F256" i="16"/>
  <c r="G256" i="16"/>
  <c r="G256" i="16" a="1"/>
  <c r="H256" i="16"/>
  <c r="I256" i="16"/>
  <c r="J256" i="16"/>
  <c r="O256" i="16"/>
  <c r="BD256" i="16"/>
  <c r="BE256" i="16"/>
  <c r="BG256" i="16"/>
  <c r="BH256" i="16"/>
  <c r="BI256" i="16"/>
  <c r="BJ256" i="16"/>
  <c r="BL256" i="16"/>
  <c r="BO256" i="16"/>
  <c r="BP256" i="16"/>
  <c r="BQ256" i="16"/>
  <c r="BR256" i="16"/>
  <c r="BS256" i="16"/>
  <c r="A257" i="16"/>
  <c r="B257" i="16"/>
  <c r="B257" i="16" a="1"/>
  <c r="C257" i="16"/>
  <c r="D257" i="16"/>
  <c r="E257" i="16"/>
  <c r="E257" i="16" a="1"/>
  <c r="F257" i="16"/>
  <c r="G257" i="16"/>
  <c r="G257" i="16" a="1"/>
  <c r="H257" i="16"/>
  <c r="I257" i="16"/>
  <c r="J257" i="16"/>
  <c r="O257" i="16"/>
  <c r="BD257" i="16"/>
  <c r="BE257" i="16"/>
  <c r="BG257" i="16"/>
  <c r="BH257" i="16"/>
  <c r="BI257" i="16"/>
  <c r="BJ257" i="16"/>
  <c r="BL257" i="16"/>
  <c r="BO257" i="16"/>
  <c r="BP257" i="16"/>
  <c r="BQ257" i="16"/>
  <c r="BR257" i="16"/>
  <c r="BS257" i="16"/>
  <c r="A258" i="16"/>
  <c r="B258" i="16"/>
  <c r="B258" i="16" a="1"/>
  <c r="C258" i="16"/>
  <c r="D258" i="16"/>
  <c r="E258" i="16"/>
  <c r="E258" i="16" a="1"/>
  <c r="F258" i="16"/>
  <c r="G258" i="16"/>
  <c r="G258" i="16" a="1"/>
  <c r="H258" i="16"/>
  <c r="I258" i="16"/>
  <c r="J258" i="16"/>
  <c r="O258" i="16"/>
  <c r="BD258" i="16"/>
  <c r="BE258" i="16"/>
  <c r="BG258" i="16"/>
  <c r="BH258" i="16"/>
  <c r="BI258" i="16"/>
  <c r="BJ258" i="16"/>
  <c r="BL258" i="16"/>
  <c r="BO258" i="16"/>
  <c r="BP258" i="16"/>
  <c r="BQ258" i="16"/>
  <c r="BR258" i="16"/>
  <c r="BS258" i="16"/>
  <c r="A259" i="16"/>
  <c r="B259" i="16"/>
  <c r="B259" i="16" a="1"/>
  <c r="C259" i="16"/>
  <c r="D259" i="16"/>
  <c r="E259" i="16"/>
  <c r="E259" i="16" a="1"/>
  <c r="F259" i="16"/>
  <c r="G259" i="16"/>
  <c r="G259" i="16" a="1"/>
  <c r="H259" i="16"/>
  <c r="I259" i="16"/>
  <c r="J259" i="16"/>
  <c r="O259" i="16"/>
  <c r="BD259" i="16"/>
  <c r="BE259" i="16"/>
  <c r="BG259" i="16"/>
  <c r="BH259" i="16"/>
  <c r="BI259" i="16"/>
  <c r="BJ259" i="16"/>
  <c r="BL259" i="16"/>
  <c r="BO259" i="16"/>
  <c r="BP259" i="16"/>
  <c r="BQ259" i="16"/>
  <c r="BR259" i="16"/>
  <c r="BS259" i="16"/>
  <c r="A260" i="16"/>
  <c r="B260" i="16"/>
  <c r="B260" i="16" a="1"/>
  <c r="C260" i="16"/>
  <c r="D260" i="16"/>
  <c r="E260" i="16"/>
  <c r="E260" i="16" a="1"/>
  <c r="F260" i="16"/>
  <c r="G260" i="16"/>
  <c r="G260" i="16" a="1"/>
  <c r="H260" i="16"/>
  <c r="I260" i="16"/>
  <c r="J260" i="16"/>
  <c r="O260" i="16"/>
  <c r="BD260" i="16"/>
  <c r="BE260" i="16"/>
  <c r="BG260" i="16"/>
  <c r="BH260" i="16"/>
  <c r="BI260" i="16"/>
  <c r="BJ260" i="16"/>
  <c r="BL260" i="16"/>
  <c r="BO260" i="16"/>
  <c r="BP260" i="16"/>
  <c r="BQ260" i="16"/>
  <c r="BR260" i="16"/>
  <c r="BS260" i="16"/>
  <c r="A261" i="16"/>
  <c r="B261" i="16"/>
  <c r="B261" i="16" a="1"/>
  <c r="C261" i="16"/>
  <c r="D261" i="16"/>
  <c r="E261" i="16"/>
  <c r="E261" i="16" a="1"/>
  <c r="F261" i="16"/>
  <c r="G261" i="16"/>
  <c r="G261" i="16" a="1"/>
  <c r="H261" i="16"/>
  <c r="I261" i="16"/>
  <c r="J261" i="16"/>
  <c r="O261" i="16"/>
  <c r="BD261" i="16"/>
  <c r="BE261" i="16"/>
  <c r="BG261" i="16"/>
  <c r="BH261" i="16"/>
  <c r="BI261" i="16"/>
  <c r="BJ261" i="16"/>
  <c r="BL261" i="16"/>
  <c r="BO261" i="16"/>
  <c r="BP261" i="16"/>
  <c r="BQ261" i="16"/>
  <c r="BR261" i="16"/>
  <c r="BS261" i="16"/>
  <c r="A262" i="16"/>
  <c r="B262" i="16"/>
  <c r="B262" i="16" a="1"/>
  <c r="C262" i="16"/>
  <c r="D262" i="16"/>
  <c r="E262" i="16"/>
  <c r="E262" i="16" a="1"/>
  <c r="F262" i="16"/>
  <c r="G262" i="16"/>
  <c r="G262" i="16" a="1"/>
  <c r="H262" i="16"/>
  <c r="I262" i="16"/>
  <c r="J262" i="16"/>
  <c r="O262" i="16"/>
  <c r="BD262" i="16"/>
  <c r="BE262" i="16"/>
  <c r="BG262" i="16"/>
  <c r="BH262" i="16"/>
  <c r="BI262" i="16"/>
  <c r="BJ262" i="16"/>
  <c r="BL262" i="16"/>
  <c r="BO262" i="16"/>
  <c r="BP262" i="16"/>
  <c r="BQ262" i="16"/>
  <c r="BR262" i="16"/>
  <c r="BS262" i="16"/>
  <c r="A263" i="16"/>
  <c r="B263" i="16"/>
  <c r="B263" i="16" a="1"/>
  <c r="C263" i="16"/>
  <c r="D263" i="16"/>
  <c r="E263" i="16"/>
  <c r="E263" i="16" a="1"/>
  <c r="F263" i="16"/>
  <c r="G263" i="16"/>
  <c r="G263" i="16" a="1"/>
  <c r="H263" i="16"/>
  <c r="I263" i="16"/>
  <c r="J263" i="16"/>
  <c r="O263" i="16"/>
  <c r="BD263" i="16"/>
  <c r="BE263" i="16"/>
  <c r="BG263" i="16"/>
  <c r="BH263" i="16"/>
  <c r="BI263" i="16"/>
  <c r="BJ263" i="16"/>
  <c r="BL263" i="16"/>
  <c r="BO263" i="16"/>
  <c r="BP263" i="16"/>
  <c r="BQ263" i="16"/>
  <c r="BR263" i="16"/>
  <c r="BS263" i="16"/>
  <c r="A264" i="16"/>
  <c r="B264" i="16"/>
  <c r="B264" i="16" a="1"/>
  <c r="C264" i="16"/>
  <c r="D264" i="16"/>
  <c r="E264" i="16"/>
  <c r="E264" i="16" a="1"/>
  <c r="F264" i="16"/>
  <c r="G264" i="16"/>
  <c r="G264" i="16" a="1"/>
  <c r="H264" i="16"/>
  <c r="I264" i="16"/>
  <c r="J264" i="16"/>
  <c r="O264" i="16"/>
  <c r="BD264" i="16"/>
  <c r="BE264" i="16"/>
  <c r="BG264" i="16"/>
  <c r="BH264" i="16"/>
  <c r="BI264" i="16"/>
  <c r="BJ264" i="16"/>
  <c r="BL264" i="16"/>
  <c r="BO264" i="16"/>
  <c r="BP264" i="16"/>
  <c r="BQ264" i="16"/>
  <c r="BR264" i="16"/>
  <c r="BS264" i="16"/>
  <c r="A265" i="16"/>
  <c r="B265" i="16"/>
  <c r="B265" i="16" a="1"/>
  <c r="C265" i="16"/>
  <c r="D265" i="16"/>
  <c r="E265" i="16"/>
  <c r="E265" i="16" a="1"/>
  <c r="F265" i="16"/>
  <c r="G265" i="16"/>
  <c r="G265" i="16" a="1"/>
  <c r="H265" i="16"/>
  <c r="I265" i="16"/>
  <c r="J265" i="16"/>
  <c r="O265" i="16"/>
  <c r="BD265" i="16"/>
  <c r="BE265" i="16"/>
  <c r="BG265" i="16"/>
  <c r="BH265" i="16"/>
  <c r="BI265" i="16"/>
  <c r="BJ265" i="16"/>
  <c r="BL265" i="16"/>
  <c r="BO265" i="16"/>
  <c r="BP265" i="16"/>
  <c r="BQ265" i="16"/>
  <c r="BR265" i="16"/>
  <c r="BS265" i="16"/>
  <c r="A266" i="16"/>
  <c r="B266" i="16"/>
  <c r="B266" i="16" a="1"/>
  <c r="C266" i="16"/>
  <c r="D266" i="16"/>
  <c r="E266" i="16"/>
  <c r="E266" i="16" a="1"/>
  <c r="F266" i="16"/>
  <c r="G266" i="16"/>
  <c r="G266" i="16" a="1"/>
  <c r="H266" i="16"/>
  <c r="I266" i="16"/>
  <c r="J266" i="16"/>
  <c r="O266" i="16"/>
  <c r="BD266" i="16"/>
  <c r="BE266" i="16"/>
  <c r="BG266" i="16"/>
  <c r="BH266" i="16"/>
  <c r="BI266" i="16"/>
  <c r="BJ266" i="16"/>
  <c r="BL266" i="16"/>
  <c r="BO266" i="16"/>
  <c r="BP266" i="16"/>
  <c r="BQ266" i="16"/>
  <c r="BR266" i="16"/>
  <c r="BS266" i="16"/>
  <c r="A267" i="16"/>
  <c r="B267" i="16"/>
  <c r="B267" i="16" a="1"/>
  <c r="C267" i="16"/>
  <c r="D267" i="16"/>
  <c r="E267" i="16"/>
  <c r="E267" i="16" a="1"/>
  <c r="F267" i="16"/>
  <c r="G267" i="16"/>
  <c r="G267" i="16" a="1"/>
  <c r="H267" i="16"/>
  <c r="I267" i="16"/>
  <c r="J267" i="16"/>
  <c r="O267" i="16"/>
  <c r="BD267" i="16"/>
  <c r="BE267" i="16"/>
  <c r="BG267" i="16"/>
  <c r="BH267" i="16"/>
  <c r="BI267" i="16"/>
  <c r="BJ267" i="16"/>
  <c r="BL267" i="16"/>
  <c r="BO267" i="16"/>
  <c r="BP267" i="16"/>
  <c r="BQ267" i="16"/>
  <c r="BR267" i="16"/>
  <c r="BS267" i="16"/>
  <c r="A268" i="16"/>
  <c r="B268" i="16"/>
  <c r="B268" i="16" a="1"/>
  <c r="C268" i="16"/>
  <c r="D268" i="16"/>
  <c r="E268" i="16"/>
  <c r="E268" i="16" a="1"/>
  <c r="F268" i="16"/>
  <c r="G268" i="16"/>
  <c r="G268" i="16" a="1"/>
  <c r="H268" i="16"/>
  <c r="I268" i="16"/>
  <c r="J268" i="16"/>
  <c r="O268" i="16"/>
  <c r="BD268" i="16"/>
  <c r="BE268" i="16"/>
  <c r="BG268" i="16"/>
  <c r="BH268" i="16"/>
  <c r="BI268" i="16"/>
  <c r="BJ268" i="16"/>
  <c r="BL268" i="16"/>
  <c r="BO268" i="16"/>
  <c r="BP268" i="16"/>
  <c r="BQ268" i="16"/>
  <c r="BR268" i="16"/>
  <c r="BS268" i="16"/>
  <c r="A269" i="16"/>
  <c r="B269" i="16"/>
  <c r="B269" i="16" a="1"/>
  <c r="C269" i="16"/>
  <c r="D269" i="16"/>
  <c r="E269" i="16"/>
  <c r="E269" i="16" a="1"/>
  <c r="F269" i="16"/>
  <c r="G269" i="16"/>
  <c r="G269" i="16" a="1"/>
  <c r="H269" i="16"/>
  <c r="I269" i="16"/>
  <c r="J269" i="16"/>
  <c r="O269" i="16"/>
  <c r="BD269" i="16"/>
  <c r="BE269" i="16"/>
  <c r="BG269" i="16"/>
  <c r="BH269" i="16"/>
  <c r="BI269" i="16"/>
  <c r="BJ269" i="16"/>
  <c r="BL269" i="16"/>
  <c r="BO269" i="16"/>
  <c r="BP269" i="16"/>
  <c r="BQ269" i="16"/>
  <c r="BR269" i="16"/>
  <c r="BS269" i="16"/>
  <c r="A270" i="16"/>
  <c r="B270" i="16"/>
  <c r="B270" i="16" a="1"/>
  <c r="C270" i="16"/>
  <c r="D270" i="16"/>
  <c r="E270" i="16"/>
  <c r="E270" i="16" a="1"/>
  <c r="F270" i="16"/>
  <c r="G270" i="16"/>
  <c r="G270" i="16" a="1"/>
  <c r="H270" i="16"/>
  <c r="I270" i="16"/>
  <c r="J270" i="16"/>
  <c r="O270" i="16"/>
  <c r="BD270" i="16"/>
  <c r="BE270" i="16"/>
  <c r="BG270" i="16"/>
  <c r="BH270" i="16"/>
  <c r="BI270" i="16"/>
  <c r="BJ270" i="16"/>
  <c r="BL270" i="16"/>
  <c r="BO270" i="16"/>
  <c r="BP270" i="16"/>
  <c r="BQ270" i="16"/>
  <c r="BR270" i="16"/>
  <c r="BS270" i="16"/>
  <c r="A271" i="16"/>
  <c r="B271" i="16"/>
  <c r="B271" i="16" a="1"/>
  <c r="C271" i="16"/>
  <c r="D271" i="16"/>
  <c r="E271" i="16"/>
  <c r="E271" i="16" a="1"/>
  <c r="F271" i="16"/>
  <c r="G271" i="16"/>
  <c r="G271" i="16" a="1"/>
  <c r="H271" i="16"/>
  <c r="I271" i="16"/>
  <c r="J271" i="16"/>
  <c r="O271" i="16"/>
  <c r="BD271" i="16"/>
  <c r="BE271" i="16"/>
  <c r="BG271" i="16"/>
  <c r="BH271" i="16"/>
  <c r="BI271" i="16"/>
  <c r="BJ271" i="16"/>
  <c r="BL271" i="16"/>
  <c r="BO271" i="16"/>
  <c r="BP271" i="16"/>
  <c r="BQ271" i="16"/>
  <c r="BR271" i="16"/>
  <c r="BS271" i="16"/>
  <c r="A272" i="16"/>
  <c r="B272" i="16"/>
  <c r="B272" i="16" a="1"/>
  <c r="C272" i="16"/>
  <c r="D272" i="16"/>
  <c r="E272" i="16"/>
  <c r="E272" i="16" a="1"/>
  <c r="F272" i="16"/>
  <c r="G272" i="16"/>
  <c r="G272" i="16" a="1"/>
  <c r="H272" i="16"/>
  <c r="I272" i="16"/>
  <c r="J272" i="16"/>
  <c r="O272" i="16"/>
  <c r="BD272" i="16"/>
  <c r="BE272" i="16"/>
  <c r="BG272" i="16"/>
  <c r="BH272" i="16"/>
  <c r="BI272" i="16"/>
  <c r="BJ272" i="16"/>
  <c r="BL272" i="16"/>
  <c r="BO272" i="16"/>
  <c r="BP272" i="16"/>
  <c r="BQ272" i="16"/>
  <c r="BR272" i="16"/>
  <c r="BS272" i="16"/>
  <c r="A273" i="16"/>
  <c r="B273" i="16"/>
  <c r="B273" i="16" a="1"/>
  <c r="C273" i="16"/>
  <c r="D273" i="16"/>
  <c r="E273" i="16"/>
  <c r="E273" i="16" a="1"/>
  <c r="F273" i="16"/>
  <c r="G273" i="16"/>
  <c r="G273" i="16" a="1"/>
  <c r="H273" i="16"/>
  <c r="I273" i="16"/>
  <c r="J273" i="16"/>
  <c r="O273" i="16"/>
  <c r="BD273" i="16"/>
  <c r="BE273" i="16"/>
  <c r="BG273" i="16"/>
  <c r="BH273" i="16"/>
  <c r="BI273" i="16"/>
  <c r="BJ273" i="16"/>
  <c r="BL273" i="16"/>
  <c r="BO273" i="16"/>
  <c r="BP273" i="16"/>
  <c r="BQ273" i="16"/>
  <c r="BR273" i="16"/>
  <c r="BS273" i="16"/>
  <c r="A274" i="16"/>
  <c r="B274" i="16"/>
  <c r="B274" i="16" a="1"/>
  <c r="C274" i="16"/>
  <c r="D274" i="16"/>
  <c r="E274" i="16"/>
  <c r="E274" i="16" a="1"/>
  <c r="F274" i="16"/>
  <c r="G274" i="16"/>
  <c r="G274" i="16" a="1"/>
  <c r="H274" i="16"/>
  <c r="I274" i="16"/>
  <c r="J274" i="16"/>
  <c r="O274" i="16"/>
  <c r="BD274" i="16"/>
  <c r="BE274" i="16"/>
  <c r="BG274" i="16"/>
  <c r="BH274" i="16"/>
  <c r="BI274" i="16"/>
  <c r="BJ274" i="16"/>
  <c r="BL274" i="16"/>
  <c r="BO274" i="16"/>
  <c r="BP274" i="16"/>
  <c r="BQ274" i="16"/>
  <c r="BR274" i="16"/>
  <c r="BS274" i="16"/>
  <c r="A275" i="16"/>
  <c r="B275" i="16"/>
  <c r="B275" i="16" a="1"/>
  <c r="C275" i="16"/>
  <c r="D275" i="16"/>
  <c r="E275" i="16"/>
  <c r="E275" i="16" a="1"/>
  <c r="F275" i="16"/>
  <c r="G275" i="16"/>
  <c r="G275" i="16" a="1"/>
  <c r="H275" i="16"/>
  <c r="I275" i="16"/>
  <c r="J275" i="16"/>
  <c r="O275" i="16"/>
  <c r="BD275" i="16"/>
  <c r="BE275" i="16"/>
  <c r="BG275" i="16"/>
  <c r="BH275" i="16"/>
  <c r="BI275" i="16"/>
  <c r="BJ275" i="16"/>
  <c r="BL275" i="16"/>
  <c r="BO275" i="16"/>
  <c r="BP275" i="16"/>
  <c r="BQ275" i="16"/>
  <c r="BR275" i="16"/>
  <c r="BS275" i="16"/>
  <c r="A276" i="16"/>
  <c r="B276" i="16"/>
  <c r="B276" i="16" a="1"/>
  <c r="C276" i="16"/>
  <c r="D276" i="16"/>
  <c r="E276" i="16"/>
  <c r="E276" i="16" a="1"/>
  <c r="F276" i="16"/>
  <c r="G276" i="16"/>
  <c r="G276" i="16" a="1"/>
  <c r="H276" i="16"/>
  <c r="I276" i="16"/>
  <c r="J276" i="16"/>
  <c r="O276" i="16"/>
  <c r="BD276" i="16"/>
  <c r="BE276" i="16"/>
  <c r="BG276" i="16"/>
  <c r="BH276" i="16"/>
  <c r="BI276" i="16"/>
  <c r="BJ276" i="16"/>
  <c r="BL276" i="16"/>
  <c r="BO276" i="16"/>
  <c r="BP276" i="16"/>
  <c r="BQ276" i="16"/>
  <c r="BR276" i="16"/>
  <c r="BS276" i="16"/>
  <c r="A277" i="16"/>
  <c r="B277" i="16"/>
  <c r="B277" i="16" a="1"/>
  <c r="C277" i="16"/>
  <c r="D277" i="16"/>
  <c r="E277" i="16"/>
  <c r="E277" i="16" a="1"/>
  <c r="F277" i="16"/>
  <c r="G277" i="16"/>
  <c r="G277" i="16" a="1"/>
  <c r="H277" i="16"/>
  <c r="I277" i="16"/>
  <c r="J277" i="16"/>
  <c r="O277" i="16"/>
  <c r="BD277" i="16"/>
  <c r="BE277" i="16"/>
  <c r="BG277" i="16"/>
  <c r="BH277" i="16"/>
  <c r="BI277" i="16"/>
  <c r="BJ277" i="16"/>
  <c r="BL277" i="16"/>
  <c r="BO277" i="16"/>
  <c r="BP277" i="16"/>
  <c r="BQ277" i="16"/>
  <c r="BR277" i="16"/>
  <c r="BS277" i="16"/>
  <c r="A278" i="16"/>
  <c r="B278" i="16"/>
  <c r="B278" i="16" a="1"/>
  <c r="C278" i="16"/>
  <c r="D278" i="16"/>
  <c r="E278" i="16"/>
  <c r="E278" i="16" a="1"/>
  <c r="F278" i="16"/>
  <c r="G278" i="16"/>
  <c r="G278" i="16" a="1"/>
  <c r="H278" i="16"/>
  <c r="I278" i="16"/>
  <c r="J278" i="16"/>
  <c r="O278" i="16"/>
  <c r="BD278" i="16"/>
  <c r="BE278" i="16"/>
  <c r="BG278" i="16"/>
  <c r="BH278" i="16"/>
  <c r="BI278" i="16"/>
  <c r="BJ278" i="16"/>
  <c r="BL278" i="16"/>
  <c r="BO278" i="16"/>
  <c r="BP278" i="16"/>
  <c r="BQ278" i="16"/>
  <c r="BR278" i="16"/>
  <c r="BS278" i="16"/>
  <c r="A279" i="16"/>
  <c r="B279" i="16"/>
  <c r="B279" i="16" a="1"/>
  <c r="C279" i="16"/>
  <c r="D279" i="16"/>
  <c r="E279" i="16"/>
  <c r="E279" i="16" a="1"/>
  <c r="F279" i="16"/>
  <c r="G279" i="16"/>
  <c r="G279" i="16" a="1"/>
  <c r="H279" i="16"/>
  <c r="I279" i="16"/>
  <c r="J279" i="16"/>
  <c r="O279" i="16"/>
  <c r="BD279" i="16"/>
  <c r="BE279" i="16"/>
  <c r="BG279" i="16"/>
  <c r="BH279" i="16"/>
  <c r="BI279" i="16"/>
  <c r="BJ279" i="16"/>
  <c r="BL279" i="16"/>
  <c r="BO279" i="16"/>
  <c r="BP279" i="16"/>
  <c r="BQ279" i="16"/>
  <c r="BR279" i="16"/>
  <c r="BS279" i="16"/>
  <c r="A280" i="16"/>
  <c r="B280" i="16"/>
  <c r="B280" i="16" a="1"/>
  <c r="C280" i="16"/>
  <c r="D280" i="16"/>
  <c r="E280" i="16"/>
  <c r="E280" i="16" a="1"/>
  <c r="F280" i="16"/>
  <c r="G280" i="16"/>
  <c r="G280" i="16" a="1"/>
  <c r="H280" i="16"/>
  <c r="I280" i="16"/>
  <c r="J280" i="16"/>
  <c r="O280" i="16"/>
  <c r="BD280" i="16"/>
  <c r="BE280" i="16"/>
  <c r="BG280" i="16"/>
  <c r="BH280" i="16"/>
  <c r="BI280" i="16"/>
  <c r="BJ280" i="16"/>
  <c r="BL280" i="16"/>
  <c r="BO280" i="16"/>
  <c r="BP280" i="16"/>
  <c r="BQ280" i="16"/>
  <c r="BR280" i="16"/>
  <c r="BS280" i="16"/>
  <c r="A281" i="16"/>
  <c r="B281" i="16"/>
  <c r="B281" i="16" a="1"/>
  <c r="C281" i="16"/>
  <c r="D281" i="16"/>
  <c r="E281" i="16"/>
  <c r="E281" i="16" a="1"/>
  <c r="F281" i="16"/>
  <c r="G281" i="16"/>
  <c r="G281" i="16" a="1"/>
  <c r="H281" i="16"/>
  <c r="I281" i="16"/>
  <c r="J281" i="16"/>
  <c r="O281" i="16"/>
  <c r="BD281" i="16"/>
  <c r="BE281" i="16"/>
  <c r="BG281" i="16"/>
  <c r="BH281" i="16"/>
  <c r="BI281" i="16"/>
  <c r="BJ281" i="16"/>
  <c r="BL281" i="16"/>
  <c r="BO281" i="16"/>
  <c r="BP281" i="16"/>
  <c r="BQ281" i="16"/>
  <c r="BR281" i="16"/>
  <c r="BS281" i="16"/>
  <c r="A282" i="16"/>
  <c r="B282" i="16"/>
  <c r="B282" i="16" a="1"/>
  <c r="C282" i="16"/>
  <c r="D282" i="16"/>
  <c r="E282" i="16"/>
  <c r="E282" i="16" a="1"/>
  <c r="F282" i="16"/>
  <c r="G282" i="16"/>
  <c r="G282" i="16" a="1"/>
  <c r="H282" i="16"/>
  <c r="I282" i="16"/>
  <c r="J282" i="16"/>
  <c r="O282" i="16"/>
  <c r="BD282" i="16"/>
  <c r="BE282" i="16"/>
  <c r="BG282" i="16"/>
  <c r="BH282" i="16"/>
  <c r="BI282" i="16"/>
  <c r="BJ282" i="16"/>
  <c r="BL282" i="16"/>
  <c r="BO282" i="16"/>
  <c r="BP282" i="16"/>
  <c r="BQ282" i="16"/>
  <c r="BR282" i="16"/>
  <c r="BS282" i="16"/>
  <c r="A283" i="16"/>
  <c r="B283" i="16"/>
  <c r="B283" i="16" a="1"/>
  <c r="C283" i="16"/>
  <c r="D283" i="16"/>
  <c r="E283" i="16"/>
  <c r="E283" i="16" a="1"/>
  <c r="F283" i="16"/>
  <c r="G283" i="16"/>
  <c r="G283" i="16" a="1"/>
  <c r="H283" i="16"/>
  <c r="I283" i="16"/>
  <c r="J283" i="16"/>
  <c r="O283" i="16"/>
  <c r="BD283" i="16"/>
  <c r="BE283" i="16"/>
  <c r="BG283" i="16"/>
  <c r="BH283" i="16"/>
  <c r="BI283" i="16"/>
  <c r="BJ283" i="16"/>
  <c r="BL283" i="16"/>
  <c r="BO283" i="16"/>
  <c r="BP283" i="16"/>
  <c r="BQ283" i="16"/>
  <c r="BR283" i="16"/>
  <c r="BS283" i="16"/>
  <c r="A284" i="16"/>
  <c r="B284" i="16"/>
  <c r="B284" i="16" a="1"/>
  <c r="C284" i="16"/>
  <c r="D284" i="16"/>
  <c r="E284" i="16"/>
  <c r="E284" i="16" a="1"/>
  <c r="F284" i="16"/>
  <c r="G284" i="16"/>
  <c r="G284" i="16" a="1"/>
  <c r="H284" i="16"/>
  <c r="I284" i="16"/>
  <c r="J284" i="16"/>
  <c r="O284" i="16"/>
  <c r="BD284" i="16"/>
  <c r="BE284" i="16"/>
  <c r="BG284" i="16"/>
  <c r="BH284" i="16"/>
  <c r="BI284" i="16"/>
  <c r="BJ284" i="16"/>
  <c r="BL284" i="16"/>
  <c r="BO284" i="16"/>
  <c r="BP284" i="16"/>
  <c r="BQ284" i="16"/>
  <c r="BR284" i="16"/>
  <c r="BS284" i="16"/>
  <c r="A285" i="16"/>
  <c r="B285" i="16"/>
  <c r="B285" i="16" a="1"/>
  <c r="C285" i="16"/>
  <c r="D285" i="16"/>
  <c r="E285" i="16"/>
  <c r="E285" i="16" a="1"/>
  <c r="F285" i="16"/>
  <c r="G285" i="16"/>
  <c r="G285" i="16" a="1"/>
  <c r="H285" i="16"/>
  <c r="I285" i="16"/>
  <c r="J285" i="16"/>
  <c r="O285" i="16"/>
  <c r="BD285" i="16"/>
  <c r="BE285" i="16"/>
  <c r="BG285" i="16"/>
  <c r="BH285" i="16"/>
  <c r="BI285" i="16"/>
  <c r="BJ285" i="16"/>
  <c r="BL285" i="16"/>
  <c r="BO285" i="16"/>
  <c r="BP285" i="16"/>
  <c r="BQ285" i="16"/>
  <c r="BR285" i="16"/>
  <c r="BS285" i="16"/>
  <c r="A286" i="16"/>
  <c r="B286" i="16"/>
  <c r="B286" i="16" a="1"/>
  <c r="C286" i="16"/>
  <c r="D286" i="16"/>
  <c r="E286" i="16"/>
  <c r="E286" i="16" a="1"/>
  <c r="F286" i="16"/>
  <c r="G286" i="16"/>
  <c r="G286" i="16" a="1"/>
  <c r="H286" i="16"/>
  <c r="I286" i="16"/>
  <c r="J286" i="16"/>
  <c r="O286" i="16"/>
  <c r="BD286" i="16"/>
  <c r="BE286" i="16"/>
  <c r="BG286" i="16"/>
  <c r="BH286" i="16"/>
  <c r="BI286" i="16"/>
  <c r="BJ286" i="16"/>
  <c r="BL286" i="16"/>
  <c r="BO286" i="16"/>
  <c r="BP286" i="16"/>
  <c r="BQ286" i="16"/>
  <c r="BR286" i="16"/>
  <c r="BS286" i="16"/>
  <c r="A287" i="16"/>
  <c r="B287" i="16"/>
  <c r="B287" i="16" a="1"/>
  <c r="C287" i="16"/>
  <c r="D287" i="16"/>
  <c r="E287" i="16"/>
  <c r="E287" i="16" a="1"/>
  <c r="F287" i="16"/>
  <c r="G287" i="16"/>
  <c r="G287" i="16" a="1"/>
  <c r="H287" i="16"/>
  <c r="I287" i="16"/>
  <c r="J287" i="16"/>
  <c r="O287" i="16"/>
  <c r="BD287" i="16"/>
  <c r="BE287" i="16"/>
  <c r="BG287" i="16"/>
  <c r="BH287" i="16"/>
  <c r="BI287" i="16"/>
  <c r="BJ287" i="16"/>
  <c r="BL287" i="16"/>
  <c r="BO287" i="16"/>
  <c r="BP287" i="16"/>
  <c r="BQ287" i="16"/>
  <c r="BR287" i="16"/>
  <c r="BS287" i="16"/>
  <c r="A288" i="16"/>
  <c r="B288" i="16"/>
  <c r="B288" i="16" a="1"/>
  <c r="C288" i="16"/>
  <c r="D288" i="16"/>
  <c r="E288" i="16"/>
  <c r="E288" i="16" a="1"/>
  <c r="F288" i="16"/>
  <c r="G288" i="16"/>
  <c r="G288" i="16" a="1"/>
  <c r="H288" i="16"/>
  <c r="I288" i="16"/>
  <c r="J288" i="16"/>
  <c r="O288" i="16"/>
  <c r="BD288" i="16"/>
  <c r="BE288" i="16"/>
  <c r="BG288" i="16"/>
  <c r="BH288" i="16"/>
  <c r="BI288" i="16"/>
  <c r="BJ288" i="16"/>
  <c r="BL288" i="16"/>
  <c r="BO288" i="16"/>
  <c r="BP288" i="16"/>
  <c r="BQ288" i="16"/>
  <c r="BR288" i="16"/>
  <c r="BS288" i="16"/>
  <c r="A289" i="16"/>
  <c r="B289" i="16"/>
  <c r="B289" i="16" a="1"/>
  <c r="C289" i="16"/>
  <c r="D289" i="16"/>
  <c r="E289" i="16"/>
  <c r="E289" i="16" a="1"/>
  <c r="F289" i="16"/>
  <c r="G289" i="16"/>
  <c r="G289" i="16" a="1"/>
  <c r="H289" i="16"/>
  <c r="I289" i="16"/>
  <c r="J289" i="16"/>
  <c r="O289" i="16"/>
  <c r="BD289" i="16"/>
  <c r="BE289" i="16"/>
  <c r="BG289" i="16"/>
  <c r="BH289" i="16"/>
  <c r="BI289" i="16"/>
  <c r="BJ289" i="16"/>
  <c r="BL289" i="16"/>
  <c r="BO289" i="16"/>
  <c r="BP289" i="16"/>
  <c r="BQ289" i="16"/>
  <c r="BR289" i="16"/>
  <c r="BS289" i="16"/>
  <c r="A290" i="16"/>
  <c r="B290" i="16"/>
  <c r="B290" i="16" a="1"/>
  <c r="C290" i="16"/>
  <c r="D290" i="16"/>
  <c r="E290" i="16"/>
  <c r="E290" i="16" a="1"/>
  <c r="F290" i="16"/>
  <c r="G290" i="16"/>
  <c r="G290" i="16" a="1"/>
  <c r="H290" i="16"/>
  <c r="I290" i="16"/>
  <c r="J290" i="16"/>
  <c r="O290" i="16"/>
  <c r="BD290" i="16"/>
  <c r="BE290" i="16"/>
  <c r="BG290" i="16"/>
  <c r="BH290" i="16"/>
  <c r="BI290" i="16"/>
  <c r="BJ290" i="16"/>
  <c r="BL290" i="16"/>
  <c r="BO290" i="16"/>
  <c r="BP290" i="16"/>
  <c r="BQ290" i="16"/>
  <c r="BR290" i="16"/>
  <c r="BS290" i="16"/>
  <c r="A291" i="16"/>
  <c r="B291" i="16"/>
  <c r="B291" i="16" a="1"/>
  <c r="C291" i="16"/>
  <c r="D291" i="16"/>
  <c r="E291" i="16"/>
  <c r="E291" i="16" a="1"/>
  <c r="F291" i="16"/>
  <c r="G291" i="16"/>
  <c r="G291" i="16" a="1"/>
  <c r="H291" i="16"/>
  <c r="I291" i="16"/>
  <c r="J291" i="16"/>
  <c r="O291" i="16"/>
  <c r="BD291" i="16"/>
  <c r="BE291" i="16"/>
  <c r="BG291" i="16"/>
  <c r="BH291" i="16"/>
  <c r="BI291" i="16"/>
  <c r="BJ291" i="16"/>
  <c r="BL291" i="16"/>
  <c r="BO291" i="16"/>
  <c r="BP291" i="16"/>
  <c r="BQ291" i="16"/>
  <c r="BR291" i="16"/>
  <c r="BS291" i="16"/>
  <c r="A292" i="16"/>
  <c r="B292" i="16"/>
  <c r="B292" i="16" a="1"/>
  <c r="C292" i="16"/>
  <c r="D292" i="16"/>
  <c r="E292" i="16"/>
  <c r="E292" i="16" a="1"/>
  <c r="F292" i="16"/>
  <c r="G292" i="16"/>
  <c r="G292" i="16" a="1"/>
  <c r="H292" i="16"/>
  <c r="I292" i="16"/>
  <c r="J292" i="16"/>
  <c r="O292" i="16"/>
  <c r="BD292" i="16"/>
  <c r="BE292" i="16"/>
  <c r="BG292" i="16"/>
  <c r="BH292" i="16"/>
  <c r="BI292" i="16"/>
  <c r="BJ292" i="16"/>
  <c r="BL292" i="16"/>
  <c r="BO292" i="16"/>
  <c r="BP292" i="16"/>
  <c r="BQ292" i="16"/>
  <c r="BR292" i="16"/>
  <c r="BS292" i="16"/>
  <c r="A293" i="16"/>
  <c r="B293" i="16"/>
  <c r="B293" i="16" a="1"/>
  <c r="C293" i="16"/>
  <c r="D293" i="16"/>
  <c r="E293" i="16"/>
  <c r="E293" i="16" a="1"/>
  <c r="F293" i="16"/>
  <c r="G293" i="16"/>
  <c r="G293" i="16" a="1"/>
  <c r="H293" i="16"/>
  <c r="I293" i="16"/>
  <c r="J293" i="16"/>
  <c r="O293" i="16"/>
  <c r="BD293" i="16"/>
  <c r="BE293" i="16"/>
  <c r="BG293" i="16"/>
  <c r="BH293" i="16"/>
  <c r="BI293" i="16"/>
  <c r="BJ293" i="16"/>
  <c r="BL293" i="16"/>
  <c r="BO293" i="16"/>
  <c r="BP293" i="16"/>
  <c r="BQ293" i="16"/>
  <c r="BR293" i="16"/>
  <c r="BS293" i="16"/>
  <c r="A294" i="16"/>
  <c r="B294" i="16"/>
  <c r="B294" i="16" a="1"/>
  <c r="C294" i="16"/>
  <c r="D294" i="16"/>
  <c r="E294" i="16"/>
  <c r="E294" i="16" a="1"/>
  <c r="F294" i="16"/>
  <c r="G294" i="16"/>
  <c r="G294" i="16" a="1"/>
  <c r="H294" i="16"/>
  <c r="I294" i="16"/>
  <c r="J294" i="16"/>
  <c r="O294" i="16"/>
  <c r="BD294" i="16"/>
  <c r="BE294" i="16"/>
  <c r="BG294" i="16"/>
  <c r="BH294" i="16"/>
  <c r="BI294" i="16"/>
  <c r="BJ294" i="16"/>
  <c r="BL294" i="16"/>
  <c r="BO294" i="16"/>
  <c r="BP294" i="16"/>
  <c r="BQ294" i="16"/>
  <c r="BR294" i="16"/>
  <c r="BS294" i="16"/>
  <c r="A295" i="16"/>
  <c r="B295" i="16"/>
  <c r="B295" i="16" a="1"/>
  <c r="C295" i="16"/>
  <c r="D295" i="16"/>
  <c r="E295" i="16"/>
  <c r="E295" i="16" a="1"/>
  <c r="F295" i="16"/>
  <c r="G295" i="16"/>
  <c r="G295" i="16" a="1"/>
  <c r="H295" i="16"/>
  <c r="I295" i="16"/>
  <c r="J295" i="16"/>
  <c r="O295" i="16"/>
  <c r="BD295" i="16"/>
  <c r="BE295" i="16"/>
  <c r="BG295" i="16"/>
  <c r="BH295" i="16"/>
  <c r="BI295" i="16"/>
  <c r="BJ295" i="16"/>
  <c r="BL295" i="16"/>
  <c r="BO295" i="16"/>
  <c r="BP295" i="16"/>
  <c r="BQ295" i="16"/>
  <c r="BR295" i="16"/>
  <c r="BS295" i="16"/>
  <c r="A296" i="16"/>
  <c r="B296" i="16"/>
  <c r="B296" i="16" a="1"/>
  <c r="C296" i="16"/>
  <c r="D296" i="16"/>
  <c r="E296" i="16"/>
  <c r="E296" i="16" a="1"/>
  <c r="F296" i="16"/>
  <c r="G296" i="16"/>
  <c r="G296" i="16" a="1"/>
  <c r="H296" i="16"/>
  <c r="I296" i="16"/>
  <c r="J296" i="16"/>
  <c r="O296" i="16"/>
  <c r="BD296" i="16"/>
  <c r="BE296" i="16"/>
  <c r="BG296" i="16"/>
  <c r="BH296" i="16"/>
  <c r="BI296" i="16"/>
  <c r="BJ296" i="16"/>
  <c r="BL296" i="16"/>
  <c r="BO296" i="16"/>
  <c r="BP296" i="16"/>
  <c r="BQ296" i="16"/>
  <c r="BR296" i="16"/>
  <c r="BS296" i="16"/>
  <c r="A297" i="16"/>
  <c r="B297" i="16"/>
  <c r="B297" i="16" a="1"/>
  <c r="C297" i="16"/>
  <c r="D297" i="16"/>
  <c r="E297" i="16"/>
  <c r="E297" i="16" a="1"/>
  <c r="F297" i="16"/>
  <c r="G297" i="16"/>
  <c r="G297" i="16" a="1"/>
  <c r="H297" i="16"/>
  <c r="I297" i="16"/>
  <c r="J297" i="16"/>
  <c r="O297" i="16"/>
  <c r="BD297" i="16"/>
  <c r="BE297" i="16"/>
  <c r="BG297" i="16"/>
  <c r="BH297" i="16"/>
  <c r="BI297" i="16"/>
  <c r="BJ297" i="16"/>
  <c r="BL297" i="16"/>
  <c r="BO297" i="16"/>
  <c r="BP297" i="16"/>
  <c r="BQ297" i="16"/>
  <c r="BR297" i="16"/>
  <c r="BS297" i="16"/>
  <c r="A298" i="16"/>
  <c r="B298" i="16"/>
  <c r="B298" i="16" a="1"/>
  <c r="C298" i="16"/>
  <c r="D298" i="16"/>
  <c r="E298" i="16"/>
  <c r="E298" i="16" a="1"/>
  <c r="F298" i="16"/>
  <c r="G298" i="16"/>
  <c r="G298" i="16" a="1"/>
  <c r="H298" i="16"/>
  <c r="I298" i="16"/>
  <c r="J298" i="16"/>
  <c r="O298" i="16"/>
  <c r="BD298" i="16"/>
  <c r="BE298" i="16"/>
  <c r="BG298" i="16"/>
  <c r="BH298" i="16"/>
  <c r="BI298" i="16"/>
  <c r="BJ298" i="16"/>
  <c r="BL298" i="16"/>
  <c r="BO298" i="16"/>
  <c r="BP298" i="16"/>
  <c r="BQ298" i="16"/>
  <c r="BR298" i="16"/>
  <c r="BS298" i="16"/>
  <c r="A299" i="16"/>
  <c r="B299" i="16"/>
  <c r="B299" i="16" a="1"/>
  <c r="C299" i="16"/>
  <c r="D299" i="16"/>
  <c r="E299" i="16"/>
  <c r="E299" i="16" a="1"/>
  <c r="F299" i="16"/>
  <c r="G299" i="16"/>
  <c r="G299" i="16" a="1"/>
  <c r="H299" i="16"/>
  <c r="I299" i="16"/>
  <c r="J299" i="16"/>
  <c r="O299" i="16"/>
  <c r="BD299" i="16"/>
  <c r="BE299" i="16"/>
  <c r="BG299" i="16"/>
  <c r="BH299" i="16"/>
  <c r="BI299" i="16"/>
  <c r="BJ299" i="16"/>
  <c r="BL299" i="16"/>
  <c r="BO299" i="16"/>
  <c r="BP299" i="16"/>
  <c r="BQ299" i="16"/>
  <c r="BR299" i="16"/>
  <c r="BS299" i="16"/>
  <c r="A300" i="16"/>
  <c r="B300" i="16"/>
  <c r="B300" i="16" a="1"/>
  <c r="C300" i="16"/>
  <c r="D300" i="16"/>
  <c r="E300" i="16"/>
  <c r="E300" i="16" a="1"/>
  <c r="F300" i="16"/>
  <c r="G300" i="16"/>
  <c r="G300" i="16" a="1"/>
  <c r="H300" i="16"/>
  <c r="I300" i="16"/>
  <c r="J300" i="16"/>
  <c r="O300" i="16"/>
  <c r="BD300" i="16"/>
  <c r="BE300" i="16"/>
  <c r="BG300" i="16"/>
  <c r="BH300" i="16"/>
  <c r="BI300" i="16"/>
  <c r="BJ300" i="16"/>
  <c r="BL300" i="16"/>
  <c r="BO300" i="16"/>
  <c r="BP300" i="16"/>
  <c r="BQ300" i="16"/>
  <c r="BR300" i="16"/>
  <c r="BS300" i="16"/>
  <c r="A301" i="16"/>
  <c r="B301" i="16"/>
  <c r="B301" i="16" a="1"/>
  <c r="C301" i="16"/>
  <c r="D301" i="16"/>
  <c r="E301" i="16"/>
  <c r="E301" i="16" a="1"/>
  <c r="F301" i="16"/>
  <c r="G301" i="16"/>
  <c r="G301" i="16" a="1"/>
  <c r="H301" i="16"/>
  <c r="I301" i="16"/>
  <c r="J301" i="16"/>
  <c r="O301" i="16"/>
  <c r="BD301" i="16"/>
  <c r="BE301" i="16"/>
  <c r="BG301" i="16"/>
  <c r="BH301" i="16"/>
  <c r="BI301" i="16"/>
  <c r="BJ301" i="16"/>
  <c r="BL301" i="16"/>
  <c r="BO301" i="16"/>
  <c r="BP301" i="16"/>
  <c r="BQ301" i="16"/>
  <c r="BR301" i="16"/>
  <c r="BS301" i="16"/>
  <c r="A302" i="16"/>
  <c r="B302" i="16"/>
  <c r="B302" i="16" a="1"/>
  <c r="C302" i="16"/>
  <c r="D302" i="16"/>
  <c r="E302" i="16"/>
  <c r="E302" i="16" a="1"/>
  <c r="F302" i="16"/>
  <c r="G302" i="16"/>
  <c r="G302" i="16" a="1"/>
  <c r="H302" i="16"/>
  <c r="I302" i="16"/>
  <c r="J302" i="16"/>
  <c r="O302" i="16"/>
  <c r="BD302" i="16"/>
  <c r="BE302" i="16"/>
  <c r="BG302" i="16"/>
  <c r="BH302" i="16"/>
  <c r="BI302" i="16"/>
  <c r="BJ302" i="16"/>
  <c r="BL302" i="16"/>
  <c r="BO302" i="16"/>
  <c r="BP302" i="16"/>
  <c r="BQ302" i="16"/>
  <c r="BR302" i="16"/>
  <c r="BS302" i="16"/>
  <c r="A303" i="16"/>
  <c r="B303" i="16"/>
  <c r="B303" i="16" a="1"/>
  <c r="C303" i="16"/>
  <c r="D303" i="16"/>
  <c r="E303" i="16"/>
  <c r="E303" i="16" a="1"/>
  <c r="F303" i="16"/>
  <c r="G303" i="16"/>
  <c r="G303" i="16" a="1"/>
  <c r="H303" i="16"/>
  <c r="I303" i="16"/>
  <c r="J303" i="16"/>
  <c r="O303" i="16"/>
  <c r="BD303" i="16"/>
  <c r="BE303" i="16"/>
  <c r="BG303" i="16"/>
  <c r="BH303" i="16"/>
  <c r="BI303" i="16"/>
  <c r="BJ303" i="16"/>
  <c r="BL303" i="16"/>
  <c r="BO303" i="16"/>
  <c r="BP303" i="16"/>
  <c r="BQ303" i="16"/>
  <c r="BR303" i="16"/>
  <c r="BS303" i="16"/>
  <c r="A304" i="16"/>
  <c r="B304" i="16"/>
  <c r="B304" i="16" a="1"/>
  <c r="C304" i="16"/>
  <c r="D304" i="16"/>
  <c r="E304" i="16"/>
  <c r="E304" i="16" a="1"/>
  <c r="F304" i="16"/>
  <c r="G304" i="16"/>
  <c r="G304" i="16" a="1"/>
  <c r="H304" i="16"/>
  <c r="I304" i="16"/>
  <c r="J304" i="16"/>
  <c r="O304" i="16"/>
  <c r="BD304" i="16"/>
  <c r="BE304" i="16"/>
  <c r="BG304" i="16"/>
  <c r="BH304" i="16"/>
  <c r="BI304" i="16"/>
  <c r="BJ304" i="16"/>
  <c r="BL304" i="16"/>
  <c r="BO304" i="16"/>
  <c r="BP304" i="16"/>
  <c r="BQ304" i="16"/>
  <c r="BR304" i="16"/>
  <c r="BS304" i="16"/>
  <c r="A305" i="16"/>
  <c r="B305" i="16"/>
  <c r="B305" i="16" a="1"/>
  <c r="C305" i="16"/>
  <c r="D305" i="16"/>
  <c r="E305" i="16"/>
  <c r="E305" i="16" a="1"/>
  <c r="F305" i="16"/>
  <c r="G305" i="16"/>
  <c r="G305" i="16" a="1"/>
  <c r="H305" i="16"/>
  <c r="I305" i="16"/>
  <c r="J305" i="16"/>
  <c r="O305" i="16"/>
  <c r="BD305" i="16"/>
  <c r="BE305" i="16"/>
  <c r="BG305" i="16"/>
  <c r="BH305" i="16"/>
  <c r="BI305" i="16"/>
  <c r="BJ305" i="16"/>
  <c r="BL305" i="16"/>
  <c r="BO305" i="16"/>
  <c r="BP305" i="16"/>
  <c r="BQ305" i="16"/>
  <c r="BR305" i="16"/>
  <c r="BS305" i="16"/>
  <c r="A306" i="16"/>
  <c r="B306" i="16"/>
  <c r="B306" i="16" a="1"/>
  <c r="C306" i="16"/>
  <c r="D306" i="16"/>
  <c r="E306" i="16"/>
  <c r="E306" i="16" a="1"/>
  <c r="F306" i="16"/>
  <c r="G306" i="16"/>
  <c r="G306" i="16" a="1"/>
  <c r="H306" i="16"/>
  <c r="I306" i="16"/>
  <c r="J306" i="16"/>
  <c r="O306" i="16"/>
  <c r="BD306" i="16"/>
  <c r="BE306" i="16"/>
  <c r="BG306" i="16"/>
  <c r="BH306" i="16"/>
  <c r="BI306" i="16"/>
  <c r="BJ306" i="16"/>
  <c r="BL306" i="16"/>
  <c r="BO306" i="16"/>
  <c r="BP306" i="16"/>
  <c r="BQ306" i="16"/>
  <c r="BR306" i="16"/>
  <c r="BS306" i="16"/>
  <c r="A307" i="16"/>
  <c r="B307" i="16"/>
  <c r="B307" i="16" a="1"/>
  <c r="C307" i="16"/>
  <c r="D307" i="16"/>
  <c r="E307" i="16"/>
  <c r="E307" i="16" a="1"/>
  <c r="F307" i="16"/>
  <c r="G307" i="16"/>
  <c r="G307" i="16" a="1"/>
  <c r="H307" i="16"/>
  <c r="I307" i="16"/>
  <c r="J307" i="16"/>
  <c r="O307" i="16"/>
  <c r="BD307" i="16"/>
  <c r="BE307" i="16"/>
  <c r="BG307" i="16"/>
  <c r="BH307" i="16"/>
  <c r="BI307" i="16"/>
  <c r="BJ307" i="16"/>
  <c r="BL307" i="16"/>
  <c r="BO307" i="16"/>
  <c r="BP307" i="16"/>
  <c r="BQ307" i="16"/>
  <c r="BR307" i="16"/>
  <c r="BS307" i="16"/>
  <c r="A308" i="16"/>
  <c r="B308" i="16"/>
  <c r="B308" i="16" a="1"/>
  <c r="C308" i="16"/>
  <c r="D308" i="16"/>
  <c r="E308" i="16"/>
  <c r="E308" i="16" a="1"/>
  <c r="F308" i="16"/>
  <c r="G308" i="16"/>
  <c r="G308" i="16" a="1"/>
  <c r="H308" i="16"/>
  <c r="I308" i="16"/>
  <c r="J308" i="16"/>
  <c r="O308" i="16"/>
  <c r="BD308" i="16"/>
  <c r="BE308" i="16"/>
  <c r="BG308" i="16"/>
  <c r="BH308" i="16"/>
  <c r="BI308" i="16"/>
  <c r="BJ308" i="16"/>
  <c r="BL308" i="16"/>
  <c r="BO308" i="16"/>
  <c r="BP308" i="16"/>
  <c r="BQ308" i="16"/>
  <c r="BR308" i="16"/>
  <c r="BS308" i="16"/>
  <c r="A309" i="16"/>
  <c r="B309" i="16"/>
  <c r="B309" i="16" a="1"/>
  <c r="C309" i="16"/>
  <c r="D309" i="16"/>
  <c r="E309" i="16"/>
  <c r="E309" i="16" a="1"/>
  <c r="F309" i="16"/>
  <c r="G309" i="16"/>
  <c r="G309" i="16" a="1"/>
  <c r="H309" i="16"/>
  <c r="I309" i="16"/>
  <c r="J309" i="16"/>
  <c r="O309" i="16"/>
  <c r="BD309" i="16"/>
  <c r="BE309" i="16"/>
  <c r="BG309" i="16"/>
  <c r="BH309" i="16"/>
  <c r="BI309" i="16"/>
  <c r="BJ309" i="16"/>
  <c r="BL309" i="16"/>
  <c r="BO309" i="16"/>
  <c r="BP309" i="16"/>
  <c r="BQ309" i="16"/>
  <c r="BR309" i="16"/>
  <c r="BS309" i="16"/>
  <c r="A310" i="16"/>
  <c r="B310" i="16"/>
  <c r="B310" i="16" a="1"/>
  <c r="C310" i="16"/>
  <c r="D310" i="16"/>
  <c r="E310" i="16"/>
  <c r="E310" i="16" a="1"/>
  <c r="F310" i="16"/>
  <c r="G310" i="16"/>
  <c r="G310" i="16" a="1"/>
  <c r="H310" i="16"/>
  <c r="I310" i="16"/>
  <c r="J310" i="16"/>
  <c r="O310" i="16"/>
  <c r="BD310" i="16"/>
  <c r="BE310" i="16"/>
  <c r="BG310" i="16"/>
  <c r="BH310" i="16"/>
  <c r="BI310" i="16"/>
  <c r="BJ310" i="16"/>
  <c r="BL310" i="16"/>
  <c r="BO310" i="16"/>
  <c r="BP310" i="16"/>
  <c r="BQ310" i="16"/>
  <c r="BR310" i="16"/>
  <c r="BS310" i="16"/>
  <c r="A311" i="16"/>
  <c r="B311" i="16"/>
  <c r="B311" i="16" a="1"/>
  <c r="C311" i="16"/>
  <c r="D311" i="16"/>
  <c r="E311" i="16"/>
  <c r="E311" i="16" a="1"/>
  <c r="F311" i="16"/>
  <c r="G311" i="16"/>
  <c r="G311" i="16" a="1"/>
  <c r="H311" i="16"/>
  <c r="I311" i="16"/>
  <c r="J311" i="16"/>
  <c r="O311" i="16"/>
  <c r="BD311" i="16"/>
  <c r="BE311" i="16"/>
  <c r="BG311" i="16"/>
  <c r="BH311" i="16"/>
  <c r="BI311" i="16"/>
  <c r="BJ311" i="16"/>
  <c r="BL311" i="16"/>
  <c r="BO311" i="16"/>
  <c r="BP311" i="16"/>
  <c r="BQ311" i="16"/>
  <c r="BR311" i="16"/>
  <c r="BS311" i="16"/>
  <c r="A312" i="16"/>
  <c r="B312" i="16"/>
  <c r="B312" i="16" a="1"/>
  <c r="C312" i="16"/>
  <c r="D312" i="16"/>
  <c r="E312" i="16"/>
  <c r="E312" i="16" a="1"/>
  <c r="F312" i="16"/>
  <c r="G312" i="16"/>
  <c r="G312" i="16" a="1"/>
  <c r="H312" i="16"/>
  <c r="I312" i="16"/>
  <c r="J312" i="16"/>
  <c r="O312" i="16"/>
  <c r="BD312" i="16"/>
  <c r="BE312" i="16"/>
  <c r="BG312" i="16"/>
  <c r="BH312" i="16"/>
  <c r="BI312" i="16"/>
  <c r="BJ312" i="16"/>
  <c r="BL312" i="16"/>
  <c r="BO312" i="16"/>
  <c r="BP312" i="16"/>
  <c r="BQ312" i="16"/>
  <c r="BR312" i="16"/>
  <c r="BS312" i="16"/>
  <c r="A313" i="16"/>
  <c r="B313" i="16"/>
  <c r="B313" i="16" a="1"/>
  <c r="C313" i="16"/>
  <c r="D313" i="16"/>
  <c r="E313" i="16"/>
  <c r="E313" i="16" a="1"/>
  <c r="F313" i="16"/>
  <c r="G313" i="16"/>
  <c r="G313" i="16" a="1"/>
  <c r="H313" i="16"/>
  <c r="I313" i="16"/>
  <c r="J313" i="16"/>
  <c r="O313" i="16"/>
  <c r="BD313" i="16"/>
  <c r="BE313" i="16"/>
  <c r="BG313" i="16"/>
  <c r="BH313" i="16"/>
  <c r="BI313" i="16"/>
  <c r="BJ313" i="16"/>
  <c r="BL313" i="16"/>
  <c r="BO313" i="16"/>
  <c r="BP313" i="16"/>
  <c r="BQ313" i="16"/>
  <c r="BR313" i="16"/>
  <c r="BS313" i="16"/>
  <c r="A314" i="16"/>
  <c r="B314" i="16"/>
  <c r="B314" i="16" a="1"/>
  <c r="C314" i="16"/>
  <c r="D314" i="16"/>
  <c r="E314" i="16"/>
  <c r="E314" i="16" a="1"/>
  <c r="F314" i="16"/>
  <c r="G314" i="16"/>
  <c r="G314" i="16" a="1"/>
  <c r="H314" i="16"/>
  <c r="I314" i="16"/>
  <c r="J314" i="16"/>
  <c r="O314" i="16"/>
  <c r="BD314" i="16"/>
  <c r="BE314" i="16"/>
  <c r="BG314" i="16"/>
  <c r="BH314" i="16"/>
  <c r="BI314" i="16"/>
  <c r="BJ314" i="16"/>
  <c r="BL314" i="16"/>
  <c r="BO314" i="16"/>
  <c r="BP314" i="16"/>
  <c r="BQ314" i="16"/>
  <c r="BR314" i="16"/>
  <c r="BS314" i="16"/>
  <c r="A315" i="16"/>
  <c r="B315" i="16"/>
  <c r="B315" i="16" a="1"/>
  <c r="C315" i="16"/>
  <c r="D315" i="16"/>
  <c r="E315" i="16"/>
  <c r="E315" i="16" a="1"/>
  <c r="F315" i="16"/>
  <c r="G315" i="16"/>
  <c r="G315" i="16" a="1"/>
  <c r="H315" i="16"/>
  <c r="I315" i="16"/>
  <c r="J315" i="16"/>
  <c r="O315" i="16"/>
  <c r="BD315" i="16"/>
  <c r="BE315" i="16"/>
  <c r="BG315" i="16"/>
  <c r="BH315" i="16"/>
  <c r="BI315" i="16"/>
  <c r="BJ315" i="16"/>
  <c r="BL315" i="16"/>
  <c r="BO315" i="16"/>
  <c r="BP315" i="16"/>
  <c r="BQ315" i="16"/>
  <c r="BR315" i="16"/>
  <c r="BS315" i="16"/>
  <c r="A316" i="16"/>
  <c r="B316" i="16"/>
  <c r="B316" i="16" a="1"/>
  <c r="C316" i="16"/>
  <c r="D316" i="16"/>
  <c r="E316" i="16"/>
  <c r="E316" i="16" a="1"/>
  <c r="F316" i="16"/>
  <c r="G316" i="16"/>
  <c r="G316" i="16" a="1"/>
  <c r="H316" i="16"/>
  <c r="I316" i="16"/>
  <c r="J316" i="16"/>
  <c r="O316" i="16"/>
  <c r="BD316" i="16"/>
  <c r="BE316" i="16"/>
  <c r="BG316" i="16"/>
  <c r="BH316" i="16"/>
  <c r="BI316" i="16"/>
  <c r="BJ316" i="16"/>
  <c r="BL316" i="16"/>
  <c r="BO316" i="16"/>
  <c r="BP316" i="16"/>
  <c r="BQ316" i="16"/>
  <c r="BR316" i="16"/>
  <c r="BS316" i="16"/>
  <c r="BR317" i="16"/>
  <c r="BS317" i="16"/>
  <c r="BT317" i="16"/>
  <c r="C320" i="16"/>
  <c r="J320" i="16"/>
  <c r="J321" i="16"/>
  <c r="J322" i="16"/>
  <c r="J323" i="16"/>
  <c r="A329" i="16"/>
  <c r="B329" i="16"/>
  <c r="B329" i="16" a="1"/>
  <c r="C329" i="16"/>
  <c r="D329" i="16"/>
  <c r="F329" i="16"/>
  <c r="H329" i="16"/>
  <c r="I329" i="16"/>
  <c r="J329" i="16"/>
  <c r="O329" i="16"/>
  <c r="BD329" i="16"/>
  <c r="BE329" i="16"/>
  <c r="BG329" i="16"/>
  <c r="BH329" i="16"/>
  <c r="BI329" i="16"/>
  <c r="BJ329" i="16"/>
  <c r="BL329" i="16"/>
  <c r="BM329" i="16"/>
  <c r="BO329" i="16"/>
  <c r="BP329" i="16"/>
  <c r="BQ329" i="16"/>
  <c r="BR329" i="16"/>
  <c r="BS329" i="16"/>
  <c r="A330" i="16"/>
  <c r="B330" i="16"/>
  <c r="B330" i="16" a="1"/>
  <c r="C330" i="16"/>
  <c r="D330" i="16"/>
  <c r="E330" i="16"/>
  <c r="E330" i="16" a="1"/>
  <c r="F330" i="16"/>
  <c r="G330" i="16"/>
  <c r="G330" i="16" a="1"/>
  <c r="H330" i="16"/>
  <c r="I330" i="16"/>
  <c r="J330" i="16"/>
  <c r="O330" i="16"/>
  <c r="BD330" i="16"/>
  <c r="BE330" i="16"/>
  <c r="BG330" i="16"/>
  <c r="BH330" i="16"/>
  <c r="BI330" i="16"/>
  <c r="BJ330" i="16"/>
  <c r="BL330" i="16"/>
  <c r="BM330" i="16"/>
  <c r="BO330" i="16"/>
  <c r="BP330" i="16"/>
  <c r="BQ330" i="16"/>
  <c r="BR330" i="16"/>
  <c r="BS330" i="16"/>
  <c r="A331" i="16"/>
  <c r="B331" i="16"/>
  <c r="B331" i="16" a="1"/>
  <c r="C331" i="16"/>
  <c r="D331" i="16"/>
  <c r="E331" i="16"/>
  <c r="E331" i="16" a="1"/>
  <c r="F331" i="16"/>
  <c r="G331" i="16"/>
  <c r="G331" i="16" a="1"/>
  <c r="H331" i="16"/>
  <c r="I331" i="16"/>
  <c r="J331" i="16"/>
  <c r="O331" i="16"/>
  <c r="BD331" i="16"/>
  <c r="BE331" i="16"/>
  <c r="BG331" i="16"/>
  <c r="BH331" i="16"/>
  <c r="BI331" i="16"/>
  <c r="BJ331" i="16"/>
  <c r="BL331" i="16"/>
  <c r="BM331" i="16"/>
  <c r="BO331" i="16"/>
  <c r="BP331" i="16"/>
  <c r="BQ331" i="16"/>
  <c r="BR331" i="16"/>
  <c r="BS331" i="16"/>
  <c r="A332" i="16"/>
  <c r="B332" i="16"/>
  <c r="B332" i="16" a="1"/>
  <c r="C332" i="16"/>
  <c r="D332" i="16"/>
  <c r="E332" i="16"/>
  <c r="E332" i="16" a="1"/>
  <c r="F332" i="16"/>
  <c r="G332" i="16"/>
  <c r="G332" i="16" a="1"/>
  <c r="H332" i="16"/>
  <c r="I332" i="16"/>
  <c r="J332" i="16"/>
  <c r="O332" i="16"/>
  <c r="BD332" i="16"/>
  <c r="BE332" i="16"/>
  <c r="BG332" i="16"/>
  <c r="BH332" i="16"/>
  <c r="BI332" i="16"/>
  <c r="BJ332" i="16"/>
  <c r="BL332" i="16"/>
  <c r="BM332" i="16"/>
  <c r="BO332" i="16"/>
  <c r="BP332" i="16"/>
  <c r="BQ332" i="16"/>
  <c r="BR332" i="16"/>
  <c r="BS332" i="16"/>
  <c r="A333" i="16"/>
  <c r="B333" i="16"/>
  <c r="B333" i="16" a="1"/>
  <c r="C333" i="16"/>
  <c r="D333" i="16"/>
  <c r="E333" i="16"/>
  <c r="E333" i="16" a="1"/>
  <c r="F333" i="16"/>
  <c r="G333" i="16"/>
  <c r="G333" i="16" a="1"/>
  <c r="H333" i="16"/>
  <c r="I333" i="16"/>
  <c r="J333" i="16"/>
  <c r="O333" i="16"/>
  <c r="BD333" i="16"/>
  <c r="BE333" i="16"/>
  <c r="BG333" i="16"/>
  <c r="BH333" i="16"/>
  <c r="BI333" i="16"/>
  <c r="BJ333" i="16"/>
  <c r="BL333" i="16"/>
  <c r="BM333" i="16"/>
  <c r="BO333" i="16"/>
  <c r="BP333" i="16"/>
  <c r="BQ333" i="16"/>
  <c r="BR333" i="16"/>
  <c r="BS333" i="16"/>
  <c r="A334" i="16"/>
  <c r="B334" i="16"/>
  <c r="B334" i="16" a="1"/>
  <c r="C334" i="16"/>
  <c r="D334" i="16"/>
  <c r="E334" i="16"/>
  <c r="E334" i="16" a="1"/>
  <c r="F334" i="16"/>
  <c r="G334" i="16"/>
  <c r="G334" i="16" a="1"/>
  <c r="H334" i="16"/>
  <c r="I334" i="16"/>
  <c r="J334" i="16"/>
  <c r="O334" i="16"/>
  <c r="BD334" i="16"/>
  <c r="BE334" i="16"/>
  <c r="BG334" i="16"/>
  <c r="BH334" i="16"/>
  <c r="BI334" i="16"/>
  <c r="BJ334" i="16"/>
  <c r="BL334" i="16"/>
  <c r="BM334" i="16"/>
  <c r="BO334" i="16"/>
  <c r="BP334" i="16"/>
  <c r="BQ334" i="16"/>
  <c r="BR334" i="16"/>
  <c r="BS334" i="16"/>
  <c r="A335" i="16"/>
  <c r="B335" i="16"/>
  <c r="B335" i="16" a="1"/>
  <c r="C335" i="16"/>
  <c r="D335" i="16"/>
  <c r="E335" i="16"/>
  <c r="E335" i="16" a="1"/>
  <c r="F335" i="16"/>
  <c r="G335" i="16"/>
  <c r="G335" i="16" a="1"/>
  <c r="H335" i="16"/>
  <c r="I335" i="16"/>
  <c r="J335" i="16"/>
  <c r="O335" i="16"/>
  <c r="BD335" i="16"/>
  <c r="BE335" i="16"/>
  <c r="BG335" i="16"/>
  <c r="BH335" i="16"/>
  <c r="BI335" i="16"/>
  <c r="BJ335" i="16"/>
  <c r="BL335" i="16"/>
  <c r="BM335" i="16"/>
  <c r="BO335" i="16"/>
  <c r="BP335" i="16"/>
  <c r="BQ335" i="16"/>
  <c r="BR335" i="16"/>
  <c r="BS335" i="16"/>
  <c r="A336" i="16"/>
  <c r="B336" i="16"/>
  <c r="B336" i="16" a="1"/>
  <c r="C336" i="16"/>
  <c r="D336" i="16"/>
  <c r="E336" i="16"/>
  <c r="E336" i="16" a="1"/>
  <c r="F336" i="16"/>
  <c r="G336" i="16"/>
  <c r="G336" i="16" a="1"/>
  <c r="H336" i="16"/>
  <c r="I336" i="16"/>
  <c r="J336" i="16"/>
  <c r="O336" i="16"/>
  <c r="BD336" i="16"/>
  <c r="BE336" i="16"/>
  <c r="BG336" i="16"/>
  <c r="BH336" i="16"/>
  <c r="BI336" i="16"/>
  <c r="BJ336" i="16"/>
  <c r="BL336" i="16"/>
  <c r="BM336" i="16"/>
  <c r="BO336" i="16"/>
  <c r="BP336" i="16"/>
  <c r="BQ336" i="16"/>
  <c r="BR336" i="16"/>
  <c r="BS336" i="16"/>
  <c r="A337" i="16"/>
  <c r="B337" i="16"/>
  <c r="B337" i="16" a="1"/>
  <c r="C337" i="16"/>
  <c r="D337" i="16"/>
  <c r="E337" i="16"/>
  <c r="E337" i="16" a="1"/>
  <c r="F337" i="16"/>
  <c r="G337" i="16"/>
  <c r="G337" i="16" a="1"/>
  <c r="H337" i="16"/>
  <c r="I337" i="16"/>
  <c r="J337" i="16"/>
  <c r="O337" i="16"/>
  <c r="BD337" i="16"/>
  <c r="BE337" i="16"/>
  <c r="BG337" i="16"/>
  <c r="BH337" i="16"/>
  <c r="BI337" i="16"/>
  <c r="BJ337" i="16"/>
  <c r="BL337" i="16"/>
  <c r="BM337" i="16"/>
  <c r="BO337" i="16"/>
  <c r="BP337" i="16"/>
  <c r="BQ337" i="16"/>
  <c r="BR337" i="16"/>
  <c r="BS337" i="16"/>
  <c r="A338" i="16"/>
  <c r="B338" i="16"/>
  <c r="B338" i="16" a="1"/>
  <c r="C338" i="16"/>
  <c r="D338" i="16"/>
  <c r="E338" i="16"/>
  <c r="E338" i="16" a="1"/>
  <c r="F338" i="16"/>
  <c r="G338" i="16"/>
  <c r="G338" i="16" a="1"/>
  <c r="H338" i="16"/>
  <c r="I338" i="16"/>
  <c r="J338" i="16"/>
  <c r="O338" i="16"/>
  <c r="BD338" i="16"/>
  <c r="BE338" i="16"/>
  <c r="BG338" i="16"/>
  <c r="BH338" i="16"/>
  <c r="BI338" i="16"/>
  <c r="BJ338" i="16"/>
  <c r="BL338" i="16"/>
  <c r="BM338" i="16"/>
  <c r="BO338" i="16"/>
  <c r="BP338" i="16"/>
  <c r="BQ338" i="16"/>
  <c r="BR338" i="16"/>
  <c r="BS338" i="16"/>
  <c r="A339" i="16"/>
  <c r="B339" i="16"/>
  <c r="B339" i="16" a="1"/>
  <c r="C339" i="16"/>
  <c r="D339" i="16"/>
  <c r="E339" i="16"/>
  <c r="E339" i="16" a="1"/>
  <c r="F339" i="16"/>
  <c r="G339" i="16"/>
  <c r="G339" i="16" a="1"/>
  <c r="H339" i="16"/>
  <c r="I339" i="16"/>
  <c r="J339" i="16"/>
  <c r="O339" i="16"/>
  <c r="BD339" i="16"/>
  <c r="BE339" i="16"/>
  <c r="BG339" i="16"/>
  <c r="BH339" i="16"/>
  <c r="BI339" i="16"/>
  <c r="BJ339" i="16"/>
  <c r="BL339" i="16"/>
  <c r="BM339" i="16"/>
  <c r="BO339" i="16"/>
  <c r="BP339" i="16"/>
  <c r="BQ339" i="16"/>
  <c r="BR339" i="16"/>
  <c r="BS339" i="16"/>
  <c r="A340" i="16"/>
  <c r="B340" i="16"/>
  <c r="B340" i="16" a="1"/>
  <c r="C340" i="16"/>
  <c r="D340" i="16"/>
  <c r="E340" i="16"/>
  <c r="E340" i="16" a="1"/>
  <c r="F340" i="16"/>
  <c r="G340" i="16"/>
  <c r="G340" i="16" a="1"/>
  <c r="H340" i="16"/>
  <c r="I340" i="16"/>
  <c r="J340" i="16"/>
  <c r="O340" i="16"/>
  <c r="BD340" i="16"/>
  <c r="BE340" i="16"/>
  <c r="BG340" i="16"/>
  <c r="BH340" i="16"/>
  <c r="BI340" i="16"/>
  <c r="BJ340" i="16"/>
  <c r="BL340" i="16"/>
  <c r="BM340" i="16"/>
  <c r="BO340" i="16"/>
  <c r="BP340" i="16"/>
  <c r="BQ340" i="16"/>
  <c r="BR340" i="16"/>
  <c r="BS340" i="16"/>
  <c r="A341" i="16"/>
  <c r="B341" i="16"/>
  <c r="B341" i="16" a="1"/>
  <c r="C341" i="16"/>
  <c r="D341" i="16"/>
  <c r="E341" i="16"/>
  <c r="E341" i="16" a="1"/>
  <c r="F341" i="16"/>
  <c r="G341" i="16"/>
  <c r="G341" i="16" a="1"/>
  <c r="H341" i="16"/>
  <c r="I341" i="16"/>
  <c r="J341" i="16"/>
  <c r="O341" i="16"/>
  <c r="BD341" i="16"/>
  <c r="BE341" i="16"/>
  <c r="BG341" i="16"/>
  <c r="BH341" i="16"/>
  <c r="BI341" i="16"/>
  <c r="BJ341" i="16"/>
  <c r="BL341" i="16"/>
  <c r="BM341" i="16"/>
  <c r="BO341" i="16"/>
  <c r="BP341" i="16"/>
  <c r="BQ341" i="16"/>
  <c r="BR341" i="16"/>
  <c r="BS341" i="16"/>
  <c r="A342" i="16"/>
  <c r="B342" i="16"/>
  <c r="B342" i="16" a="1"/>
  <c r="C342" i="16"/>
  <c r="D342" i="16"/>
  <c r="E342" i="16"/>
  <c r="E342" i="16" a="1"/>
  <c r="F342" i="16"/>
  <c r="G342" i="16"/>
  <c r="G342" i="16" a="1"/>
  <c r="H342" i="16"/>
  <c r="I342" i="16"/>
  <c r="J342" i="16"/>
  <c r="O342" i="16"/>
  <c r="BD342" i="16"/>
  <c r="BE342" i="16"/>
  <c r="BG342" i="16"/>
  <c r="BH342" i="16"/>
  <c r="BI342" i="16"/>
  <c r="BJ342" i="16"/>
  <c r="BL342" i="16"/>
  <c r="BM342" i="16"/>
  <c r="BO342" i="16"/>
  <c r="BP342" i="16"/>
  <c r="BQ342" i="16"/>
  <c r="BR342" i="16"/>
  <c r="BS342" i="16"/>
  <c r="A343" i="16"/>
  <c r="B343" i="16"/>
  <c r="B343" i="16" a="1"/>
  <c r="C343" i="16"/>
  <c r="D343" i="16"/>
  <c r="E343" i="16"/>
  <c r="E343" i="16" a="1"/>
  <c r="F343" i="16"/>
  <c r="G343" i="16"/>
  <c r="G343" i="16" a="1"/>
  <c r="H343" i="16"/>
  <c r="I343" i="16"/>
  <c r="J343" i="16"/>
  <c r="O343" i="16"/>
  <c r="BD343" i="16"/>
  <c r="BE343" i="16"/>
  <c r="BG343" i="16"/>
  <c r="BH343" i="16"/>
  <c r="BI343" i="16"/>
  <c r="BJ343" i="16"/>
  <c r="BL343" i="16"/>
  <c r="BM343" i="16"/>
  <c r="BO343" i="16"/>
  <c r="BP343" i="16"/>
  <c r="BQ343" i="16"/>
  <c r="BR343" i="16"/>
  <c r="BS343" i="16"/>
  <c r="A344" i="16"/>
  <c r="B344" i="16"/>
  <c r="B344" i="16" a="1"/>
  <c r="C344" i="16"/>
  <c r="D344" i="16"/>
  <c r="E344" i="16"/>
  <c r="E344" i="16" a="1"/>
  <c r="F344" i="16"/>
  <c r="G344" i="16"/>
  <c r="G344" i="16" a="1"/>
  <c r="H344" i="16"/>
  <c r="I344" i="16"/>
  <c r="J344" i="16"/>
  <c r="O344" i="16"/>
  <c r="BD344" i="16"/>
  <c r="BE344" i="16"/>
  <c r="BG344" i="16"/>
  <c r="BH344" i="16"/>
  <c r="BI344" i="16"/>
  <c r="BJ344" i="16"/>
  <c r="BL344" i="16"/>
  <c r="BM344" i="16"/>
  <c r="BO344" i="16"/>
  <c r="BP344" i="16"/>
  <c r="BQ344" i="16"/>
  <c r="BR344" i="16"/>
  <c r="BS344" i="16"/>
  <c r="A345" i="16"/>
  <c r="B345" i="16"/>
  <c r="B345" i="16" a="1"/>
  <c r="C345" i="16"/>
  <c r="D345" i="16"/>
  <c r="E345" i="16"/>
  <c r="E345" i="16" a="1"/>
  <c r="F345" i="16"/>
  <c r="G345" i="16"/>
  <c r="G345" i="16" a="1"/>
  <c r="H345" i="16"/>
  <c r="I345" i="16"/>
  <c r="J345" i="16"/>
  <c r="O345" i="16"/>
  <c r="BD345" i="16"/>
  <c r="BE345" i="16"/>
  <c r="BG345" i="16"/>
  <c r="BH345" i="16"/>
  <c r="BI345" i="16"/>
  <c r="BJ345" i="16"/>
  <c r="BL345" i="16"/>
  <c r="BM345" i="16"/>
  <c r="BO345" i="16"/>
  <c r="BP345" i="16"/>
  <c r="BQ345" i="16"/>
  <c r="BR345" i="16"/>
  <c r="BS345" i="16"/>
  <c r="A346" i="16"/>
  <c r="B346" i="16"/>
  <c r="B346" i="16" a="1"/>
  <c r="C346" i="16"/>
  <c r="D346" i="16"/>
  <c r="E346" i="16"/>
  <c r="E346" i="16" a="1"/>
  <c r="F346" i="16"/>
  <c r="G346" i="16"/>
  <c r="G346" i="16" a="1"/>
  <c r="H346" i="16"/>
  <c r="I346" i="16"/>
  <c r="J346" i="16"/>
  <c r="O346" i="16"/>
  <c r="BD346" i="16"/>
  <c r="BE346" i="16"/>
  <c r="BG346" i="16"/>
  <c r="BH346" i="16"/>
  <c r="BI346" i="16"/>
  <c r="BJ346" i="16"/>
  <c r="BL346" i="16"/>
  <c r="BM346" i="16"/>
  <c r="BO346" i="16"/>
  <c r="BP346" i="16"/>
  <c r="BQ346" i="16"/>
  <c r="BR346" i="16"/>
  <c r="BS346" i="16"/>
  <c r="A347" i="16"/>
  <c r="B347" i="16"/>
  <c r="B347" i="16" a="1"/>
  <c r="C347" i="16"/>
  <c r="D347" i="16"/>
  <c r="E347" i="16"/>
  <c r="E347" i="16" a="1"/>
  <c r="F347" i="16"/>
  <c r="G347" i="16"/>
  <c r="G347" i="16" a="1"/>
  <c r="H347" i="16"/>
  <c r="I347" i="16"/>
  <c r="J347" i="16"/>
  <c r="O347" i="16"/>
  <c r="BD347" i="16"/>
  <c r="BE347" i="16"/>
  <c r="BG347" i="16"/>
  <c r="BH347" i="16"/>
  <c r="BI347" i="16"/>
  <c r="BJ347" i="16"/>
  <c r="BL347" i="16"/>
  <c r="BM347" i="16"/>
  <c r="BO347" i="16"/>
  <c r="BP347" i="16"/>
  <c r="BQ347" i="16"/>
  <c r="BR347" i="16"/>
  <c r="BS347" i="16"/>
  <c r="A348" i="16"/>
  <c r="B348" i="16"/>
  <c r="B348" i="16" a="1"/>
  <c r="C348" i="16"/>
  <c r="D348" i="16"/>
  <c r="E348" i="16"/>
  <c r="E348" i="16" a="1"/>
  <c r="F348" i="16"/>
  <c r="G348" i="16"/>
  <c r="G348" i="16" a="1"/>
  <c r="H348" i="16"/>
  <c r="I348" i="16"/>
  <c r="J348" i="16"/>
  <c r="O348" i="16"/>
  <c r="BD348" i="16"/>
  <c r="BE348" i="16"/>
  <c r="BG348" i="16"/>
  <c r="BH348" i="16"/>
  <c r="BI348" i="16"/>
  <c r="BJ348" i="16"/>
  <c r="BL348" i="16"/>
  <c r="BM348" i="16"/>
  <c r="BO348" i="16"/>
  <c r="BP348" i="16"/>
  <c r="BQ348" i="16"/>
  <c r="BR348" i="16"/>
  <c r="BS348" i="16"/>
  <c r="A349" i="16"/>
  <c r="B349" i="16"/>
  <c r="B349" i="16" a="1"/>
  <c r="C349" i="16"/>
  <c r="D349" i="16"/>
  <c r="E349" i="16"/>
  <c r="E349" i="16" a="1"/>
  <c r="F349" i="16"/>
  <c r="G349" i="16"/>
  <c r="G349" i="16" a="1"/>
  <c r="H349" i="16"/>
  <c r="I349" i="16"/>
  <c r="J349" i="16"/>
  <c r="O349" i="16"/>
  <c r="BD349" i="16"/>
  <c r="BE349" i="16"/>
  <c r="BG349" i="16"/>
  <c r="BH349" i="16"/>
  <c r="BI349" i="16"/>
  <c r="BJ349" i="16"/>
  <c r="BL349" i="16"/>
  <c r="BM349" i="16"/>
  <c r="BO349" i="16"/>
  <c r="BP349" i="16"/>
  <c r="BQ349" i="16"/>
  <c r="BR349" i="16"/>
  <c r="BS349" i="16"/>
  <c r="A350" i="16"/>
  <c r="B350" i="16"/>
  <c r="B350" i="16" a="1"/>
  <c r="C350" i="16"/>
  <c r="D350" i="16"/>
  <c r="E350" i="16"/>
  <c r="E350" i="16" a="1"/>
  <c r="F350" i="16"/>
  <c r="G350" i="16"/>
  <c r="G350" i="16" a="1"/>
  <c r="H350" i="16"/>
  <c r="I350" i="16"/>
  <c r="J350" i="16"/>
  <c r="O350" i="16"/>
  <c r="BD350" i="16"/>
  <c r="BE350" i="16"/>
  <c r="BG350" i="16"/>
  <c r="BH350" i="16"/>
  <c r="BI350" i="16"/>
  <c r="BJ350" i="16"/>
  <c r="BL350" i="16"/>
  <c r="BM350" i="16"/>
  <c r="BO350" i="16"/>
  <c r="BP350" i="16"/>
  <c r="BQ350" i="16"/>
  <c r="BR350" i="16"/>
  <c r="BS350" i="16"/>
  <c r="A351" i="16"/>
  <c r="B351" i="16"/>
  <c r="B351" i="16" a="1"/>
  <c r="C351" i="16"/>
  <c r="D351" i="16"/>
  <c r="E351" i="16"/>
  <c r="E351" i="16" a="1"/>
  <c r="F351" i="16"/>
  <c r="G351" i="16"/>
  <c r="G351" i="16" a="1"/>
  <c r="H351" i="16"/>
  <c r="I351" i="16"/>
  <c r="J351" i="16"/>
  <c r="O351" i="16"/>
  <c r="BD351" i="16"/>
  <c r="BE351" i="16"/>
  <c r="BG351" i="16"/>
  <c r="BH351" i="16"/>
  <c r="BI351" i="16"/>
  <c r="BJ351" i="16"/>
  <c r="BL351" i="16"/>
  <c r="BM351" i="16"/>
  <c r="BO351" i="16"/>
  <c r="BP351" i="16"/>
  <c r="BQ351" i="16"/>
  <c r="BR351" i="16"/>
  <c r="BS351" i="16"/>
  <c r="A352" i="16"/>
  <c r="B352" i="16"/>
  <c r="B352" i="16" a="1"/>
  <c r="C352" i="16"/>
  <c r="D352" i="16"/>
  <c r="E352" i="16"/>
  <c r="E352" i="16" a="1"/>
  <c r="F352" i="16"/>
  <c r="G352" i="16"/>
  <c r="G352" i="16" a="1"/>
  <c r="H352" i="16"/>
  <c r="I352" i="16"/>
  <c r="J352" i="16"/>
  <c r="O352" i="16"/>
  <c r="BD352" i="16"/>
  <c r="BE352" i="16"/>
  <c r="BG352" i="16"/>
  <c r="BH352" i="16"/>
  <c r="BI352" i="16"/>
  <c r="BJ352" i="16"/>
  <c r="BL352" i="16"/>
  <c r="BM352" i="16"/>
  <c r="BO352" i="16"/>
  <c r="BP352" i="16"/>
  <c r="BQ352" i="16"/>
  <c r="BR352" i="16"/>
  <c r="BS352" i="16"/>
  <c r="A353" i="16"/>
  <c r="B353" i="16"/>
  <c r="B353" i="16" a="1"/>
  <c r="C353" i="16"/>
  <c r="D353" i="16"/>
  <c r="E353" i="16"/>
  <c r="E353" i="16" a="1"/>
  <c r="F353" i="16"/>
  <c r="G353" i="16"/>
  <c r="G353" i="16" a="1"/>
  <c r="H353" i="16"/>
  <c r="I353" i="16"/>
  <c r="J353" i="16"/>
  <c r="O353" i="16"/>
  <c r="BD353" i="16"/>
  <c r="BE353" i="16"/>
  <c r="BG353" i="16"/>
  <c r="BH353" i="16"/>
  <c r="BI353" i="16"/>
  <c r="BJ353" i="16"/>
  <c r="BL353" i="16"/>
  <c r="BM353" i="16"/>
  <c r="BO353" i="16"/>
  <c r="BP353" i="16"/>
  <c r="BQ353" i="16"/>
  <c r="BR353" i="16"/>
  <c r="BS353" i="16"/>
  <c r="A354" i="16"/>
  <c r="B354" i="16"/>
  <c r="B354" i="16" a="1"/>
  <c r="C354" i="16"/>
  <c r="D354" i="16"/>
  <c r="E354" i="16"/>
  <c r="E354" i="16" a="1"/>
  <c r="F354" i="16"/>
  <c r="G354" i="16"/>
  <c r="G354" i="16" a="1"/>
  <c r="H354" i="16"/>
  <c r="I354" i="16"/>
  <c r="J354" i="16"/>
  <c r="O354" i="16"/>
  <c r="BD354" i="16"/>
  <c r="BE354" i="16"/>
  <c r="BG354" i="16"/>
  <c r="BH354" i="16"/>
  <c r="BI354" i="16"/>
  <c r="BJ354" i="16"/>
  <c r="BL354" i="16"/>
  <c r="BM354" i="16"/>
  <c r="BO354" i="16"/>
  <c r="BP354" i="16"/>
  <c r="BQ354" i="16"/>
  <c r="BR354" i="16"/>
  <c r="BS354" i="16"/>
  <c r="A355" i="16"/>
  <c r="B355" i="16"/>
  <c r="B355" i="16" a="1"/>
  <c r="C355" i="16"/>
  <c r="D355" i="16"/>
  <c r="E355" i="16"/>
  <c r="E355" i="16" a="1"/>
  <c r="F355" i="16"/>
  <c r="G355" i="16"/>
  <c r="G355" i="16" a="1"/>
  <c r="H355" i="16"/>
  <c r="I355" i="16"/>
  <c r="J355" i="16"/>
  <c r="O355" i="16"/>
  <c r="BD355" i="16"/>
  <c r="BE355" i="16"/>
  <c r="BG355" i="16"/>
  <c r="BH355" i="16"/>
  <c r="BI355" i="16"/>
  <c r="BJ355" i="16"/>
  <c r="BL355" i="16"/>
  <c r="BM355" i="16"/>
  <c r="BO355" i="16"/>
  <c r="BP355" i="16"/>
  <c r="BQ355" i="16"/>
  <c r="BR355" i="16"/>
  <c r="BS355" i="16"/>
  <c r="A356" i="16"/>
  <c r="B356" i="16"/>
  <c r="B356" i="16" a="1"/>
  <c r="C356" i="16"/>
  <c r="D356" i="16"/>
  <c r="E356" i="16"/>
  <c r="E356" i="16" a="1"/>
  <c r="F356" i="16"/>
  <c r="G356" i="16"/>
  <c r="G356" i="16" a="1"/>
  <c r="H356" i="16"/>
  <c r="I356" i="16"/>
  <c r="J356" i="16"/>
  <c r="O356" i="16"/>
  <c r="BD356" i="16"/>
  <c r="BE356" i="16"/>
  <c r="BG356" i="16"/>
  <c r="BH356" i="16"/>
  <c r="BI356" i="16"/>
  <c r="BJ356" i="16"/>
  <c r="BL356" i="16"/>
  <c r="BM356" i="16"/>
  <c r="BO356" i="16"/>
  <c r="BP356" i="16"/>
  <c r="BQ356" i="16"/>
  <c r="BR356" i="16"/>
  <c r="BS356" i="16"/>
  <c r="A357" i="16"/>
  <c r="B357" i="16"/>
  <c r="B357" i="16" a="1"/>
  <c r="C357" i="16"/>
  <c r="D357" i="16"/>
  <c r="E357" i="16"/>
  <c r="E357" i="16" a="1"/>
  <c r="F357" i="16"/>
  <c r="G357" i="16"/>
  <c r="G357" i="16" a="1"/>
  <c r="H357" i="16"/>
  <c r="I357" i="16"/>
  <c r="J357" i="16"/>
  <c r="O357" i="16"/>
  <c r="BD357" i="16"/>
  <c r="BE357" i="16"/>
  <c r="BG357" i="16"/>
  <c r="BH357" i="16"/>
  <c r="BI357" i="16"/>
  <c r="BJ357" i="16"/>
  <c r="BL357" i="16"/>
  <c r="BM357" i="16"/>
  <c r="BO357" i="16"/>
  <c r="BP357" i="16"/>
  <c r="BQ357" i="16"/>
  <c r="BR357" i="16"/>
  <c r="BS357" i="16"/>
  <c r="A358" i="16"/>
  <c r="B358" i="16"/>
  <c r="B358" i="16" a="1"/>
  <c r="C358" i="16"/>
  <c r="D358" i="16"/>
  <c r="E358" i="16"/>
  <c r="E358" i="16" a="1"/>
  <c r="F358" i="16"/>
  <c r="G358" i="16"/>
  <c r="G358" i="16" a="1"/>
  <c r="H358" i="16"/>
  <c r="I358" i="16"/>
  <c r="J358" i="16"/>
  <c r="O358" i="16"/>
  <c r="BD358" i="16"/>
  <c r="BE358" i="16"/>
  <c r="BG358" i="16"/>
  <c r="BH358" i="16"/>
  <c r="BI358" i="16"/>
  <c r="BJ358" i="16"/>
  <c r="BL358" i="16"/>
  <c r="BM358" i="16"/>
  <c r="BO358" i="16"/>
  <c r="BP358" i="16"/>
  <c r="BQ358" i="16"/>
  <c r="BR358" i="16"/>
  <c r="BS358" i="16"/>
  <c r="A359" i="16"/>
  <c r="B359" i="16"/>
  <c r="B359" i="16" a="1"/>
  <c r="C359" i="16"/>
  <c r="D359" i="16"/>
  <c r="E359" i="16"/>
  <c r="E359" i="16" a="1"/>
  <c r="F359" i="16"/>
  <c r="G359" i="16"/>
  <c r="G359" i="16" a="1"/>
  <c r="H359" i="16"/>
  <c r="I359" i="16"/>
  <c r="J359" i="16"/>
  <c r="O359" i="16"/>
  <c r="BD359" i="16"/>
  <c r="BE359" i="16"/>
  <c r="BG359" i="16"/>
  <c r="BH359" i="16"/>
  <c r="BI359" i="16"/>
  <c r="BJ359" i="16"/>
  <c r="BL359" i="16"/>
  <c r="BM359" i="16"/>
  <c r="BO359" i="16"/>
  <c r="BP359" i="16"/>
  <c r="BQ359" i="16"/>
  <c r="BR359" i="16"/>
  <c r="BS359" i="16"/>
  <c r="A360" i="16"/>
  <c r="B360" i="16"/>
  <c r="B360" i="16" a="1"/>
  <c r="C360" i="16"/>
  <c r="D360" i="16"/>
  <c r="E360" i="16"/>
  <c r="E360" i="16" a="1"/>
  <c r="F360" i="16"/>
  <c r="G360" i="16"/>
  <c r="G360" i="16" a="1"/>
  <c r="H360" i="16"/>
  <c r="I360" i="16"/>
  <c r="J360" i="16"/>
  <c r="O360" i="16"/>
  <c r="BD360" i="16"/>
  <c r="BE360" i="16"/>
  <c r="BG360" i="16"/>
  <c r="BH360" i="16"/>
  <c r="BI360" i="16"/>
  <c r="BJ360" i="16"/>
  <c r="BL360" i="16"/>
  <c r="BM360" i="16"/>
  <c r="BO360" i="16"/>
  <c r="BP360" i="16"/>
  <c r="BQ360" i="16"/>
  <c r="BR360" i="16"/>
  <c r="BS360" i="16"/>
  <c r="A361" i="16"/>
  <c r="B361" i="16"/>
  <c r="B361" i="16" a="1"/>
  <c r="C361" i="16"/>
  <c r="D361" i="16"/>
  <c r="E361" i="16"/>
  <c r="E361" i="16" a="1"/>
  <c r="F361" i="16"/>
  <c r="G361" i="16"/>
  <c r="G361" i="16" a="1"/>
  <c r="H361" i="16"/>
  <c r="I361" i="16"/>
  <c r="J361" i="16"/>
  <c r="O361" i="16"/>
  <c r="BD361" i="16"/>
  <c r="BE361" i="16"/>
  <c r="BG361" i="16"/>
  <c r="BH361" i="16"/>
  <c r="BI361" i="16"/>
  <c r="BJ361" i="16"/>
  <c r="BL361" i="16"/>
  <c r="BM361" i="16"/>
  <c r="BO361" i="16"/>
  <c r="BP361" i="16"/>
  <c r="BQ361" i="16"/>
  <c r="BR361" i="16"/>
  <c r="BS361" i="16"/>
  <c r="A362" i="16"/>
  <c r="B362" i="16"/>
  <c r="B362" i="16" a="1"/>
  <c r="C362" i="16"/>
  <c r="D362" i="16"/>
  <c r="E362" i="16"/>
  <c r="E362" i="16" a="1"/>
  <c r="F362" i="16"/>
  <c r="G362" i="16"/>
  <c r="G362" i="16" a="1"/>
  <c r="H362" i="16"/>
  <c r="I362" i="16"/>
  <c r="J362" i="16"/>
  <c r="O362" i="16"/>
  <c r="BD362" i="16"/>
  <c r="BE362" i="16"/>
  <c r="BG362" i="16"/>
  <c r="BH362" i="16"/>
  <c r="BI362" i="16"/>
  <c r="BJ362" i="16"/>
  <c r="BL362" i="16"/>
  <c r="BM362" i="16"/>
  <c r="BO362" i="16"/>
  <c r="BP362" i="16"/>
  <c r="BQ362" i="16"/>
  <c r="BR362" i="16"/>
  <c r="BS362" i="16"/>
  <c r="A363" i="16"/>
  <c r="B363" i="16"/>
  <c r="B363" i="16" a="1"/>
  <c r="C363" i="16"/>
  <c r="D363" i="16"/>
  <c r="E363" i="16"/>
  <c r="E363" i="16" a="1"/>
  <c r="F363" i="16"/>
  <c r="G363" i="16"/>
  <c r="G363" i="16" a="1"/>
  <c r="H363" i="16"/>
  <c r="I363" i="16"/>
  <c r="J363" i="16"/>
  <c r="O363" i="16"/>
  <c r="BD363" i="16"/>
  <c r="BE363" i="16"/>
  <c r="BG363" i="16"/>
  <c r="BH363" i="16"/>
  <c r="BI363" i="16"/>
  <c r="BJ363" i="16"/>
  <c r="BL363" i="16"/>
  <c r="BM363" i="16"/>
  <c r="BO363" i="16"/>
  <c r="BP363" i="16"/>
  <c r="BQ363" i="16"/>
  <c r="BR363" i="16"/>
  <c r="BS363" i="16"/>
  <c r="A364" i="16"/>
  <c r="B364" i="16"/>
  <c r="B364" i="16" a="1"/>
  <c r="C364" i="16"/>
  <c r="D364" i="16"/>
  <c r="E364" i="16"/>
  <c r="E364" i="16" a="1"/>
  <c r="F364" i="16"/>
  <c r="G364" i="16"/>
  <c r="G364" i="16" a="1"/>
  <c r="H364" i="16"/>
  <c r="I364" i="16"/>
  <c r="J364" i="16"/>
  <c r="O364" i="16"/>
  <c r="BD364" i="16"/>
  <c r="BE364" i="16"/>
  <c r="BG364" i="16"/>
  <c r="BH364" i="16"/>
  <c r="BI364" i="16"/>
  <c r="BJ364" i="16"/>
  <c r="BL364" i="16"/>
  <c r="BM364" i="16"/>
  <c r="BO364" i="16"/>
  <c r="BP364" i="16"/>
  <c r="BQ364" i="16"/>
  <c r="BR364" i="16"/>
  <c r="BS364" i="16"/>
  <c r="A365" i="16"/>
  <c r="B365" i="16"/>
  <c r="B365" i="16" a="1"/>
  <c r="C365" i="16"/>
  <c r="D365" i="16"/>
  <c r="E365" i="16"/>
  <c r="E365" i="16" a="1"/>
  <c r="F365" i="16"/>
  <c r="G365" i="16"/>
  <c r="G365" i="16" a="1"/>
  <c r="H365" i="16"/>
  <c r="I365" i="16"/>
  <c r="J365" i="16"/>
  <c r="O365" i="16"/>
  <c r="BD365" i="16"/>
  <c r="BE365" i="16"/>
  <c r="BG365" i="16"/>
  <c r="BH365" i="16"/>
  <c r="BI365" i="16"/>
  <c r="BJ365" i="16"/>
  <c r="BL365" i="16"/>
  <c r="BM365" i="16"/>
  <c r="BO365" i="16"/>
  <c r="BP365" i="16"/>
  <c r="BQ365" i="16"/>
  <c r="BR365" i="16"/>
  <c r="BS365" i="16"/>
  <c r="A366" i="16"/>
  <c r="B366" i="16"/>
  <c r="B366" i="16" a="1"/>
  <c r="C366" i="16"/>
  <c r="D366" i="16"/>
  <c r="E366" i="16"/>
  <c r="E366" i="16" a="1"/>
  <c r="F366" i="16"/>
  <c r="G366" i="16"/>
  <c r="G366" i="16" a="1"/>
  <c r="H366" i="16"/>
  <c r="I366" i="16"/>
  <c r="J366" i="16"/>
  <c r="O366" i="16"/>
  <c r="BD366" i="16"/>
  <c r="BE366" i="16"/>
  <c r="BG366" i="16"/>
  <c r="BH366" i="16"/>
  <c r="BI366" i="16"/>
  <c r="BJ366" i="16"/>
  <c r="BL366" i="16"/>
  <c r="BM366" i="16"/>
  <c r="BO366" i="16"/>
  <c r="BP366" i="16"/>
  <c r="BQ366" i="16"/>
  <c r="BR366" i="16"/>
  <c r="BS366" i="16"/>
  <c r="A367" i="16"/>
  <c r="B367" i="16"/>
  <c r="B367" i="16" a="1"/>
  <c r="C367" i="16"/>
  <c r="D367" i="16"/>
  <c r="E367" i="16"/>
  <c r="E367" i="16" a="1"/>
  <c r="F367" i="16"/>
  <c r="G367" i="16"/>
  <c r="G367" i="16" a="1"/>
  <c r="H367" i="16"/>
  <c r="I367" i="16"/>
  <c r="J367" i="16"/>
  <c r="O367" i="16"/>
  <c r="BD367" i="16"/>
  <c r="BE367" i="16"/>
  <c r="BG367" i="16"/>
  <c r="BH367" i="16"/>
  <c r="BI367" i="16"/>
  <c r="BJ367" i="16"/>
  <c r="BL367" i="16"/>
  <c r="BM367" i="16"/>
  <c r="BO367" i="16"/>
  <c r="BP367" i="16"/>
  <c r="BQ367" i="16"/>
  <c r="BR367" i="16"/>
  <c r="BS367" i="16"/>
  <c r="A368" i="16"/>
  <c r="B368" i="16"/>
  <c r="B368" i="16" a="1"/>
  <c r="C368" i="16"/>
  <c r="D368" i="16"/>
  <c r="E368" i="16"/>
  <c r="E368" i="16" a="1"/>
  <c r="F368" i="16"/>
  <c r="G368" i="16"/>
  <c r="G368" i="16" a="1"/>
  <c r="H368" i="16"/>
  <c r="I368" i="16"/>
  <c r="J368" i="16"/>
  <c r="O368" i="16"/>
  <c r="BD368" i="16"/>
  <c r="BE368" i="16"/>
  <c r="BG368" i="16"/>
  <c r="BH368" i="16"/>
  <c r="BI368" i="16"/>
  <c r="BJ368" i="16"/>
  <c r="BL368" i="16"/>
  <c r="BM368" i="16"/>
  <c r="BO368" i="16"/>
  <c r="BP368" i="16"/>
  <c r="BQ368" i="16"/>
  <c r="BR368" i="16"/>
  <c r="BS368" i="16"/>
  <c r="A369" i="16"/>
  <c r="B369" i="16"/>
  <c r="B369" i="16" a="1"/>
  <c r="C369" i="16"/>
  <c r="D369" i="16"/>
  <c r="E369" i="16"/>
  <c r="E369" i="16" a="1"/>
  <c r="F369" i="16"/>
  <c r="G369" i="16"/>
  <c r="G369" i="16" a="1"/>
  <c r="H369" i="16"/>
  <c r="I369" i="16"/>
  <c r="J369" i="16"/>
  <c r="O369" i="16"/>
  <c r="BD369" i="16"/>
  <c r="BE369" i="16"/>
  <c r="BG369" i="16"/>
  <c r="BH369" i="16"/>
  <c r="BI369" i="16"/>
  <c r="BJ369" i="16"/>
  <c r="BL369" i="16"/>
  <c r="BM369" i="16"/>
  <c r="BO369" i="16"/>
  <c r="BP369" i="16"/>
  <c r="BQ369" i="16"/>
  <c r="BR369" i="16"/>
  <c r="BS369" i="16"/>
  <c r="A370" i="16"/>
  <c r="B370" i="16"/>
  <c r="B370" i="16" a="1"/>
  <c r="C370" i="16"/>
  <c r="D370" i="16"/>
  <c r="E370" i="16"/>
  <c r="E370" i="16" a="1"/>
  <c r="F370" i="16"/>
  <c r="G370" i="16"/>
  <c r="G370" i="16" a="1"/>
  <c r="H370" i="16"/>
  <c r="I370" i="16"/>
  <c r="J370" i="16"/>
  <c r="O370" i="16"/>
  <c r="BD370" i="16"/>
  <c r="BE370" i="16"/>
  <c r="BG370" i="16"/>
  <c r="BH370" i="16"/>
  <c r="BI370" i="16"/>
  <c r="BJ370" i="16"/>
  <c r="BL370" i="16"/>
  <c r="BM370" i="16"/>
  <c r="BO370" i="16"/>
  <c r="BP370" i="16"/>
  <c r="BQ370" i="16"/>
  <c r="BR370" i="16"/>
  <c r="BS370" i="16"/>
  <c r="A371" i="16"/>
  <c r="B371" i="16"/>
  <c r="B371" i="16" a="1"/>
  <c r="C371" i="16"/>
  <c r="D371" i="16"/>
  <c r="E371" i="16"/>
  <c r="E371" i="16" a="1"/>
  <c r="F371" i="16"/>
  <c r="G371" i="16"/>
  <c r="G371" i="16" a="1"/>
  <c r="H371" i="16"/>
  <c r="I371" i="16"/>
  <c r="J371" i="16"/>
  <c r="O371" i="16"/>
  <c r="BD371" i="16"/>
  <c r="BE371" i="16"/>
  <c r="BG371" i="16"/>
  <c r="BH371" i="16"/>
  <c r="BI371" i="16"/>
  <c r="BJ371" i="16"/>
  <c r="BL371" i="16"/>
  <c r="BM371" i="16"/>
  <c r="BO371" i="16"/>
  <c r="BP371" i="16"/>
  <c r="BQ371" i="16"/>
  <c r="BR371" i="16"/>
  <c r="BS371" i="16"/>
  <c r="A372" i="16"/>
  <c r="B372" i="16"/>
  <c r="B372" i="16" a="1"/>
  <c r="C372" i="16"/>
  <c r="D372" i="16"/>
  <c r="E372" i="16"/>
  <c r="E372" i="16" a="1"/>
  <c r="F372" i="16"/>
  <c r="G372" i="16"/>
  <c r="G372" i="16" a="1"/>
  <c r="H372" i="16"/>
  <c r="I372" i="16"/>
  <c r="J372" i="16"/>
  <c r="O372" i="16"/>
  <c r="BD372" i="16"/>
  <c r="BE372" i="16"/>
  <c r="BG372" i="16"/>
  <c r="BH372" i="16"/>
  <c r="BI372" i="16"/>
  <c r="BJ372" i="16"/>
  <c r="BL372" i="16"/>
  <c r="BM372" i="16"/>
  <c r="BO372" i="16"/>
  <c r="BP372" i="16"/>
  <c r="BQ372" i="16"/>
  <c r="BR372" i="16"/>
  <c r="BS372" i="16"/>
  <c r="A373" i="16"/>
  <c r="B373" i="16"/>
  <c r="B373" i="16" a="1"/>
  <c r="C373" i="16"/>
  <c r="D373" i="16"/>
  <c r="E373" i="16"/>
  <c r="E373" i="16" a="1"/>
  <c r="F373" i="16"/>
  <c r="G373" i="16"/>
  <c r="G373" i="16" a="1"/>
  <c r="H373" i="16"/>
  <c r="I373" i="16"/>
  <c r="J373" i="16"/>
  <c r="O373" i="16"/>
  <c r="BD373" i="16"/>
  <c r="BE373" i="16"/>
  <c r="BG373" i="16"/>
  <c r="BH373" i="16"/>
  <c r="BI373" i="16"/>
  <c r="BJ373" i="16"/>
  <c r="BL373" i="16"/>
  <c r="BM373" i="16"/>
  <c r="BO373" i="16"/>
  <c r="BP373" i="16"/>
  <c r="BQ373" i="16"/>
  <c r="BR373" i="16"/>
  <c r="BS373" i="16"/>
  <c r="A374" i="16"/>
  <c r="B374" i="16"/>
  <c r="B374" i="16" a="1"/>
  <c r="C374" i="16"/>
  <c r="D374" i="16"/>
  <c r="E374" i="16"/>
  <c r="E374" i="16" a="1"/>
  <c r="F374" i="16"/>
  <c r="G374" i="16"/>
  <c r="G374" i="16" a="1"/>
  <c r="H374" i="16"/>
  <c r="I374" i="16"/>
  <c r="J374" i="16"/>
  <c r="O374" i="16"/>
  <c r="BD374" i="16"/>
  <c r="BE374" i="16"/>
  <c r="BG374" i="16"/>
  <c r="BH374" i="16"/>
  <c r="BI374" i="16"/>
  <c r="BJ374" i="16"/>
  <c r="BL374" i="16"/>
  <c r="BM374" i="16"/>
  <c r="BO374" i="16"/>
  <c r="BP374" i="16"/>
  <c r="BQ374" i="16"/>
  <c r="BR374" i="16"/>
  <c r="BS374" i="16"/>
  <c r="A375" i="16"/>
  <c r="B375" i="16"/>
  <c r="B375" i="16" a="1"/>
  <c r="C375" i="16"/>
  <c r="D375" i="16"/>
  <c r="E375" i="16"/>
  <c r="E375" i="16" a="1"/>
  <c r="F375" i="16"/>
  <c r="G375" i="16"/>
  <c r="G375" i="16" a="1"/>
  <c r="H375" i="16"/>
  <c r="I375" i="16"/>
  <c r="J375" i="16"/>
  <c r="O375" i="16"/>
  <c r="BD375" i="16"/>
  <c r="BE375" i="16"/>
  <c r="BG375" i="16"/>
  <c r="BH375" i="16"/>
  <c r="BI375" i="16"/>
  <c r="BJ375" i="16"/>
  <c r="BL375" i="16"/>
  <c r="BM375" i="16"/>
  <c r="BO375" i="16"/>
  <c r="BP375" i="16"/>
  <c r="BQ375" i="16"/>
  <c r="BR375" i="16"/>
  <c r="BS375" i="16"/>
  <c r="A376" i="16"/>
  <c r="B376" i="16"/>
  <c r="B376" i="16" a="1"/>
  <c r="C376" i="16"/>
  <c r="D376" i="16"/>
  <c r="E376" i="16"/>
  <c r="E376" i="16" a="1"/>
  <c r="F376" i="16"/>
  <c r="G376" i="16"/>
  <c r="G376" i="16" a="1"/>
  <c r="H376" i="16"/>
  <c r="I376" i="16"/>
  <c r="J376" i="16"/>
  <c r="O376" i="16"/>
  <c r="BD376" i="16"/>
  <c r="BE376" i="16"/>
  <c r="BG376" i="16"/>
  <c r="BH376" i="16"/>
  <c r="BI376" i="16"/>
  <c r="BJ376" i="16"/>
  <c r="BL376" i="16"/>
  <c r="BM376" i="16"/>
  <c r="BO376" i="16"/>
  <c r="BP376" i="16"/>
  <c r="BQ376" i="16"/>
  <c r="BR376" i="16"/>
  <c r="BS376" i="16"/>
  <c r="A377" i="16"/>
  <c r="B377" i="16"/>
  <c r="B377" i="16" a="1"/>
  <c r="C377" i="16"/>
  <c r="D377" i="16"/>
  <c r="E377" i="16"/>
  <c r="E377" i="16" a="1"/>
  <c r="F377" i="16"/>
  <c r="G377" i="16"/>
  <c r="G377" i="16" a="1"/>
  <c r="H377" i="16"/>
  <c r="I377" i="16"/>
  <c r="J377" i="16"/>
  <c r="O377" i="16"/>
  <c r="BD377" i="16"/>
  <c r="BE377" i="16"/>
  <c r="BG377" i="16"/>
  <c r="BH377" i="16"/>
  <c r="BI377" i="16"/>
  <c r="BJ377" i="16"/>
  <c r="BL377" i="16"/>
  <c r="BM377" i="16"/>
  <c r="BO377" i="16"/>
  <c r="BP377" i="16"/>
  <c r="BQ377" i="16"/>
  <c r="BR377" i="16"/>
  <c r="BS377" i="16"/>
  <c r="A378" i="16"/>
  <c r="B378" i="16"/>
  <c r="B378" i="16" a="1"/>
  <c r="C378" i="16"/>
  <c r="D378" i="16"/>
  <c r="E378" i="16"/>
  <c r="E378" i="16" a="1"/>
  <c r="F378" i="16"/>
  <c r="G378" i="16"/>
  <c r="G378" i="16" a="1"/>
  <c r="H378" i="16"/>
  <c r="I378" i="16"/>
  <c r="J378" i="16"/>
  <c r="O378" i="16"/>
  <c r="BD378" i="16"/>
  <c r="BE378" i="16"/>
  <c r="BG378" i="16"/>
  <c r="BH378" i="16"/>
  <c r="BI378" i="16"/>
  <c r="BJ378" i="16"/>
  <c r="BL378" i="16"/>
  <c r="BM378" i="16"/>
  <c r="BO378" i="16"/>
  <c r="BP378" i="16"/>
  <c r="BQ378" i="16"/>
  <c r="BR378" i="16"/>
  <c r="BS378" i="16"/>
  <c r="A379" i="16"/>
  <c r="B379" i="16"/>
  <c r="B379" i="16" a="1"/>
  <c r="C379" i="16"/>
  <c r="D379" i="16"/>
  <c r="E379" i="16"/>
  <c r="E379" i="16" a="1"/>
  <c r="F379" i="16"/>
  <c r="G379" i="16"/>
  <c r="G379" i="16" a="1"/>
  <c r="H379" i="16"/>
  <c r="I379" i="16"/>
  <c r="J379" i="16"/>
  <c r="O379" i="16"/>
  <c r="BD379" i="16"/>
  <c r="BE379" i="16"/>
  <c r="BG379" i="16"/>
  <c r="BH379" i="16"/>
  <c r="BI379" i="16"/>
  <c r="BJ379" i="16"/>
  <c r="BL379" i="16"/>
  <c r="BM379" i="16"/>
  <c r="BO379" i="16"/>
  <c r="BP379" i="16"/>
  <c r="BQ379" i="16"/>
  <c r="BR379" i="16"/>
  <c r="BS379" i="16"/>
  <c r="A380" i="16"/>
  <c r="B380" i="16"/>
  <c r="B380" i="16" a="1"/>
  <c r="C380" i="16"/>
  <c r="D380" i="16"/>
  <c r="E380" i="16"/>
  <c r="E380" i="16" a="1"/>
  <c r="F380" i="16"/>
  <c r="G380" i="16"/>
  <c r="G380" i="16" a="1"/>
  <c r="H380" i="16"/>
  <c r="I380" i="16"/>
  <c r="J380" i="16"/>
  <c r="O380" i="16"/>
  <c r="BD380" i="16"/>
  <c r="BE380" i="16"/>
  <c r="BG380" i="16"/>
  <c r="BH380" i="16"/>
  <c r="BI380" i="16"/>
  <c r="BJ380" i="16"/>
  <c r="BL380" i="16"/>
  <c r="BM380" i="16"/>
  <c r="BO380" i="16"/>
  <c r="BP380" i="16"/>
  <c r="BQ380" i="16"/>
  <c r="BR380" i="16"/>
  <c r="BS380" i="16"/>
  <c r="A381" i="16"/>
  <c r="B381" i="16"/>
  <c r="B381" i="16" a="1"/>
  <c r="C381" i="16"/>
  <c r="D381" i="16"/>
  <c r="E381" i="16"/>
  <c r="E381" i="16" a="1"/>
  <c r="F381" i="16"/>
  <c r="G381" i="16"/>
  <c r="G381" i="16" a="1"/>
  <c r="H381" i="16"/>
  <c r="I381" i="16"/>
  <c r="J381" i="16"/>
  <c r="O381" i="16"/>
  <c r="BD381" i="16"/>
  <c r="BE381" i="16"/>
  <c r="BG381" i="16"/>
  <c r="BH381" i="16"/>
  <c r="BI381" i="16"/>
  <c r="BJ381" i="16"/>
  <c r="BL381" i="16"/>
  <c r="BM381" i="16"/>
  <c r="BO381" i="16"/>
  <c r="BP381" i="16"/>
  <c r="BQ381" i="16"/>
  <c r="BR381" i="16"/>
  <c r="BS381" i="16"/>
  <c r="A382" i="16"/>
  <c r="B382" i="16"/>
  <c r="B382" i="16" a="1"/>
  <c r="C382" i="16"/>
  <c r="D382" i="16"/>
  <c r="E382" i="16"/>
  <c r="E382" i="16" a="1"/>
  <c r="F382" i="16"/>
  <c r="G382" i="16"/>
  <c r="G382" i="16" a="1"/>
  <c r="H382" i="16"/>
  <c r="I382" i="16"/>
  <c r="J382" i="16"/>
  <c r="O382" i="16"/>
  <c r="BD382" i="16"/>
  <c r="BE382" i="16"/>
  <c r="BG382" i="16"/>
  <c r="BH382" i="16"/>
  <c r="BI382" i="16"/>
  <c r="BJ382" i="16"/>
  <c r="BL382" i="16"/>
  <c r="BM382" i="16"/>
  <c r="BO382" i="16"/>
  <c r="BP382" i="16"/>
  <c r="BQ382" i="16"/>
  <c r="BR382" i="16"/>
  <c r="BS382" i="16"/>
  <c r="A383" i="16"/>
  <c r="B383" i="16"/>
  <c r="B383" i="16" a="1"/>
  <c r="C383" i="16"/>
  <c r="D383" i="16"/>
  <c r="E383" i="16"/>
  <c r="E383" i="16" a="1"/>
  <c r="F383" i="16"/>
  <c r="G383" i="16"/>
  <c r="G383" i="16" a="1"/>
  <c r="H383" i="16"/>
  <c r="I383" i="16"/>
  <c r="J383" i="16"/>
  <c r="O383" i="16"/>
  <c r="BD383" i="16"/>
  <c r="BE383" i="16"/>
  <c r="BG383" i="16"/>
  <c r="BH383" i="16"/>
  <c r="BI383" i="16"/>
  <c r="BJ383" i="16"/>
  <c r="BL383" i="16"/>
  <c r="BM383" i="16"/>
  <c r="BO383" i="16"/>
  <c r="BP383" i="16"/>
  <c r="BQ383" i="16"/>
  <c r="BR383" i="16"/>
  <c r="BS383" i="16"/>
  <c r="A384" i="16"/>
  <c r="B384" i="16"/>
  <c r="B384" i="16" a="1"/>
  <c r="C384" i="16"/>
  <c r="D384" i="16"/>
  <c r="E384" i="16"/>
  <c r="E384" i="16" a="1"/>
  <c r="F384" i="16"/>
  <c r="G384" i="16"/>
  <c r="G384" i="16" a="1"/>
  <c r="H384" i="16"/>
  <c r="I384" i="16"/>
  <c r="J384" i="16"/>
  <c r="O384" i="16"/>
  <c r="BD384" i="16"/>
  <c r="BE384" i="16"/>
  <c r="BG384" i="16"/>
  <c r="BH384" i="16"/>
  <c r="BI384" i="16"/>
  <c r="BJ384" i="16"/>
  <c r="BL384" i="16"/>
  <c r="BM384" i="16"/>
  <c r="BO384" i="16"/>
  <c r="BP384" i="16"/>
  <c r="BQ384" i="16"/>
  <c r="BR384" i="16"/>
  <c r="BS384" i="16"/>
  <c r="A385" i="16"/>
  <c r="B385" i="16"/>
  <c r="B385" i="16" a="1"/>
  <c r="C385" i="16"/>
  <c r="D385" i="16"/>
  <c r="E385" i="16"/>
  <c r="E385" i="16" a="1"/>
  <c r="F385" i="16"/>
  <c r="G385" i="16"/>
  <c r="G385" i="16" a="1"/>
  <c r="H385" i="16"/>
  <c r="I385" i="16"/>
  <c r="J385" i="16"/>
  <c r="O385" i="16"/>
  <c r="BD385" i="16"/>
  <c r="BE385" i="16"/>
  <c r="BG385" i="16"/>
  <c r="BH385" i="16"/>
  <c r="BI385" i="16"/>
  <c r="BJ385" i="16"/>
  <c r="BL385" i="16"/>
  <c r="BM385" i="16"/>
  <c r="BO385" i="16"/>
  <c r="BP385" i="16"/>
  <c r="BQ385" i="16"/>
  <c r="BR385" i="16"/>
  <c r="BS385" i="16"/>
  <c r="A386" i="16"/>
  <c r="B386" i="16"/>
  <c r="B386" i="16" a="1"/>
  <c r="C386" i="16"/>
  <c r="D386" i="16"/>
  <c r="E386" i="16"/>
  <c r="E386" i="16" a="1"/>
  <c r="F386" i="16"/>
  <c r="G386" i="16"/>
  <c r="G386" i="16" a="1"/>
  <c r="H386" i="16"/>
  <c r="I386" i="16"/>
  <c r="J386" i="16"/>
  <c r="O386" i="16"/>
  <c r="BD386" i="16"/>
  <c r="BE386" i="16"/>
  <c r="BG386" i="16"/>
  <c r="BH386" i="16"/>
  <c r="BI386" i="16"/>
  <c r="BJ386" i="16"/>
  <c r="BL386" i="16"/>
  <c r="BM386" i="16"/>
  <c r="BO386" i="16"/>
  <c r="BP386" i="16"/>
  <c r="BQ386" i="16"/>
  <c r="BR386" i="16"/>
  <c r="BS386" i="16"/>
  <c r="A387" i="16"/>
  <c r="B387" i="16"/>
  <c r="B387" i="16" a="1"/>
  <c r="C387" i="16"/>
  <c r="D387" i="16"/>
  <c r="E387" i="16"/>
  <c r="E387" i="16" a="1"/>
  <c r="F387" i="16"/>
  <c r="G387" i="16"/>
  <c r="G387" i="16" a="1"/>
  <c r="H387" i="16"/>
  <c r="I387" i="16"/>
  <c r="J387" i="16"/>
  <c r="O387" i="16"/>
  <c r="BD387" i="16"/>
  <c r="BE387" i="16"/>
  <c r="BG387" i="16"/>
  <c r="BH387" i="16"/>
  <c r="BI387" i="16"/>
  <c r="BJ387" i="16"/>
  <c r="BL387" i="16"/>
  <c r="BM387" i="16"/>
  <c r="BO387" i="16"/>
  <c r="BP387" i="16"/>
  <c r="BQ387" i="16"/>
  <c r="BR387" i="16"/>
  <c r="BS387" i="16"/>
  <c r="A388" i="16"/>
  <c r="B388" i="16"/>
  <c r="B388" i="16" a="1"/>
  <c r="C388" i="16"/>
  <c r="D388" i="16"/>
  <c r="E388" i="16"/>
  <c r="E388" i="16" a="1"/>
  <c r="F388" i="16"/>
  <c r="G388" i="16"/>
  <c r="G388" i="16" a="1"/>
  <c r="H388" i="16"/>
  <c r="I388" i="16"/>
  <c r="J388" i="16"/>
  <c r="O388" i="16"/>
  <c r="BD388" i="16"/>
  <c r="BE388" i="16"/>
  <c r="BG388" i="16"/>
  <c r="BH388" i="16"/>
  <c r="BI388" i="16"/>
  <c r="BJ388" i="16"/>
  <c r="BL388" i="16"/>
  <c r="BM388" i="16"/>
  <c r="BO388" i="16"/>
  <c r="BP388" i="16"/>
  <c r="BQ388" i="16"/>
  <c r="BR388" i="16"/>
  <c r="BS388" i="16"/>
  <c r="A389" i="16"/>
  <c r="B389" i="16"/>
  <c r="B389" i="16" a="1"/>
  <c r="C389" i="16"/>
  <c r="D389" i="16"/>
  <c r="E389" i="16"/>
  <c r="E389" i="16" a="1"/>
  <c r="F389" i="16"/>
  <c r="G389" i="16"/>
  <c r="G389" i="16" a="1"/>
  <c r="H389" i="16"/>
  <c r="I389" i="16"/>
  <c r="J389" i="16"/>
  <c r="O389" i="16"/>
  <c r="BD389" i="16"/>
  <c r="BE389" i="16"/>
  <c r="BG389" i="16"/>
  <c r="BH389" i="16"/>
  <c r="BI389" i="16"/>
  <c r="BJ389" i="16"/>
  <c r="BL389" i="16"/>
  <c r="BM389" i="16"/>
  <c r="BO389" i="16"/>
  <c r="BP389" i="16"/>
  <c r="BQ389" i="16"/>
  <c r="BR389" i="16"/>
  <c r="BS389" i="16"/>
  <c r="A390" i="16"/>
  <c r="B390" i="16"/>
  <c r="B390" i="16" a="1"/>
  <c r="C390" i="16"/>
  <c r="D390" i="16"/>
  <c r="E390" i="16"/>
  <c r="E390" i="16" a="1"/>
  <c r="F390" i="16"/>
  <c r="G390" i="16"/>
  <c r="G390" i="16" a="1"/>
  <c r="H390" i="16"/>
  <c r="I390" i="16"/>
  <c r="J390" i="16"/>
  <c r="O390" i="16"/>
  <c r="BD390" i="16"/>
  <c r="BE390" i="16"/>
  <c r="BG390" i="16"/>
  <c r="BH390" i="16"/>
  <c r="BI390" i="16"/>
  <c r="BJ390" i="16"/>
  <c r="BL390" i="16"/>
  <c r="BM390" i="16"/>
  <c r="BO390" i="16"/>
  <c r="BP390" i="16"/>
  <c r="BQ390" i="16"/>
  <c r="BR390" i="16"/>
  <c r="BS390" i="16"/>
  <c r="A391" i="16"/>
  <c r="B391" i="16"/>
  <c r="B391" i="16" a="1"/>
  <c r="C391" i="16"/>
  <c r="D391" i="16"/>
  <c r="E391" i="16"/>
  <c r="E391" i="16" a="1"/>
  <c r="F391" i="16"/>
  <c r="G391" i="16"/>
  <c r="G391" i="16" a="1"/>
  <c r="H391" i="16"/>
  <c r="I391" i="16"/>
  <c r="J391" i="16"/>
  <c r="O391" i="16"/>
  <c r="BD391" i="16"/>
  <c r="BE391" i="16"/>
  <c r="BG391" i="16"/>
  <c r="BH391" i="16"/>
  <c r="BI391" i="16"/>
  <c r="BJ391" i="16"/>
  <c r="BL391" i="16"/>
  <c r="BM391" i="16"/>
  <c r="BO391" i="16"/>
  <c r="BP391" i="16"/>
  <c r="BQ391" i="16"/>
  <c r="BR391" i="16"/>
  <c r="BS391" i="16"/>
  <c r="A392" i="16"/>
  <c r="B392" i="16"/>
  <c r="B392" i="16" a="1"/>
  <c r="C392" i="16"/>
  <c r="D392" i="16"/>
  <c r="E392" i="16"/>
  <c r="E392" i="16" a="1"/>
  <c r="F392" i="16"/>
  <c r="G392" i="16"/>
  <c r="G392" i="16" a="1"/>
  <c r="H392" i="16"/>
  <c r="I392" i="16"/>
  <c r="J392" i="16"/>
  <c r="O392" i="16"/>
  <c r="BD392" i="16"/>
  <c r="BE392" i="16"/>
  <c r="BG392" i="16"/>
  <c r="BH392" i="16"/>
  <c r="BI392" i="16"/>
  <c r="BJ392" i="16"/>
  <c r="BL392" i="16"/>
  <c r="BM392" i="16"/>
  <c r="BO392" i="16"/>
  <c r="BP392" i="16"/>
  <c r="BQ392" i="16"/>
  <c r="BR392" i="16"/>
  <c r="BS392" i="16"/>
  <c r="A393" i="16"/>
  <c r="B393" i="16"/>
  <c r="B393" i="16" a="1"/>
  <c r="C393" i="16"/>
  <c r="D393" i="16"/>
  <c r="E393" i="16"/>
  <c r="E393" i="16" a="1"/>
  <c r="F393" i="16"/>
  <c r="G393" i="16"/>
  <c r="G393" i="16" a="1"/>
  <c r="H393" i="16"/>
  <c r="I393" i="16"/>
  <c r="J393" i="16"/>
  <c r="O393" i="16"/>
  <c r="BD393" i="16"/>
  <c r="BE393" i="16"/>
  <c r="BG393" i="16"/>
  <c r="BH393" i="16"/>
  <c r="BI393" i="16"/>
  <c r="BJ393" i="16"/>
  <c r="BL393" i="16"/>
  <c r="BM393" i="16"/>
  <c r="BO393" i="16"/>
  <c r="BP393" i="16"/>
  <c r="BQ393" i="16"/>
  <c r="BR393" i="16"/>
  <c r="BS393" i="16"/>
  <c r="A394" i="16"/>
  <c r="B394" i="16"/>
  <c r="B394" i="16" a="1"/>
  <c r="C394" i="16"/>
  <c r="D394" i="16"/>
  <c r="E394" i="16"/>
  <c r="E394" i="16" a="1"/>
  <c r="F394" i="16"/>
  <c r="G394" i="16"/>
  <c r="G394" i="16" a="1"/>
  <c r="H394" i="16"/>
  <c r="I394" i="16"/>
  <c r="J394" i="16"/>
  <c r="O394" i="16"/>
  <c r="BD394" i="16"/>
  <c r="BE394" i="16"/>
  <c r="BG394" i="16"/>
  <c r="BH394" i="16"/>
  <c r="BI394" i="16"/>
  <c r="BJ394" i="16"/>
  <c r="BL394" i="16"/>
  <c r="BM394" i="16"/>
  <c r="BO394" i="16"/>
  <c r="BP394" i="16"/>
  <c r="BQ394" i="16"/>
  <c r="BR394" i="16"/>
  <c r="BS394" i="16"/>
  <c r="A395" i="16"/>
  <c r="B395" i="16"/>
  <c r="B395" i="16" a="1"/>
  <c r="C395" i="16"/>
  <c r="D395" i="16"/>
  <c r="E395" i="16"/>
  <c r="E395" i="16" a="1"/>
  <c r="F395" i="16"/>
  <c r="G395" i="16"/>
  <c r="G395" i="16" a="1"/>
  <c r="H395" i="16"/>
  <c r="I395" i="16"/>
  <c r="J395" i="16"/>
  <c r="O395" i="16"/>
  <c r="BD395" i="16"/>
  <c r="BE395" i="16"/>
  <c r="BG395" i="16"/>
  <c r="BH395" i="16"/>
  <c r="BI395" i="16"/>
  <c r="BJ395" i="16"/>
  <c r="BL395" i="16"/>
  <c r="BM395" i="16"/>
  <c r="BO395" i="16"/>
  <c r="BP395" i="16"/>
  <c r="BQ395" i="16"/>
  <c r="BR395" i="16"/>
  <c r="BS395" i="16"/>
  <c r="A396" i="16"/>
  <c r="B396" i="16"/>
  <c r="B396" i="16" a="1"/>
  <c r="C396" i="16"/>
  <c r="D396" i="16"/>
  <c r="E396" i="16"/>
  <c r="E396" i="16" a="1"/>
  <c r="F396" i="16"/>
  <c r="G396" i="16"/>
  <c r="G396" i="16" a="1"/>
  <c r="H396" i="16"/>
  <c r="I396" i="16"/>
  <c r="J396" i="16"/>
  <c r="O396" i="16"/>
  <c r="BD396" i="16"/>
  <c r="BE396" i="16"/>
  <c r="BG396" i="16"/>
  <c r="BH396" i="16"/>
  <c r="BI396" i="16"/>
  <c r="BJ396" i="16"/>
  <c r="BL396" i="16"/>
  <c r="BM396" i="16"/>
  <c r="BO396" i="16"/>
  <c r="BP396" i="16"/>
  <c r="BQ396" i="16"/>
  <c r="BR396" i="16"/>
  <c r="BS396" i="16"/>
  <c r="A397" i="16"/>
  <c r="B397" i="16"/>
  <c r="B397" i="16" a="1"/>
  <c r="C397" i="16"/>
  <c r="D397" i="16"/>
  <c r="E397" i="16"/>
  <c r="E397" i="16" a="1"/>
  <c r="F397" i="16"/>
  <c r="G397" i="16"/>
  <c r="G397" i="16" a="1"/>
  <c r="H397" i="16"/>
  <c r="I397" i="16"/>
  <c r="J397" i="16"/>
  <c r="O397" i="16"/>
  <c r="BD397" i="16"/>
  <c r="BE397" i="16"/>
  <c r="BG397" i="16"/>
  <c r="BH397" i="16"/>
  <c r="BI397" i="16"/>
  <c r="BJ397" i="16"/>
  <c r="BL397" i="16"/>
  <c r="BM397" i="16"/>
  <c r="BO397" i="16"/>
  <c r="BP397" i="16"/>
  <c r="BQ397" i="16"/>
  <c r="BR397" i="16"/>
  <c r="BS397" i="16"/>
  <c r="A398" i="16"/>
  <c r="B398" i="16"/>
  <c r="B398" i="16" a="1"/>
  <c r="C398" i="16"/>
  <c r="D398" i="16"/>
  <c r="E398" i="16"/>
  <c r="E398" i="16" a="1"/>
  <c r="F398" i="16"/>
  <c r="G398" i="16"/>
  <c r="G398" i="16" a="1"/>
  <c r="H398" i="16"/>
  <c r="I398" i="16"/>
  <c r="J398" i="16"/>
  <c r="O398" i="16"/>
  <c r="BD398" i="16"/>
  <c r="BE398" i="16"/>
  <c r="BG398" i="16"/>
  <c r="BH398" i="16"/>
  <c r="BI398" i="16"/>
  <c r="BJ398" i="16"/>
  <c r="BL398" i="16"/>
  <c r="BM398" i="16"/>
  <c r="BO398" i="16"/>
  <c r="BP398" i="16"/>
  <c r="BQ398" i="16"/>
  <c r="BR398" i="16"/>
  <c r="BS398" i="16"/>
  <c r="A399" i="16"/>
  <c r="B399" i="16"/>
  <c r="B399" i="16" a="1"/>
  <c r="C399" i="16"/>
  <c r="D399" i="16"/>
  <c r="E399" i="16"/>
  <c r="E399" i="16" a="1"/>
  <c r="F399" i="16"/>
  <c r="G399" i="16"/>
  <c r="G399" i="16" a="1"/>
  <c r="H399" i="16"/>
  <c r="I399" i="16"/>
  <c r="J399" i="16"/>
  <c r="O399" i="16"/>
  <c r="BD399" i="16"/>
  <c r="BE399" i="16"/>
  <c r="BG399" i="16"/>
  <c r="BH399" i="16"/>
  <c r="BI399" i="16"/>
  <c r="BJ399" i="16"/>
  <c r="BL399" i="16"/>
  <c r="BM399" i="16"/>
  <c r="BO399" i="16"/>
  <c r="BP399" i="16"/>
  <c r="BQ399" i="16"/>
  <c r="BR399" i="16"/>
  <c r="BS399" i="16"/>
  <c r="A400" i="16"/>
  <c r="B400" i="16"/>
  <c r="B400" i="16" a="1"/>
  <c r="C400" i="16"/>
  <c r="D400" i="16"/>
  <c r="E400" i="16"/>
  <c r="E400" i="16" a="1"/>
  <c r="F400" i="16"/>
  <c r="G400" i="16"/>
  <c r="G400" i="16" a="1"/>
  <c r="H400" i="16"/>
  <c r="I400" i="16"/>
  <c r="J400" i="16"/>
  <c r="O400" i="16"/>
  <c r="BD400" i="16"/>
  <c r="BE400" i="16"/>
  <c r="BG400" i="16"/>
  <c r="BH400" i="16"/>
  <c r="BI400" i="16"/>
  <c r="BJ400" i="16"/>
  <c r="BL400" i="16"/>
  <c r="BM400" i="16"/>
  <c r="BO400" i="16"/>
  <c r="BP400" i="16"/>
  <c r="BQ400" i="16"/>
  <c r="BR400" i="16"/>
  <c r="BS400" i="16"/>
  <c r="A401" i="16"/>
  <c r="B401" i="16"/>
  <c r="B401" i="16" a="1"/>
  <c r="C401" i="16"/>
  <c r="D401" i="16"/>
  <c r="E401" i="16"/>
  <c r="E401" i="16" a="1"/>
  <c r="F401" i="16"/>
  <c r="G401" i="16"/>
  <c r="G401" i="16" a="1"/>
  <c r="H401" i="16"/>
  <c r="I401" i="16"/>
  <c r="J401" i="16"/>
  <c r="O401" i="16"/>
  <c r="BD401" i="16"/>
  <c r="BE401" i="16"/>
  <c r="BG401" i="16"/>
  <c r="BH401" i="16"/>
  <c r="BI401" i="16"/>
  <c r="BJ401" i="16"/>
  <c r="BL401" i="16"/>
  <c r="BM401" i="16"/>
  <c r="BO401" i="16"/>
  <c r="BP401" i="16"/>
  <c r="BQ401" i="16"/>
  <c r="BR401" i="16"/>
  <c r="BS401" i="16"/>
  <c r="A402" i="16"/>
  <c r="B402" i="16"/>
  <c r="B402" i="16" a="1"/>
  <c r="C402" i="16"/>
  <c r="D402" i="16"/>
  <c r="E402" i="16"/>
  <c r="E402" i="16" a="1"/>
  <c r="F402" i="16"/>
  <c r="G402" i="16"/>
  <c r="G402" i="16" a="1"/>
  <c r="H402" i="16"/>
  <c r="I402" i="16"/>
  <c r="J402" i="16"/>
  <c r="O402" i="16"/>
  <c r="BD402" i="16"/>
  <c r="BE402" i="16"/>
  <c r="BG402" i="16"/>
  <c r="BH402" i="16"/>
  <c r="BI402" i="16"/>
  <c r="BJ402" i="16"/>
  <c r="BL402" i="16"/>
  <c r="BM402" i="16"/>
  <c r="BO402" i="16"/>
  <c r="BP402" i="16"/>
  <c r="BQ402" i="16"/>
  <c r="BR402" i="16"/>
  <c r="BS402" i="16"/>
  <c r="A403" i="16"/>
  <c r="B403" i="16"/>
  <c r="B403" i="16" a="1"/>
  <c r="C403" i="16"/>
  <c r="D403" i="16"/>
  <c r="E403" i="16"/>
  <c r="E403" i="16" a="1"/>
  <c r="F403" i="16"/>
  <c r="G403" i="16"/>
  <c r="G403" i="16" a="1"/>
  <c r="H403" i="16"/>
  <c r="I403" i="16"/>
  <c r="J403" i="16"/>
  <c r="O403" i="16"/>
  <c r="BD403" i="16"/>
  <c r="BE403" i="16"/>
  <c r="BG403" i="16"/>
  <c r="BH403" i="16"/>
  <c r="BI403" i="16"/>
  <c r="BJ403" i="16"/>
  <c r="BL403" i="16"/>
  <c r="BM403" i="16"/>
  <c r="BO403" i="16"/>
  <c r="BP403" i="16"/>
  <c r="BQ403" i="16"/>
  <c r="BR403" i="16"/>
  <c r="BS403" i="16"/>
  <c r="A404" i="16"/>
  <c r="B404" i="16"/>
  <c r="B404" i="16" a="1"/>
  <c r="C404" i="16"/>
  <c r="D404" i="16"/>
  <c r="E404" i="16"/>
  <c r="E404" i="16" a="1"/>
  <c r="F404" i="16"/>
  <c r="G404" i="16"/>
  <c r="G404" i="16" a="1"/>
  <c r="H404" i="16"/>
  <c r="I404" i="16"/>
  <c r="J404" i="16"/>
  <c r="O404" i="16"/>
  <c r="BD404" i="16"/>
  <c r="BE404" i="16"/>
  <c r="BG404" i="16"/>
  <c r="BH404" i="16"/>
  <c r="BI404" i="16"/>
  <c r="BJ404" i="16"/>
  <c r="BL404" i="16"/>
  <c r="BM404" i="16"/>
  <c r="BO404" i="16"/>
  <c r="BP404" i="16"/>
  <c r="BQ404" i="16"/>
  <c r="BR404" i="16"/>
  <c r="BS404" i="16"/>
  <c r="A405" i="16"/>
  <c r="B405" i="16"/>
  <c r="B405" i="16" a="1"/>
  <c r="C405" i="16"/>
  <c r="D405" i="16"/>
  <c r="E405" i="16"/>
  <c r="E405" i="16" a="1"/>
  <c r="F405" i="16"/>
  <c r="G405" i="16"/>
  <c r="G405" i="16" a="1"/>
  <c r="H405" i="16"/>
  <c r="I405" i="16"/>
  <c r="J405" i="16"/>
  <c r="O405" i="16"/>
  <c r="BD405" i="16"/>
  <c r="BE405" i="16"/>
  <c r="BG405" i="16"/>
  <c r="BH405" i="16"/>
  <c r="BI405" i="16"/>
  <c r="BJ405" i="16"/>
  <c r="BL405" i="16"/>
  <c r="BM405" i="16"/>
  <c r="BO405" i="16"/>
  <c r="BP405" i="16"/>
  <c r="BQ405" i="16"/>
  <c r="BR405" i="16"/>
  <c r="BS405" i="16"/>
  <c r="A406" i="16"/>
  <c r="B406" i="16"/>
  <c r="B406" i="16" a="1"/>
  <c r="C406" i="16"/>
  <c r="D406" i="16"/>
  <c r="E406" i="16"/>
  <c r="E406" i="16" a="1"/>
  <c r="F406" i="16"/>
  <c r="G406" i="16"/>
  <c r="G406" i="16" a="1"/>
  <c r="H406" i="16"/>
  <c r="I406" i="16"/>
  <c r="J406" i="16"/>
  <c r="O406" i="16"/>
  <c r="BD406" i="16"/>
  <c r="BE406" i="16"/>
  <c r="BG406" i="16"/>
  <c r="BH406" i="16"/>
  <c r="BI406" i="16"/>
  <c r="BJ406" i="16"/>
  <c r="BL406" i="16"/>
  <c r="BM406" i="16"/>
  <c r="BO406" i="16"/>
  <c r="BP406" i="16"/>
  <c r="BQ406" i="16"/>
  <c r="BR406" i="16"/>
  <c r="BS406" i="16"/>
  <c r="A407" i="16"/>
  <c r="B407" i="16"/>
  <c r="B407" i="16" a="1"/>
  <c r="C407" i="16"/>
  <c r="D407" i="16"/>
  <c r="E407" i="16"/>
  <c r="E407" i="16" a="1"/>
  <c r="F407" i="16"/>
  <c r="G407" i="16"/>
  <c r="G407" i="16" a="1"/>
  <c r="H407" i="16"/>
  <c r="I407" i="16"/>
  <c r="J407" i="16"/>
  <c r="O407" i="16"/>
  <c r="BD407" i="16"/>
  <c r="BE407" i="16"/>
  <c r="BG407" i="16"/>
  <c r="BH407" i="16"/>
  <c r="BI407" i="16"/>
  <c r="BJ407" i="16"/>
  <c r="BL407" i="16"/>
  <c r="BM407" i="16"/>
  <c r="BO407" i="16"/>
  <c r="BP407" i="16"/>
  <c r="BQ407" i="16"/>
  <c r="BR407" i="16"/>
  <c r="BS407" i="16"/>
  <c r="A408" i="16"/>
  <c r="B408" i="16"/>
  <c r="B408" i="16" a="1"/>
  <c r="C408" i="16"/>
  <c r="D408" i="16"/>
  <c r="E408" i="16"/>
  <c r="E408" i="16" a="1"/>
  <c r="F408" i="16"/>
  <c r="G408" i="16"/>
  <c r="G408" i="16" a="1"/>
  <c r="H408" i="16"/>
  <c r="I408" i="16"/>
  <c r="J408" i="16"/>
  <c r="O408" i="16"/>
  <c r="BD408" i="16"/>
  <c r="BE408" i="16"/>
  <c r="BG408" i="16"/>
  <c r="BH408" i="16"/>
  <c r="BI408" i="16"/>
  <c r="BJ408" i="16"/>
  <c r="BL408" i="16"/>
  <c r="BM408" i="16"/>
  <c r="BO408" i="16"/>
  <c r="BP408" i="16"/>
  <c r="BQ408" i="16"/>
  <c r="BR408" i="16"/>
  <c r="BS408" i="16"/>
  <c r="A409" i="16"/>
  <c r="B409" i="16"/>
  <c r="B409" i="16" a="1"/>
  <c r="C409" i="16"/>
  <c r="D409" i="16"/>
  <c r="E409" i="16"/>
  <c r="E409" i="16" a="1"/>
  <c r="F409" i="16"/>
  <c r="G409" i="16"/>
  <c r="G409" i="16" a="1"/>
  <c r="H409" i="16"/>
  <c r="I409" i="16"/>
  <c r="J409" i="16"/>
  <c r="O409" i="16"/>
  <c r="BD409" i="16"/>
  <c r="BE409" i="16"/>
  <c r="BG409" i="16"/>
  <c r="BH409" i="16"/>
  <c r="BI409" i="16"/>
  <c r="BJ409" i="16"/>
  <c r="BL409" i="16"/>
  <c r="BM409" i="16"/>
  <c r="BO409" i="16"/>
  <c r="BP409" i="16"/>
  <c r="BQ409" i="16"/>
  <c r="BR409" i="16"/>
  <c r="BS409" i="16"/>
  <c r="A410" i="16"/>
  <c r="B410" i="16"/>
  <c r="B410" i="16" a="1"/>
  <c r="C410" i="16"/>
  <c r="D410" i="16"/>
  <c r="E410" i="16"/>
  <c r="E410" i="16" a="1"/>
  <c r="F410" i="16"/>
  <c r="G410" i="16"/>
  <c r="G410" i="16" a="1"/>
  <c r="H410" i="16"/>
  <c r="I410" i="16"/>
  <c r="J410" i="16"/>
  <c r="O410" i="16"/>
  <c r="BD410" i="16"/>
  <c r="BE410" i="16"/>
  <c r="BG410" i="16"/>
  <c r="BH410" i="16"/>
  <c r="BI410" i="16"/>
  <c r="BJ410" i="16"/>
  <c r="BL410" i="16"/>
  <c r="BM410" i="16"/>
  <c r="BO410" i="16"/>
  <c r="BP410" i="16"/>
  <c r="BQ410" i="16"/>
  <c r="BR410" i="16"/>
  <c r="BS410" i="16"/>
  <c r="A411" i="16"/>
  <c r="B411" i="16"/>
  <c r="B411" i="16" a="1"/>
  <c r="C411" i="16"/>
  <c r="D411" i="16"/>
  <c r="E411" i="16"/>
  <c r="E411" i="16" a="1"/>
  <c r="F411" i="16"/>
  <c r="G411" i="16"/>
  <c r="G411" i="16" a="1"/>
  <c r="H411" i="16"/>
  <c r="I411" i="16"/>
  <c r="J411" i="16"/>
  <c r="O411" i="16"/>
  <c r="BD411" i="16"/>
  <c r="BE411" i="16"/>
  <c r="BG411" i="16"/>
  <c r="BH411" i="16"/>
  <c r="BI411" i="16"/>
  <c r="BJ411" i="16"/>
  <c r="BL411" i="16"/>
  <c r="BM411" i="16"/>
  <c r="BO411" i="16"/>
  <c r="BP411" i="16"/>
  <c r="BQ411" i="16"/>
  <c r="BR411" i="16"/>
  <c r="BS411" i="16"/>
  <c r="A412" i="16"/>
  <c r="B412" i="16"/>
  <c r="B412" i="16" a="1"/>
  <c r="C412" i="16"/>
  <c r="D412" i="16"/>
  <c r="E412" i="16"/>
  <c r="E412" i="16" a="1"/>
  <c r="F412" i="16"/>
  <c r="G412" i="16"/>
  <c r="G412" i="16" a="1"/>
  <c r="H412" i="16"/>
  <c r="I412" i="16"/>
  <c r="J412" i="16"/>
  <c r="O412" i="16"/>
  <c r="BD412" i="16"/>
  <c r="BE412" i="16"/>
  <c r="BG412" i="16"/>
  <c r="BH412" i="16"/>
  <c r="BI412" i="16"/>
  <c r="BJ412" i="16"/>
  <c r="BL412" i="16"/>
  <c r="BM412" i="16"/>
  <c r="BO412" i="16"/>
  <c r="BP412" i="16"/>
  <c r="BQ412" i="16"/>
  <c r="BR412" i="16"/>
  <c r="BS412" i="16"/>
  <c r="A413" i="16"/>
  <c r="B413" i="16"/>
  <c r="B413" i="16" a="1"/>
  <c r="C413" i="16"/>
  <c r="D413" i="16"/>
  <c r="E413" i="16"/>
  <c r="E413" i="16" a="1"/>
  <c r="F413" i="16"/>
  <c r="G413" i="16"/>
  <c r="G413" i="16" a="1"/>
  <c r="H413" i="16"/>
  <c r="I413" i="16"/>
  <c r="J413" i="16"/>
  <c r="O413" i="16"/>
  <c r="BD413" i="16"/>
  <c r="BE413" i="16"/>
  <c r="BG413" i="16"/>
  <c r="BH413" i="16"/>
  <c r="BI413" i="16"/>
  <c r="BJ413" i="16"/>
  <c r="BL413" i="16"/>
  <c r="BM413" i="16"/>
  <c r="BO413" i="16"/>
  <c r="BP413" i="16"/>
  <c r="BQ413" i="16"/>
  <c r="BR413" i="16"/>
  <c r="BS413" i="16"/>
  <c r="A414" i="16"/>
  <c r="B414" i="16"/>
  <c r="B414" i="16" a="1"/>
  <c r="C414" i="16"/>
  <c r="D414" i="16"/>
  <c r="E414" i="16"/>
  <c r="E414" i="16" a="1"/>
  <c r="F414" i="16"/>
  <c r="G414" i="16"/>
  <c r="G414" i="16" a="1"/>
  <c r="H414" i="16"/>
  <c r="I414" i="16"/>
  <c r="J414" i="16"/>
  <c r="O414" i="16"/>
  <c r="BD414" i="16"/>
  <c r="BE414" i="16"/>
  <c r="BG414" i="16"/>
  <c r="BH414" i="16"/>
  <c r="BI414" i="16"/>
  <c r="BJ414" i="16"/>
  <c r="BL414" i="16"/>
  <c r="BM414" i="16"/>
  <c r="BO414" i="16"/>
  <c r="BP414" i="16"/>
  <c r="BQ414" i="16"/>
  <c r="BR414" i="16"/>
  <c r="BS414" i="16"/>
  <c r="A415" i="16"/>
  <c r="B415" i="16"/>
  <c r="B415" i="16" a="1"/>
  <c r="C415" i="16"/>
  <c r="D415" i="16"/>
  <c r="E415" i="16"/>
  <c r="E415" i="16" a="1"/>
  <c r="F415" i="16"/>
  <c r="G415" i="16"/>
  <c r="G415" i="16" a="1"/>
  <c r="H415" i="16"/>
  <c r="I415" i="16"/>
  <c r="J415" i="16"/>
  <c r="O415" i="16"/>
  <c r="BD415" i="16"/>
  <c r="BE415" i="16"/>
  <c r="BG415" i="16"/>
  <c r="BH415" i="16"/>
  <c r="BI415" i="16"/>
  <c r="BJ415" i="16"/>
  <c r="BL415" i="16"/>
  <c r="BM415" i="16"/>
  <c r="BO415" i="16"/>
  <c r="BP415" i="16"/>
  <c r="BQ415" i="16"/>
  <c r="BR415" i="16"/>
  <c r="BS415" i="16"/>
  <c r="A416" i="16"/>
  <c r="B416" i="16"/>
  <c r="B416" i="16" a="1"/>
  <c r="C416" i="16"/>
  <c r="D416" i="16"/>
  <c r="E416" i="16"/>
  <c r="E416" i="16" a="1"/>
  <c r="F416" i="16"/>
  <c r="G416" i="16"/>
  <c r="G416" i="16" a="1"/>
  <c r="H416" i="16"/>
  <c r="I416" i="16"/>
  <c r="J416" i="16"/>
  <c r="O416" i="16"/>
  <c r="BD416" i="16"/>
  <c r="BE416" i="16"/>
  <c r="BG416" i="16"/>
  <c r="BH416" i="16"/>
  <c r="BI416" i="16"/>
  <c r="BJ416" i="16"/>
  <c r="BL416" i="16"/>
  <c r="BM416" i="16"/>
  <c r="BO416" i="16"/>
  <c r="BP416" i="16"/>
  <c r="BQ416" i="16"/>
  <c r="BR416" i="16"/>
  <c r="BS416" i="16"/>
  <c r="A417" i="16"/>
  <c r="B417" i="16"/>
  <c r="B417" i="16" a="1"/>
  <c r="C417" i="16"/>
  <c r="D417" i="16"/>
  <c r="E417" i="16"/>
  <c r="E417" i="16" a="1"/>
  <c r="F417" i="16"/>
  <c r="G417" i="16"/>
  <c r="G417" i="16" a="1"/>
  <c r="H417" i="16"/>
  <c r="I417" i="16"/>
  <c r="J417" i="16"/>
  <c r="O417" i="16"/>
  <c r="BD417" i="16"/>
  <c r="BE417" i="16"/>
  <c r="BG417" i="16"/>
  <c r="BH417" i="16"/>
  <c r="BI417" i="16"/>
  <c r="BJ417" i="16"/>
  <c r="BL417" i="16"/>
  <c r="BM417" i="16"/>
  <c r="BO417" i="16"/>
  <c r="BP417" i="16"/>
  <c r="BQ417" i="16"/>
  <c r="BR417" i="16"/>
  <c r="BS417" i="16"/>
  <c r="A418" i="16"/>
  <c r="B418" i="16"/>
  <c r="B418" i="16" a="1"/>
  <c r="C418" i="16"/>
  <c r="D418" i="16"/>
  <c r="E418" i="16"/>
  <c r="E418" i="16" a="1"/>
  <c r="F418" i="16"/>
  <c r="G418" i="16"/>
  <c r="G418" i="16" a="1"/>
  <c r="H418" i="16"/>
  <c r="I418" i="16"/>
  <c r="J418" i="16"/>
  <c r="O418" i="16"/>
  <c r="BD418" i="16"/>
  <c r="BE418" i="16"/>
  <c r="BG418" i="16"/>
  <c r="BH418" i="16"/>
  <c r="BI418" i="16"/>
  <c r="BJ418" i="16"/>
  <c r="BL418" i="16"/>
  <c r="BM418" i="16"/>
  <c r="BO418" i="16"/>
  <c r="BP418" i="16"/>
  <c r="BQ418" i="16"/>
  <c r="BR418" i="16"/>
  <c r="BS418" i="16"/>
  <c r="A419" i="16"/>
  <c r="B419" i="16"/>
  <c r="B419" i="16" a="1"/>
  <c r="C419" i="16"/>
  <c r="D419" i="16"/>
  <c r="E419" i="16"/>
  <c r="E419" i="16" a="1"/>
  <c r="F419" i="16"/>
  <c r="G419" i="16"/>
  <c r="G419" i="16" a="1"/>
  <c r="H419" i="16"/>
  <c r="I419" i="16"/>
  <c r="J419" i="16"/>
  <c r="O419" i="16"/>
  <c r="BD419" i="16"/>
  <c r="BE419" i="16"/>
  <c r="BG419" i="16"/>
  <c r="BH419" i="16"/>
  <c r="BI419" i="16"/>
  <c r="BJ419" i="16"/>
  <c r="BL419" i="16"/>
  <c r="BM419" i="16"/>
  <c r="BO419" i="16"/>
  <c r="BP419" i="16"/>
  <c r="BQ419" i="16"/>
  <c r="BR419" i="16"/>
  <c r="BS419" i="16"/>
  <c r="A420" i="16"/>
  <c r="B420" i="16"/>
  <c r="B420" i="16" a="1"/>
  <c r="C420" i="16"/>
  <c r="D420" i="16"/>
  <c r="E420" i="16"/>
  <c r="E420" i="16" a="1"/>
  <c r="F420" i="16"/>
  <c r="G420" i="16"/>
  <c r="G420" i="16" a="1"/>
  <c r="H420" i="16"/>
  <c r="I420" i="16"/>
  <c r="J420" i="16"/>
  <c r="O420" i="16"/>
  <c r="BD420" i="16"/>
  <c r="BE420" i="16"/>
  <c r="BG420" i="16"/>
  <c r="BH420" i="16"/>
  <c r="BI420" i="16"/>
  <c r="BJ420" i="16"/>
  <c r="BL420" i="16"/>
  <c r="BM420" i="16"/>
  <c r="BO420" i="16"/>
  <c r="BP420" i="16"/>
  <c r="BQ420" i="16"/>
  <c r="BR420" i="16"/>
  <c r="BS420" i="16"/>
  <c r="A421" i="16"/>
  <c r="B421" i="16"/>
  <c r="B421" i="16" a="1"/>
  <c r="C421" i="16"/>
  <c r="D421" i="16"/>
  <c r="E421" i="16"/>
  <c r="E421" i="16" a="1"/>
  <c r="F421" i="16"/>
  <c r="G421" i="16"/>
  <c r="G421" i="16" a="1"/>
  <c r="H421" i="16"/>
  <c r="I421" i="16"/>
  <c r="J421" i="16"/>
  <c r="O421" i="16"/>
  <c r="BD421" i="16"/>
  <c r="BE421" i="16"/>
  <c r="BG421" i="16"/>
  <c r="BH421" i="16"/>
  <c r="BI421" i="16"/>
  <c r="BJ421" i="16"/>
  <c r="BL421" i="16"/>
  <c r="BM421" i="16"/>
  <c r="BO421" i="16"/>
  <c r="BP421" i="16"/>
  <c r="BQ421" i="16"/>
  <c r="BR421" i="16"/>
  <c r="BS421" i="16"/>
  <c r="A422" i="16"/>
  <c r="B422" i="16"/>
  <c r="B422" i="16" a="1"/>
  <c r="C422" i="16"/>
  <c r="D422" i="16"/>
  <c r="E422" i="16"/>
  <c r="E422" i="16" a="1"/>
  <c r="F422" i="16"/>
  <c r="G422" i="16"/>
  <c r="G422" i="16" a="1"/>
  <c r="H422" i="16"/>
  <c r="I422" i="16"/>
  <c r="J422" i="16"/>
  <c r="O422" i="16"/>
  <c r="BD422" i="16"/>
  <c r="BE422" i="16"/>
  <c r="BG422" i="16"/>
  <c r="BH422" i="16"/>
  <c r="BI422" i="16"/>
  <c r="BJ422" i="16"/>
  <c r="BL422" i="16"/>
  <c r="BM422" i="16"/>
  <c r="BO422" i="16"/>
  <c r="BP422" i="16"/>
  <c r="BQ422" i="16"/>
  <c r="BR422" i="16"/>
  <c r="BS422" i="16"/>
  <c r="A423" i="16"/>
  <c r="B423" i="16"/>
  <c r="B423" i="16" a="1"/>
  <c r="C423" i="16"/>
  <c r="D423" i="16"/>
  <c r="E423" i="16"/>
  <c r="E423" i="16" a="1"/>
  <c r="F423" i="16"/>
  <c r="G423" i="16"/>
  <c r="G423" i="16" a="1"/>
  <c r="H423" i="16"/>
  <c r="I423" i="16"/>
  <c r="J423" i="16"/>
  <c r="O423" i="16"/>
  <c r="BD423" i="16"/>
  <c r="BE423" i="16"/>
  <c r="BG423" i="16"/>
  <c r="BH423" i="16"/>
  <c r="BI423" i="16"/>
  <c r="BJ423" i="16"/>
  <c r="BL423" i="16"/>
  <c r="BM423" i="16"/>
  <c r="BO423" i="16"/>
  <c r="BP423" i="16"/>
  <c r="BQ423" i="16"/>
  <c r="BR423" i="16"/>
  <c r="BS423" i="16"/>
  <c r="A424" i="16"/>
  <c r="B424" i="16"/>
  <c r="B424" i="16" a="1"/>
  <c r="C424" i="16"/>
  <c r="D424" i="16"/>
  <c r="E424" i="16"/>
  <c r="E424" i="16" a="1"/>
  <c r="F424" i="16"/>
  <c r="G424" i="16"/>
  <c r="G424" i="16" a="1"/>
  <c r="H424" i="16"/>
  <c r="I424" i="16"/>
  <c r="J424" i="16"/>
  <c r="O424" i="16"/>
  <c r="BD424" i="16"/>
  <c r="BE424" i="16"/>
  <c r="BG424" i="16"/>
  <c r="BH424" i="16"/>
  <c r="BI424" i="16"/>
  <c r="BJ424" i="16"/>
  <c r="BL424" i="16"/>
  <c r="BM424" i="16"/>
  <c r="BO424" i="16"/>
  <c r="BP424" i="16"/>
  <c r="BQ424" i="16"/>
  <c r="BR424" i="16"/>
  <c r="BS424" i="16"/>
  <c r="A425" i="16"/>
  <c r="B425" i="16"/>
  <c r="B425" i="16" a="1"/>
  <c r="C425" i="16"/>
  <c r="D425" i="16"/>
  <c r="E425" i="16"/>
  <c r="E425" i="16" a="1"/>
  <c r="F425" i="16"/>
  <c r="G425" i="16"/>
  <c r="G425" i="16" a="1"/>
  <c r="H425" i="16"/>
  <c r="I425" i="16"/>
  <c r="J425" i="16"/>
  <c r="O425" i="16"/>
  <c r="BD425" i="16"/>
  <c r="BE425" i="16"/>
  <c r="BG425" i="16"/>
  <c r="BH425" i="16"/>
  <c r="BI425" i="16"/>
  <c r="BJ425" i="16"/>
  <c r="BL425" i="16"/>
  <c r="BM425" i="16"/>
  <c r="BO425" i="16"/>
  <c r="BP425" i="16"/>
  <c r="BQ425" i="16"/>
  <c r="BR425" i="16"/>
  <c r="BS425" i="16"/>
  <c r="A426" i="16"/>
  <c r="B426" i="16"/>
  <c r="B426" i="16" a="1"/>
  <c r="C426" i="16"/>
  <c r="D426" i="16"/>
  <c r="E426" i="16"/>
  <c r="E426" i="16" a="1"/>
  <c r="F426" i="16"/>
  <c r="G426" i="16"/>
  <c r="G426" i="16" a="1"/>
  <c r="H426" i="16"/>
  <c r="I426" i="16"/>
  <c r="J426" i="16"/>
  <c r="O426" i="16"/>
  <c r="BD426" i="16"/>
  <c r="BE426" i="16"/>
  <c r="BG426" i="16"/>
  <c r="BH426" i="16"/>
  <c r="BI426" i="16"/>
  <c r="BJ426" i="16"/>
  <c r="BL426" i="16"/>
  <c r="BM426" i="16"/>
  <c r="BO426" i="16"/>
  <c r="BP426" i="16"/>
  <c r="BQ426" i="16"/>
  <c r="BR426" i="16"/>
  <c r="BS426" i="16"/>
  <c r="A427" i="16"/>
  <c r="B427" i="16"/>
  <c r="B427" i="16" a="1"/>
  <c r="C427" i="16"/>
  <c r="D427" i="16"/>
  <c r="E427" i="16"/>
  <c r="E427" i="16" a="1"/>
  <c r="F427" i="16"/>
  <c r="G427" i="16"/>
  <c r="G427" i="16" a="1"/>
  <c r="H427" i="16"/>
  <c r="I427" i="16"/>
  <c r="J427" i="16"/>
  <c r="O427" i="16"/>
  <c r="BD427" i="16"/>
  <c r="BE427" i="16"/>
  <c r="BG427" i="16"/>
  <c r="BH427" i="16"/>
  <c r="BI427" i="16"/>
  <c r="BJ427" i="16"/>
  <c r="BL427" i="16"/>
  <c r="BM427" i="16"/>
  <c r="BO427" i="16"/>
  <c r="BP427" i="16"/>
  <c r="BQ427" i="16"/>
  <c r="BR427" i="16"/>
  <c r="BS427" i="16"/>
  <c r="A428" i="16"/>
  <c r="B428" i="16"/>
  <c r="B428" i="16" a="1"/>
  <c r="C428" i="16"/>
  <c r="D428" i="16"/>
  <c r="E428" i="16"/>
  <c r="E428" i="16" a="1"/>
  <c r="F428" i="16"/>
  <c r="G428" i="16"/>
  <c r="G428" i="16" a="1"/>
  <c r="H428" i="16"/>
  <c r="I428" i="16"/>
  <c r="J428" i="16"/>
  <c r="O428" i="16"/>
  <c r="BD428" i="16"/>
  <c r="BE428" i="16"/>
  <c r="BG428" i="16"/>
  <c r="BH428" i="16"/>
  <c r="BI428" i="16"/>
  <c r="BJ428" i="16"/>
  <c r="BL428" i="16"/>
  <c r="BM428" i="16"/>
  <c r="BO428" i="16"/>
  <c r="BP428" i="16"/>
  <c r="BQ428" i="16"/>
  <c r="BR428" i="16"/>
  <c r="BS428" i="16"/>
  <c r="A429" i="16"/>
  <c r="B429" i="16"/>
  <c r="B429" i="16" a="1"/>
  <c r="C429" i="16"/>
  <c r="D429" i="16"/>
  <c r="E429" i="16"/>
  <c r="E429" i="16" a="1"/>
  <c r="F429" i="16"/>
  <c r="G429" i="16"/>
  <c r="G429" i="16" a="1"/>
  <c r="H429" i="16"/>
  <c r="I429" i="16"/>
  <c r="J429" i="16"/>
  <c r="O429" i="16"/>
  <c r="BD429" i="16"/>
  <c r="BE429" i="16"/>
  <c r="BG429" i="16"/>
  <c r="BH429" i="16"/>
  <c r="BI429" i="16"/>
  <c r="BJ429" i="16"/>
  <c r="BL429" i="16"/>
  <c r="BM429" i="16"/>
  <c r="BO429" i="16"/>
  <c r="BP429" i="16"/>
  <c r="BQ429" i="16"/>
  <c r="BR429" i="16"/>
  <c r="BS429" i="16"/>
  <c r="A430" i="16"/>
  <c r="B430" i="16"/>
  <c r="B430" i="16" a="1"/>
  <c r="C430" i="16"/>
  <c r="D430" i="16"/>
  <c r="E430" i="16"/>
  <c r="E430" i="16" a="1"/>
  <c r="F430" i="16"/>
  <c r="G430" i="16"/>
  <c r="G430" i="16" a="1"/>
  <c r="H430" i="16"/>
  <c r="I430" i="16"/>
  <c r="J430" i="16"/>
  <c r="O430" i="16"/>
  <c r="BD430" i="16"/>
  <c r="BE430" i="16"/>
  <c r="BG430" i="16"/>
  <c r="BH430" i="16"/>
  <c r="BI430" i="16"/>
  <c r="BJ430" i="16"/>
  <c r="BL430" i="16"/>
  <c r="BM430" i="16"/>
  <c r="BO430" i="16"/>
  <c r="BP430" i="16"/>
  <c r="BQ430" i="16"/>
  <c r="BR430" i="16"/>
  <c r="BS430" i="16"/>
  <c r="A431" i="16"/>
  <c r="B431" i="16"/>
  <c r="B431" i="16" a="1"/>
  <c r="C431" i="16"/>
  <c r="D431" i="16"/>
  <c r="E431" i="16"/>
  <c r="E431" i="16" a="1"/>
  <c r="F431" i="16"/>
  <c r="G431" i="16"/>
  <c r="G431" i="16" a="1"/>
  <c r="H431" i="16"/>
  <c r="I431" i="16"/>
  <c r="J431" i="16"/>
  <c r="O431" i="16"/>
  <c r="BD431" i="16"/>
  <c r="BE431" i="16"/>
  <c r="BG431" i="16"/>
  <c r="BH431" i="16"/>
  <c r="BI431" i="16"/>
  <c r="BJ431" i="16"/>
  <c r="BL431" i="16"/>
  <c r="BM431" i="16"/>
  <c r="BO431" i="16"/>
  <c r="BP431" i="16"/>
  <c r="BQ431" i="16"/>
  <c r="BR431" i="16"/>
  <c r="BS431" i="16"/>
  <c r="A432" i="16"/>
  <c r="B432" i="16"/>
  <c r="B432" i="16" a="1"/>
  <c r="C432" i="16"/>
  <c r="D432" i="16"/>
  <c r="E432" i="16"/>
  <c r="E432" i="16" a="1"/>
  <c r="F432" i="16"/>
  <c r="G432" i="16"/>
  <c r="G432" i="16" a="1"/>
  <c r="H432" i="16"/>
  <c r="I432" i="16"/>
  <c r="J432" i="16"/>
  <c r="O432" i="16"/>
  <c r="BD432" i="16"/>
  <c r="BE432" i="16"/>
  <c r="BG432" i="16"/>
  <c r="BH432" i="16"/>
  <c r="BI432" i="16"/>
  <c r="BJ432" i="16"/>
  <c r="BL432" i="16"/>
  <c r="BM432" i="16"/>
  <c r="BO432" i="16"/>
  <c r="BP432" i="16"/>
  <c r="BQ432" i="16"/>
  <c r="BR432" i="16"/>
  <c r="BS432" i="16"/>
  <c r="A433" i="16"/>
  <c r="B433" i="16"/>
  <c r="B433" i="16" a="1"/>
  <c r="C433" i="16"/>
  <c r="D433" i="16"/>
  <c r="E433" i="16"/>
  <c r="E433" i="16" a="1"/>
  <c r="F433" i="16"/>
  <c r="G433" i="16"/>
  <c r="G433" i="16" a="1"/>
  <c r="H433" i="16"/>
  <c r="I433" i="16"/>
  <c r="J433" i="16"/>
  <c r="O433" i="16"/>
  <c r="BD433" i="16"/>
  <c r="BE433" i="16"/>
  <c r="BG433" i="16"/>
  <c r="BH433" i="16"/>
  <c r="BI433" i="16"/>
  <c r="BJ433" i="16"/>
  <c r="BL433" i="16"/>
  <c r="BM433" i="16"/>
  <c r="BO433" i="16"/>
  <c r="BP433" i="16"/>
  <c r="BQ433" i="16"/>
  <c r="BR433" i="16"/>
  <c r="BS433" i="16"/>
  <c r="A434" i="16"/>
  <c r="B434" i="16"/>
  <c r="B434" i="16" a="1"/>
  <c r="C434" i="16"/>
  <c r="D434" i="16"/>
  <c r="E434" i="16"/>
  <c r="E434" i="16" a="1"/>
  <c r="F434" i="16"/>
  <c r="G434" i="16"/>
  <c r="G434" i="16" a="1"/>
  <c r="H434" i="16"/>
  <c r="I434" i="16"/>
  <c r="J434" i="16"/>
  <c r="O434" i="16"/>
  <c r="BD434" i="16"/>
  <c r="BE434" i="16"/>
  <c r="BG434" i="16"/>
  <c r="BH434" i="16"/>
  <c r="BI434" i="16"/>
  <c r="BJ434" i="16"/>
  <c r="BL434" i="16"/>
  <c r="BM434" i="16"/>
  <c r="BO434" i="16"/>
  <c r="BP434" i="16"/>
  <c r="BQ434" i="16"/>
  <c r="BR434" i="16"/>
  <c r="BS434" i="16"/>
  <c r="A435" i="16"/>
  <c r="B435" i="16"/>
  <c r="B435" i="16" a="1"/>
  <c r="C435" i="16"/>
  <c r="D435" i="16"/>
  <c r="E435" i="16"/>
  <c r="E435" i="16" a="1"/>
  <c r="F435" i="16"/>
  <c r="G435" i="16"/>
  <c r="G435" i="16" a="1"/>
  <c r="H435" i="16"/>
  <c r="I435" i="16"/>
  <c r="J435" i="16"/>
  <c r="O435" i="16"/>
  <c r="BD435" i="16"/>
  <c r="BE435" i="16"/>
  <c r="BG435" i="16"/>
  <c r="BH435" i="16"/>
  <c r="BI435" i="16"/>
  <c r="BJ435" i="16"/>
  <c r="BL435" i="16"/>
  <c r="BM435" i="16"/>
  <c r="BO435" i="16"/>
  <c r="BP435" i="16"/>
  <c r="BQ435" i="16"/>
  <c r="BR435" i="16"/>
  <c r="BS435" i="16"/>
  <c r="A436" i="16"/>
  <c r="B436" i="16"/>
  <c r="B436" i="16" a="1"/>
  <c r="C436" i="16"/>
  <c r="D436" i="16"/>
  <c r="E436" i="16"/>
  <c r="E436" i="16" a="1"/>
  <c r="F436" i="16"/>
  <c r="G436" i="16"/>
  <c r="G436" i="16" a="1"/>
  <c r="H436" i="16"/>
  <c r="I436" i="16"/>
  <c r="J436" i="16"/>
  <c r="O436" i="16"/>
  <c r="BD436" i="16"/>
  <c r="BE436" i="16"/>
  <c r="BG436" i="16"/>
  <c r="BH436" i="16"/>
  <c r="BI436" i="16"/>
  <c r="BJ436" i="16"/>
  <c r="BL436" i="16"/>
  <c r="BM436" i="16"/>
  <c r="BO436" i="16"/>
  <c r="BP436" i="16"/>
  <c r="BQ436" i="16"/>
  <c r="BR436" i="16"/>
  <c r="BS436" i="16"/>
  <c r="A437" i="16"/>
  <c r="B437" i="16"/>
  <c r="B437" i="16" a="1"/>
  <c r="C437" i="16"/>
  <c r="D437" i="16"/>
  <c r="E437" i="16"/>
  <c r="E437" i="16" a="1"/>
  <c r="F437" i="16"/>
  <c r="G437" i="16"/>
  <c r="G437" i="16" a="1"/>
  <c r="H437" i="16"/>
  <c r="I437" i="16"/>
  <c r="J437" i="16"/>
  <c r="O437" i="16"/>
  <c r="BD437" i="16"/>
  <c r="BE437" i="16"/>
  <c r="BG437" i="16"/>
  <c r="BH437" i="16"/>
  <c r="BI437" i="16"/>
  <c r="BJ437" i="16"/>
  <c r="BL437" i="16"/>
  <c r="BM437" i="16"/>
  <c r="BO437" i="16"/>
  <c r="BP437" i="16"/>
  <c r="BQ437" i="16"/>
  <c r="BR437" i="16"/>
  <c r="BS437" i="16"/>
  <c r="A438" i="16"/>
  <c r="B438" i="16"/>
  <c r="B438" i="16" a="1"/>
  <c r="C438" i="16"/>
  <c r="D438" i="16"/>
  <c r="E438" i="16"/>
  <c r="E438" i="16" a="1"/>
  <c r="F438" i="16"/>
  <c r="G438" i="16"/>
  <c r="G438" i="16" a="1"/>
  <c r="H438" i="16"/>
  <c r="I438" i="16"/>
  <c r="J438" i="16"/>
  <c r="O438" i="16"/>
  <c r="BD438" i="16"/>
  <c r="BE438" i="16"/>
  <c r="BG438" i="16"/>
  <c r="BH438" i="16"/>
  <c r="BI438" i="16"/>
  <c r="BJ438" i="16"/>
  <c r="BL438" i="16"/>
  <c r="BM438" i="16"/>
  <c r="BO438" i="16"/>
  <c r="BP438" i="16"/>
  <c r="BQ438" i="16"/>
  <c r="BR438" i="16"/>
  <c r="BS438" i="16"/>
  <c r="A439" i="16"/>
  <c r="B439" i="16"/>
  <c r="B439" i="16" a="1"/>
  <c r="C439" i="16"/>
  <c r="D439" i="16"/>
  <c r="E439" i="16"/>
  <c r="E439" i="16" a="1"/>
  <c r="F439" i="16"/>
  <c r="G439" i="16"/>
  <c r="G439" i="16" a="1"/>
  <c r="H439" i="16"/>
  <c r="I439" i="16"/>
  <c r="J439" i="16"/>
  <c r="O439" i="16"/>
  <c r="BD439" i="16"/>
  <c r="BE439" i="16"/>
  <c r="BG439" i="16"/>
  <c r="BH439" i="16"/>
  <c r="BI439" i="16"/>
  <c r="BJ439" i="16"/>
  <c r="BL439" i="16"/>
  <c r="BM439" i="16"/>
  <c r="BO439" i="16"/>
  <c r="BP439" i="16"/>
  <c r="BQ439" i="16"/>
  <c r="BR439" i="16"/>
  <c r="BS439" i="16"/>
  <c r="A440" i="16"/>
  <c r="B440" i="16"/>
  <c r="B440" i="16" a="1"/>
  <c r="C440" i="16"/>
  <c r="D440" i="16"/>
  <c r="E440" i="16"/>
  <c r="E440" i="16" a="1"/>
  <c r="F440" i="16"/>
  <c r="G440" i="16"/>
  <c r="G440" i="16" a="1"/>
  <c r="H440" i="16"/>
  <c r="I440" i="16"/>
  <c r="J440" i="16"/>
  <c r="O440" i="16"/>
  <c r="BD440" i="16"/>
  <c r="BE440" i="16"/>
  <c r="BG440" i="16"/>
  <c r="BH440" i="16"/>
  <c r="BI440" i="16"/>
  <c r="BJ440" i="16"/>
  <c r="BL440" i="16"/>
  <c r="BM440" i="16"/>
  <c r="BO440" i="16"/>
  <c r="BP440" i="16"/>
  <c r="BQ440" i="16"/>
  <c r="BR440" i="16"/>
  <c r="BS440" i="16"/>
  <c r="A441" i="16"/>
  <c r="B441" i="16"/>
  <c r="B441" i="16" a="1"/>
  <c r="C441" i="16"/>
  <c r="D441" i="16"/>
  <c r="E441" i="16"/>
  <c r="E441" i="16" a="1"/>
  <c r="F441" i="16"/>
  <c r="G441" i="16"/>
  <c r="G441" i="16" a="1"/>
  <c r="H441" i="16"/>
  <c r="I441" i="16"/>
  <c r="J441" i="16"/>
  <c r="O441" i="16"/>
  <c r="BD441" i="16"/>
  <c r="BE441" i="16"/>
  <c r="BG441" i="16"/>
  <c r="BH441" i="16"/>
  <c r="BI441" i="16"/>
  <c r="BJ441" i="16"/>
  <c r="BL441" i="16"/>
  <c r="BM441" i="16"/>
  <c r="BO441" i="16"/>
  <c r="BP441" i="16"/>
  <c r="BQ441" i="16"/>
  <c r="BR441" i="16"/>
  <c r="BS441" i="16"/>
  <c r="A442" i="16"/>
  <c r="B442" i="16"/>
  <c r="B442" i="16" a="1"/>
  <c r="C442" i="16"/>
  <c r="D442" i="16"/>
  <c r="E442" i="16"/>
  <c r="E442" i="16" a="1"/>
  <c r="F442" i="16"/>
  <c r="G442" i="16"/>
  <c r="G442" i="16" a="1"/>
  <c r="H442" i="16"/>
  <c r="I442" i="16"/>
  <c r="J442" i="16"/>
  <c r="O442" i="16"/>
  <c r="BD442" i="16"/>
  <c r="BE442" i="16"/>
  <c r="BG442" i="16"/>
  <c r="BH442" i="16"/>
  <c r="BI442" i="16"/>
  <c r="BJ442" i="16"/>
  <c r="BL442" i="16"/>
  <c r="BM442" i="16"/>
  <c r="BO442" i="16"/>
  <c r="BP442" i="16"/>
  <c r="BQ442" i="16"/>
  <c r="BR442" i="16"/>
  <c r="BS442" i="16"/>
  <c r="A443" i="16"/>
  <c r="B443" i="16"/>
  <c r="B443" i="16" a="1"/>
  <c r="C443" i="16"/>
  <c r="D443" i="16"/>
  <c r="E443" i="16"/>
  <c r="E443" i="16" a="1"/>
  <c r="F443" i="16"/>
  <c r="G443" i="16"/>
  <c r="G443" i="16" a="1"/>
  <c r="H443" i="16"/>
  <c r="I443" i="16"/>
  <c r="J443" i="16"/>
  <c r="O443" i="16"/>
  <c r="BD443" i="16"/>
  <c r="BE443" i="16"/>
  <c r="BG443" i="16"/>
  <c r="BH443" i="16"/>
  <c r="BI443" i="16"/>
  <c r="BJ443" i="16"/>
  <c r="BL443" i="16"/>
  <c r="BM443" i="16"/>
  <c r="BO443" i="16"/>
  <c r="BP443" i="16"/>
  <c r="BQ443" i="16"/>
  <c r="BR443" i="16"/>
  <c r="BS443" i="16"/>
  <c r="A444" i="16"/>
  <c r="B444" i="16"/>
  <c r="B444" i="16" a="1"/>
  <c r="C444" i="16"/>
  <c r="D444" i="16"/>
  <c r="E444" i="16"/>
  <c r="E444" i="16" a="1"/>
  <c r="F444" i="16"/>
  <c r="G444" i="16"/>
  <c r="G444" i="16" a="1"/>
  <c r="H444" i="16"/>
  <c r="I444" i="16"/>
  <c r="J444" i="16"/>
  <c r="O444" i="16"/>
  <c r="BD444" i="16"/>
  <c r="BE444" i="16"/>
  <c r="BG444" i="16"/>
  <c r="BH444" i="16"/>
  <c r="BI444" i="16"/>
  <c r="BJ444" i="16"/>
  <c r="BL444" i="16"/>
  <c r="BM444" i="16"/>
  <c r="BO444" i="16"/>
  <c r="BP444" i="16"/>
  <c r="BQ444" i="16"/>
  <c r="BR444" i="16"/>
  <c r="BS444" i="16"/>
  <c r="A445" i="16"/>
  <c r="B445" i="16"/>
  <c r="B445" i="16" a="1"/>
  <c r="C445" i="16"/>
  <c r="D445" i="16"/>
  <c r="E445" i="16"/>
  <c r="E445" i="16" a="1"/>
  <c r="F445" i="16"/>
  <c r="G445" i="16"/>
  <c r="G445" i="16" a="1"/>
  <c r="H445" i="16"/>
  <c r="I445" i="16"/>
  <c r="J445" i="16"/>
  <c r="O445" i="16"/>
  <c r="BD445" i="16"/>
  <c r="BE445" i="16"/>
  <c r="BG445" i="16"/>
  <c r="BH445" i="16"/>
  <c r="BI445" i="16"/>
  <c r="BJ445" i="16"/>
  <c r="BL445" i="16"/>
  <c r="BM445" i="16"/>
  <c r="BO445" i="16"/>
  <c r="BP445" i="16"/>
  <c r="BQ445" i="16"/>
  <c r="BR445" i="16"/>
  <c r="BS445" i="16"/>
  <c r="BR446" i="16"/>
  <c r="BS446" i="16"/>
  <c r="BT446" i="16"/>
  <c r="X5" i="6"/>
  <c r="AF5" i="6"/>
  <c r="X6" i="6"/>
  <c r="AF6" i="6"/>
  <c r="W8" i="6"/>
  <c r="AA8" i="6"/>
  <c r="AB8" i="6"/>
  <c r="AC8" i="6"/>
  <c r="AE8" i="6"/>
  <c r="AI8" i="6"/>
  <c r="AJ8" i="6"/>
  <c r="AK8" i="6"/>
  <c r="AA9" i="6"/>
  <c r="AB9" i="6"/>
  <c r="AC9" i="6"/>
  <c r="AI9" i="6"/>
  <c r="AJ9" i="6"/>
  <c r="AK9" i="6"/>
  <c r="AA10" i="6"/>
  <c r="AB10" i="6"/>
  <c r="AC10" i="6"/>
  <c r="AI10" i="6"/>
  <c r="AJ10" i="6"/>
  <c r="AK10" i="6"/>
  <c r="AA11" i="6"/>
  <c r="AB11" i="6"/>
  <c r="AC11" i="6"/>
  <c r="AI11" i="6"/>
  <c r="AJ11" i="6"/>
  <c r="AK11" i="6"/>
  <c r="AA12" i="6"/>
  <c r="AB12" i="6"/>
  <c r="AC12" i="6"/>
  <c r="AI12" i="6"/>
  <c r="AJ12" i="6"/>
  <c r="AK12" i="6"/>
  <c r="AA13" i="6"/>
  <c r="AB13" i="6"/>
  <c r="AC13" i="6"/>
  <c r="AI13" i="6"/>
  <c r="AJ13" i="6"/>
  <c r="AK13" i="6"/>
  <c r="AA14" i="6"/>
  <c r="AB14" i="6"/>
  <c r="AC14" i="6"/>
  <c r="AI14" i="6"/>
  <c r="AJ14" i="6"/>
  <c r="AK14" i="6"/>
  <c r="AA15" i="6"/>
  <c r="AB15" i="6"/>
  <c r="AC15" i="6"/>
  <c r="AI15" i="6"/>
  <c r="AJ15" i="6"/>
  <c r="AK15" i="6"/>
  <c r="AA16" i="6"/>
  <c r="AB16" i="6"/>
  <c r="AC16" i="6"/>
  <c r="AI16" i="6"/>
  <c r="AJ16" i="6"/>
  <c r="AK16" i="6"/>
  <c r="AA17" i="6"/>
  <c r="AB17" i="6"/>
  <c r="AC17" i="6"/>
  <c r="AI17" i="6"/>
  <c r="AJ17" i="6"/>
  <c r="AK17" i="6"/>
  <c r="AA18" i="6"/>
  <c r="AB18" i="6"/>
  <c r="AC18" i="6"/>
  <c r="AI18" i="6"/>
  <c r="AJ18" i="6"/>
  <c r="AK18" i="6"/>
  <c r="AA19" i="6"/>
  <c r="AB19" i="6"/>
  <c r="AC19" i="6"/>
  <c r="AI19" i="6"/>
  <c r="AJ19" i="6"/>
  <c r="AK19" i="6"/>
  <c r="AA20" i="6"/>
  <c r="AB20" i="6"/>
  <c r="AC20" i="6"/>
  <c r="AI20" i="6"/>
  <c r="AJ20" i="6"/>
  <c r="AK20" i="6"/>
  <c r="AA21" i="6"/>
  <c r="AB21" i="6"/>
  <c r="AC21" i="6"/>
  <c r="AI21" i="6"/>
  <c r="AJ21" i="6"/>
  <c r="AK21" i="6"/>
  <c r="AA22" i="6"/>
  <c r="AB22" i="6"/>
  <c r="AC22" i="6"/>
  <c r="AI22" i="6"/>
  <c r="AJ22" i="6"/>
  <c r="AK22" i="6"/>
  <c r="AA23" i="6"/>
  <c r="AB23" i="6"/>
  <c r="AC23" i="6"/>
  <c r="AI23" i="6"/>
  <c r="AJ23" i="6"/>
  <c r="AK23" i="6"/>
  <c r="AA24" i="6"/>
  <c r="AB24" i="6"/>
  <c r="AC24" i="6"/>
  <c r="AI24" i="6"/>
  <c r="AJ24" i="6"/>
  <c r="AK24" i="6"/>
  <c r="AA25" i="6"/>
  <c r="AB25" i="6"/>
  <c r="AC25" i="6"/>
  <c r="AI25" i="6"/>
  <c r="AJ25" i="6"/>
  <c r="AK25" i="6"/>
  <c r="AA26" i="6"/>
  <c r="AB26" i="6"/>
  <c r="AC26" i="6"/>
  <c r="AI26" i="6"/>
  <c r="AJ26" i="6"/>
  <c r="AK26" i="6"/>
  <c r="AA27" i="6"/>
  <c r="AB27" i="6"/>
  <c r="AC27" i="6"/>
  <c r="AI27" i="6"/>
  <c r="AJ27" i="6"/>
  <c r="AK27" i="6"/>
  <c r="AA28" i="6"/>
  <c r="AB28" i="6"/>
  <c r="AC28" i="6"/>
  <c r="AI28" i="6"/>
  <c r="AJ28" i="6"/>
  <c r="AK28" i="6"/>
  <c r="AA29" i="6"/>
  <c r="AB29" i="6"/>
  <c r="AC29" i="6"/>
  <c r="AI29" i="6"/>
  <c r="AJ29" i="6"/>
  <c r="AK29" i="6"/>
  <c r="AA30" i="6"/>
  <c r="AB30" i="6"/>
  <c r="AC30" i="6"/>
  <c r="AI30" i="6"/>
  <c r="AJ30" i="6"/>
  <c r="AK30" i="6"/>
  <c r="AA31" i="6"/>
  <c r="AB31" i="6"/>
  <c r="AC31" i="6"/>
  <c r="AI31" i="6"/>
  <c r="AJ31" i="6"/>
  <c r="AK31" i="6"/>
  <c r="AA32" i="6"/>
  <c r="AB32" i="6"/>
  <c r="AC32" i="6"/>
  <c r="AI32" i="6"/>
  <c r="AJ32" i="6"/>
  <c r="AK32" i="6"/>
  <c r="AA33" i="6"/>
  <c r="AB33" i="6"/>
  <c r="AC33" i="6"/>
  <c r="AI33" i="6"/>
  <c r="AJ33" i="6"/>
  <c r="AK33" i="6"/>
  <c r="AA34" i="6"/>
  <c r="AB34" i="6"/>
  <c r="AC34" i="6"/>
  <c r="AI34" i="6"/>
  <c r="AJ34" i="6"/>
  <c r="AK34" i="6"/>
  <c r="AA35" i="6"/>
  <c r="AB35" i="6"/>
  <c r="AC35" i="6"/>
  <c r="AI35" i="6"/>
  <c r="AJ35" i="6"/>
  <c r="AK35" i="6"/>
  <c r="AA36" i="6"/>
  <c r="AB36" i="6"/>
  <c r="AC36" i="6"/>
  <c r="AI36" i="6"/>
  <c r="AJ36" i="6"/>
  <c r="AK36" i="6"/>
  <c r="AA37" i="6"/>
  <c r="AB37" i="6"/>
  <c r="AC37" i="6"/>
  <c r="AI37" i="6"/>
  <c r="AJ37" i="6"/>
  <c r="AK37" i="6"/>
  <c r="AA38" i="6"/>
  <c r="AB38" i="6"/>
  <c r="AC38" i="6"/>
  <c r="AI38" i="6"/>
  <c r="AJ38" i="6"/>
  <c r="AK38" i="6"/>
  <c r="AA39" i="6"/>
  <c r="AB39" i="6"/>
  <c r="AC39" i="6"/>
  <c r="AI39" i="6"/>
  <c r="AJ39" i="6"/>
  <c r="AK39" i="6"/>
  <c r="AA40" i="6"/>
  <c r="AB40" i="6"/>
  <c r="AC40" i="6"/>
  <c r="AI40" i="6"/>
  <c r="AJ40" i="6"/>
  <c r="AK40" i="6"/>
  <c r="AA41" i="6"/>
  <c r="AB41" i="6"/>
  <c r="AC41" i="6"/>
  <c r="AI41" i="6"/>
  <c r="AJ41" i="6"/>
  <c r="AK41" i="6"/>
  <c r="AA42" i="6"/>
  <c r="AB42" i="6"/>
  <c r="AC42" i="6"/>
  <c r="AI42" i="6"/>
  <c r="AJ42" i="6"/>
  <c r="AK42" i="6"/>
  <c r="AA43" i="6"/>
  <c r="AB43" i="6"/>
  <c r="AC43" i="6"/>
  <c r="AI43" i="6"/>
  <c r="AJ43" i="6"/>
  <c r="AK43" i="6"/>
  <c r="AA44" i="6"/>
  <c r="AB44" i="6"/>
  <c r="AC44" i="6"/>
  <c r="AI44" i="6"/>
  <c r="AJ44" i="6"/>
  <c r="AK44" i="6"/>
  <c r="AA45" i="6"/>
  <c r="AB45" i="6"/>
  <c r="AC45" i="6"/>
  <c r="AI45" i="6"/>
  <c r="AJ45" i="6"/>
  <c r="AK45" i="6"/>
  <c r="AA46" i="6"/>
  <c r="AB46" i="6"/>
  <c r="AC46" i="6"/>
  <c r="AI46" i="6"/>
  <c r="AJ46" i="6"/>
  <c r="AK46" i="6"/>
  <c r="AA47" i="6"/>
  <c r="AB47" i="6"/>
  <c r="AC47" i="6"/>
  <c r="AI47" i="6"/>
  <c r="AJ47" i="6"/>
  <c r="AK47" i="6"/>
  <c r="AA48" i="6"/>
  <c r="AB48" i="6"/>
  <c r="AC48" i="6"/>
  <c r="AI48" i="6"/>
  <c r="AJ48" i="6"/>
  <c r="AK48" i="6"/>
  <c r="AA49" i="6"/>
  <c r="AB49" i="6"/>
  <c r="AC49" i="6"/>
  <c r="AI49" i="6"/>
  <c r="AJ49" i="6"/>
  <c r="AK49" i="6"/>
  <c r="AA50" i="6"/>
  <c r="AB50" i="6"/>
  <c r="AC50" i="6"/>
  <c r="AI50" i="6"/>
  <c r="AJ50" i="6"/>
  <c r="AK50" i="6"/>
  <c r="AA51" i="6"/>
  <c r="AB51" i="6"/>
  <c r="AC51" i="6"/>
  <c r="AI51" i="6"/>
  <c r="AJ51" i="6"/>
  <c r="AK51" i="6"/>
  <c r="AA52" i="6"/>
  <c r="AB52" i="6"/>
  <c r="AC52" i="6"/>
  <c r="AI52" i="6"/>
  <c r="AJ52" i="6"/>
  <c r="AK52" i="6"/>
  <c r="AA53" i="6"/>
  <c r="AB53" i="6"/>
  <c r="AC53" i="6"/>
  <c r="AI53" i="6"/>
  <c r="AJ53" i="6"/>
  <c r="AK53" i="6"/>
  <c r="AA54" i="6"/>
  <c r="AB54" i="6"/>
  <c r="AC54" i="6"/>
  <c r="AI54" i="6"/>
  <c r="AJ54" i="6"/>
  <c r="AK54" i="6"/>
  <c r="AA55" i="6"/>
  <c r="AB55" i="6"/>
  <c r="AC55" i="6"/>
  <c r="AI55" i="6"/>
  <c r="AJ55" i="6"/>
  <c r="AK55" i="6"/>
  <c r="AA56" i="6"/>
  <c r="AB56" i="6"/>
  <c r="AC56" i="6"/>
  <c r="AI56" i="6"/>
  <c r="AJ56" i="6"/>
  <c r="AK56" i="6"/>
  <c r="AA57" i="6"/>
  <c r="AB57" i="6"/>
  <c r="AC57" i="6"/>
  <c r="AI57" i="6"/>
  <c r="AJ57" i="6"/>
  <c r="AK57" i="6"/>
  <c r="AA58" i="6"/>
  <c r="AB58" i="6"/>
  <c r="AC58" i="6"/>
  <c r="AI58" i="6"/>
  <c r="AJ58" i="6"/>
  <c r="AK58" i="6"/>
  <c r="AA59" i="6"/>
  <c r="AB59" i="6"/>
  <c r="AC59" i="6"/>
  <c r="AI59" i="6"/>
  <c r="AJ59" i="6"/>
  <c r="AK59" i="6"/>
  <c r="AA60" i="6"/>
  <c r="AB60" i="6"/>
  <c r="AC60" i="6"/>
  <c r="AI60" i="6"/>
  <c r="AJ60" i="6"/>
  <c r="AK60" i="6"/>
  <c r="AA61" i="6"/>
  <c r="AB61" i="6"/>
  <c r="AC61" i="6"/>
  <c r="AI61" i="6"/>
  <c r="AJ61" i="6"/>
  <c r="AK61" i="6"/>
  <c r="AA62" i="6"/>
  <c r="AB62" i="6"/>
  <c r="AC62" i="6"/>
  <c r="AI62" i="6"/>
  <c r="AJ62" i="6"/>
  <c r="AK62" i="6"/>
  <c r="AA63" i="6"/>
  <c r="AB63" i="6"/>
  <c r="AC63" i="6"/>
  <c r="AI63" i="6"/>
  <c r="AJ63" i="6"/>
  <c r="AK63" i="6"/>
  <c r="AA64" i="6"/>
  <c r="AB64" i="6"/>
  <c r="AC64" i="6"/>
  <c r="AI64" i="6"/>
  <c r="AJ64" i="6"/>
  <c r="AK64" i="6"/>
  <c r="AA65" i="6"/>
  <c r="AB65" i="6"/>
  <c r="AC65" i="6"/>
  <c r="AI65" i="6"/>
  <c r="AJ65" i="6"/>
  <c r="AK65" i="6"/>
  <c r="AA66" i="6"/>
  <c r="AB66" i="6"/>
  <c r="AC66" i="6"/>
  <c r="AI66" i="6"/>
  <c r="AJ66" i="6"/>
  <c r="AK66" i="6"/>
  <c r="AA67" i="6"/>
  <c r="AB67" i="6"/>
  <c r="AC67" i="6"/>
  <c r="AI67" i="6"/>
  <c r="AJ67" i="6"/>
  <c r="AK67" i="6"/>
  <c r="AA68" i="6"/>
  <c r="AB68" i="6"/>
  <c r="AC68" i="6"/>
  <c r="AI68" i="6"/>
  <c r="AJ68" i="6"/>
  <c r="AK68" i="6"/>
  <c r="AA69" i="6"/>
  <c r="AB69" i="6"/>
  <c r="AC69" i="6"/>
  <c r="AI69" i="6"/>
  <c r="AJ69" i="6"/>
  <c r="AK69" i="6"/>
  <c r="AA70" i="6"/>
  <c r="AB70" i="6"/>
  <c r="AC70" i="6"/>
  <c r="AI70" i="6"/>
  <c r="AJ70" i="6"/>
  <c r="AK70" i="6"/>
  <c r="AA71" i="6"/>
  <c r="AB71" i="6"/>
  <c r="AC71" i="6"/>
  <c r="AI71" i="6"/>
  <c r="AJ71" i="6"/>
  <c r="AK71" i="6"/>
  <c r="AA72" i="6"/>
  <c r="AB72" i="6"/>
  <c r="AC72" i="6"/>
  <c r="AI72" i="6"/>
  <c r="AJ72" i="6"/>
  <c r="AK72" i="6"/>
  <c r="AA73" i="6"/>
  <c r="AB73" i="6"/>
  <c r="AC73" i="6"/>
  <c r="AI73" i="6"/>
  <c r="AJ73" i="6"/>
  <c r="AK73" i="6"/>
  <c r="AA74" i="6"/>
  <c r="AB74" i="6"/>
  <c r="AC74" i="6"/>
  <c r="AI74" i="6"/>
  <c r="AJ74" i="6"/>
  <c r="AK74" i="6"/>
  <c r="AA75" i="6"/>
  <c r="AB75" i="6"/>
  <c r="AC75" i="6"/>
  <c r="AI75" i="6"/>
  <c r="AJ75" i="6"/>
  <c r="AK75" i="6"/>
  <c r="AA76" i="6"/>
  <c r="AB76" i="6"/>
  <c r="AC76" i="6"/>
  <c r="AI76" i="6"/>
  <c r="AJ76" i="6"/>
  <c r="AK76" i="6"/>
  <c r="AA77" i="6"/>
  <c r="AB77" i="6"/>
  <c r="AC77" i="6"/>
  <c r="AI77" i="6"/>
  <c r="AJ77" i="6"/>
  <c r="AK77" i="6"/>
  <c r="AA78" i="6"/>
  <c r="AB78" i="6"/>
  <c r="AC78" i="6"/>
  <c r="AI78" i="6"/>
  <c r="AJ78" i="6"/>
  <c r="AK78" i="6"/>
  <c r="AA79" i="6"/>
  <c r="AB79" i="6"/>
  <c r="AC79" i="6"/>
  <c r="AI79" i="6"/>
  <c r="AJ79" i="6"/>
  <c r="AK79" i="6"/>
  <c r="AA80" i="6"/>
  <c r="AB80" i="6"/>
  <c r="AC80" i="6"/>
  <c r="AI80" i="6"/>
  <c r="AJ80" i="6"/>
  <c r="AK80" i="6"/>
  <c r="AA81" i="6"/>
  <c r="AB81" i="6"/>
  <c r="AC81" i="6"/>
  <c r="AI81" i="6"/>
  <c r="AJ81" i="6"/>
  <c r="AK81" i="6"/>
  <c r="AA82" i="6"/>
  <c r="AB82" i="6"/>
  <c r="AC82" i="6"/>
  <c r="AI82" i="6"/>
  <c r="AJ82" i="6"/>
  <c r="AK82" i="6"/>
  <c r="AA83" i="6"/>
  <c r="AB83" i="6"/>
  <c r="AC83" i="6"/>
  <c r="AI83" i="6"/>
  <c r="AJ83" i="6"/>
  <c r="AK83" i="6"/>
  <c r="AA84" i="6"/>
  <c r="AB84" i="6"/>
  <c r="AC84" i="6"/>
  <c r="AI84" i="6"/>
  <c r="AJ84" i="6"/>
  <c r="AK84" i="6"/>
  <c r="AA85" i="6"/>
  <c r="AB85" i="6"/>
  <c r="AC85" i="6"/>
  <c r="AI85" i="6"/>
  <c r="AJ85" i="6"/>
  <c r="AK85" i="6"/>
  <c r="AA86" i="6"/>
  <c r="AB86" i="6"/>
  <c r="AC86" i="6"/>
  <c r="AI86" i="6"/>
  <c r="AJ86" i="6"/>
  <c r="AK86" i="6"/>
  <c r="AA87" i="6"/>
  <c r="AB87" i="6"/>
  <c r="AC87" i="6"/>
  <c r="AI87" i="6"/>
  <c r="AJ87" i="6"/>
  <c r="AK87" i="6"/>
  <c r="AA88" i="6"/>
  <c r="AB88" i="6"/>
  <c r="AC88" i="6"/>
  <c r="AI88" i="6"/>
  <c r="AJ88" i="6"/>
  <c r="AK88" i="6"/>
  <c r="AA89" i="6"/>
  <c r="AB89" i="6"/>
  <c r="AC89" i="6"/>
  <c r="AI89" i="6"/>
  <c r="AJ89" i="6"/>
  <c r="AK89" i="6"/>
  <c r="AA90" i="6"/>
  <c r="AB90" i="6"/>
  <c r="AC90" i="6"/>
  <c r="AI90" i="6"/>
  <c r="AJ90" i="6"/>
  <c r="AK90" i="6"/>
  <c r="AA91" i="6"/>
  <c r="AB91" i="6"/>
  <c r="AC91" i="6"/>
  <c r="AI91" i="6"/>
  <c r="AJ91" i="6"/>
  <c r="AK91" i="6"/>
  <c r="AA92" i="6"/>
  <c r="AB92" i="6"/>
  <c r="AC92" i="6"/>
  <c r="AI92" i="6"/>
  <c r="AJ92" i="6"/>
  <c r="AK92" i="6"/>
  <c r="AA93" i="6"/>
  <c r="AB93" i="6"/>
  <c r="AC93" i="6"/>
  <c r="AI93" i="6"/>
  <c r="AJ93" i="6"/>
  <c r="AK93" i="6"/>
  <c r="AA94" i="6"/>
  <c r="AB94" i="6"/>
  <c r="AC94" i="6"/>
  <c r="AI94" i="6"/>
  <c r="AJ94" i="6"/>
  <c r="AK94" i="6"/>
  <c r="AA95" i="6"/>
  <c r="AB95" i="6"/>
  <c r="AC95" i="6"/>
  <c r="AI95" i="6"/>
  <c r="AJ95" i="6"/>
  <c r="AK95" i="6"/>
  <c r="AA96" i="6"/>
  <c r="AB96" i="6"/>
  <c r="AC96" i="6"/>
  <c r="AI96" i="6"/>
  <c r="AJ96" i="6"/>
  <c r="AK96" i="6"/>
  <c r="AA97" i="6"/>
  <c r="AB97" i="6"/>
  <c r="AC97" i="6"/>
  <c r="AI97" i="6"/>
  <c r="AJ97" i="6"/>
  <c r="AK97" i="6"/>
  <c r="AA98" i="6"/>
  <c r="AB98" i="6"/>
  <c r="AC98" i="6"/>
  <c r="AI98" i="6"/>
  <c r="AJ98" i="6"/>
  <c r="AK98" i="6"/>
  <c r="AA99" i="6"/>
  <c r="AB99" i="6"/>
  <c r="AC99" i="6"/>
  <c r="AI99" i="6"/>
  <c r="AJ99" i="6"/>
  <c r="AK99" i="6"/>
  <c r="AA100" i="6"/>
  <c r="AB100" i="6"/>
  <c r="AC100" i="6"/>
  <c r="AI100" i="6"/>
  <c r="AJ100" i="6"/>
  <c r="AK100" i="6"/>
  <c r="AA101" i="6"/>
  <c r="AB101" i="6"/>
  <c r="AC101" i="6"/>
  <c r="AI101" i="6"/>
  <c r="AJ101" i="6"/>
  <c r="AK101" i="6"/>
  <c r="AA102" i="6"/>
  <c r="AB102" i="6"/>
  <c r="AC102" i="6"/>
  <c r="AI102" i="6"/>
  <c r="AJ102" i="6"/>
  <c r="AK102" i="6"/>
  <c r="AA103" i="6"/>
  <c r="AB103" i="6"/>
  <c r="AC103" i="6"/>
  <c r="AI103" i="6"/>
  <c r="AJ103" i="6"/>
  <c r="AK103" i="6"/>
  <c r="AA104" i="6"/>
  <c r="AB104" i="6"/>
  <c r="AC104" i="6"/>
  <c r="AI104" i="6"/>
  <c r="AJ104" i="6"/>
  <c r="AK104" i="6"/>
  <c r="AA105" i="6"/>
  <c r="AB105" i="6"/>
  <c r="AC105" i="6"/>
  <c r="AI105" i="6"/>
  <c r="AJ105" i="6"/>
  <c r="AK105" i="6"/>
  <c r="AA106" i="6"/>
  <c r="AB106" i="6"/>
  <c r="AC106" i="6"/>
  <c r="AI106" i="6"/>
  <c r="AJ106" i="6"/>
  <c r="AK106" i="6"/>
  <c r="AA107" i="6"/>
  <c r="AB107" i="6"/>
  <c r="AC107" i="6"/>
  <c r="AI107" i="6"/>
  <c r="AJ107" i="6"/>
  <c r="AK107" i="6"/>
  <c r="AA108" i="6"/>
  <c r="AB108" i="6"/>
  <c r="AC108" i="6"/>
  <c r="AI108" i="6"/>
  <c r="AJ108" i="6"/>
  <c r="AK108" i="6"/>
  <c r="AA109" i="6"/>
  <c r="AB109" i="6"/>
  <c r="AC109" i="6"/>
  <c r="AI109" i="6"/>
  <c r="AJ109" i="6"/>
  <c r="AK109" i="6"/>
  <c r="AA110" i="6"/>
  <c r="AB110" i="6"/>
  <c r="AC110" i="6"/>
  <c r="AI110" i="6"/>
  <c r="AJ110" i="6"/>
  <c r="AK110" i="6"/>
  <c r="AA111" i="6"/>
  <c r="AB111" i="6"/>
  <c r="AC111" i="6"/>
  <c r="AI111" i="6"/>
  <c r="AJ111" i="6"/>
  <c r="AK111" i="6"/>
  <c r="AA112" i="6"/>
  <c r="AB112" i="6"/>
  <c r="AC112" i="6"/>
  <c r="AI112" i="6"/>
  <c r="AJ112" i="6"/>
  <c r="AK112" i="6"/>
  <c r="AA113" i="6"/>
  <c r="AB113" i="6"/>
  <c r="AC113" i="6"/>
  <c r="AI113" i="6"/>
  <c r="AJ113" i="6"/>
  <c r="AK113" i="6"/>
  <c r="AA114" i="6"/>
  <c r="AB114" i="6"/>
  <c r="AC114" i="6"/>
  <c r="AI114" i="6"/>
  <c r="AJ114" i="6"/>
  <c r="AK114" i="6"/>
  <c r="AA115" i="6"/>
  <c r="AB115" i="6"/>
  <c r="AC115" i="6"/>
  <c r="AI115" i="6"/>
  <c r="AJ115" i="6"/>
  <c r="AK115" i="6"/>
  <c r="AA116" i="6"/>
  <c r="AB116" i="6"/>
  <c r="AC116" i="6"/>
  <c r="AI116" i="6"/>
  <c r="AJ116" i="6"/>
  <c r="AK116" i="6"/>
  <c r="AA117" i="6"/>
  <c r="AB117" i="6"/>
  <c r="AC117" i="6"/>
  <c r="AI117" i="6"/>
  <c r="AJ117" i="6"/>
  <c r="AK117" i="6"/>
  <c r="AA118" i="6"/>
  <c r="AB118" i="6"/>
  <c r="AC118" i="6"/>
  <c r="AI118" i="6"/>
  <c r="AJ118" i="6"/>
  <c r="AK118" i="6"/>
  <c r="AA119" i="6"/>
  <c r="AB119" i="6"/>
  <c r="AC119" i="6"/>
  <c r="AI119" i="6"/>
  <c r="AJ119" i="6"/>
  <c r="AK119" i="6"/>
  <c r="AA120" i="6"/>
  <c r="AB120" i="6"/>
  <c r="AC120" i="6"/>
  <c r="AI120" i="6"/>
  <c r="AJ120" i="6"/>
  <c r="AK120" i="6"/>
  <c r="AA121" i="6"/>
  <c r="AB121" i="6"/>
  <c r="AC121" i="6"/>
  <c r="AI121" i="6"/>
  <c r="AJ121" i="6"/>
  <c r="AK121" i="6"/>
  <c r="AA122" i="6"/>
  <c r="AB122" i="6"/>
  <c r="AC122" i="6"/>
  <c r="AI122" i="6"/>
  <c r="AJ122" i="6"/>
  <c r="AK122" i="6"/>
  <c r="AA123" i="6"/>
  <c r="AB123" i="6"/>
  <c r="AC123" i="6"/>
  <c r="AI123" i="6"/>
  <c r="AJ123" i="6"/>
  <c r="AK123" i="6"/>
  <c r="AA124" i="6"/>
  <c r="AB124" i="6"/>
  <c r="AC124" i="6"/>
  <c r="AI124" i="6"/>
  <c r="AJ124" i="6"/>
  <c r="AK124" i="6"/>
  <c r="AA125" i="6"/>
  <c r="AB125" i="6"/>
  <c r="AC125" i="6"/>
  <c r="AI125" i="6"/>
  <c r="AJ125" i="6"/>
  <c r="AK125" i="6"/>
  <c r="AA126" i="6"/>
  <c r="AB126" i="6"/>
  <c r="AC126" i="6"/>
  <c r="AI126" i="6"/>
  <c r="AJ126" i="6"/>
  <c r="AK126" i="6"/>
  <c r="AA127" i="6"/>
  <c r="AB127" i="6"/>
  <c r="AC127" i="6"/>
  <c r="AI127" i="6"/>
  <c r="AJ127" i="6"/>
  <c r="AK127" i="6"/>
  <c r="AA128" i="6"/>
  <c r="AB128" i="6"/>
  <c r="AC128" i="6"/>
  <c r="AI128" i="6"/>
  <c r="AJ128" i="6"/>
  <c r="AK128" i="6"/>
  <c r="AA129" i="6"/>
  <c r="AB129" i="6"/>
  <c r="AC129" i="6"/>
  <c r="AI129" i="6"/>
  <c r="AJ129" i="6"/>
  <c r="AK129" i="6"/>
  <c r="AA130" i="6"/>
  <c r="AB130" i="6"/>
  <c r="AC130" i="6"/>
  <c r="AI130" i="6"/>
  <c r="AJ130" i="6"/>
  <c r="AK130" i="6"/>
  <c r="AA131" i="6"/>
  <c r="AB131" i="6"/>
  <c r="AC131" i="6"/>
  <c r="AI131" i="6"/>
  <c r="AJ131" i="6"/>
  <c r="AK131" i="6"/>
  <c r="AA132" i="6"/>
  <c r="AB132" i="6"/>
  <c r="AC132" i="6"/>
  <c r="AI132" i="6"/>
  <c r="AJ132" i="6"/>
  <c r="AK132" i="6"/>
  <c r="AA133" i="6"/>
  <c r="AB133" i="6"/>
  <c r="AC133" i="6"/>
  <c r="AI133" i="6"/>
  <c r="AJ133" i="6"/>
  <c r="AK133" i="6"/>
  <c r="AA134" i="6"/>
  <c r="AB134" i="6"/>
  <c r="AC134" i="6"/>
  <c r="AI134" i="6"/>
  <c r="AJ134" i="6"/>
  <c r="AK134" i="6"/>
  <c r="AA135" i="6"/>
  <c r="AB135" i="6"/>
  <c r="AC135" i="6"/>
  <c r="AI135" i="6"/>
  <c r="AJ135" i="6"/>
  <c r="AK135" i="6"/>
  <c r="AA136" i="6"/>
  <c r="AB136" i="6"/>
  <c r="AC136" i="6"/>
  <c r="AI136" i="6"/>
  <c r="AJ136" i="6"/>
  <c r="AK136" i="6"/>
  <c r="AA137" i="6"/>
  <c r="AB137" i="6"/>
  <c r="AC137" i="6"/>
  <c r="AI137" i="6"/>
  <c r="AJ137" i="6"/>
  <c r="AK137" i="6"/>
  <c r="AA138" i="6"/>
  <c r="AB138" i="6"/>
  <c r="AC138" i="6"/>
  <c r="AI138" i="6"/>
  <c r="AJ138" i="6"/>
  <c r="AK138" i="6"/>
  <c r="AA139" i="6"/>
  <c r="AB139" i="6"/>
  <c r="AC139" i="6"/>
  <c r="AI139" i="6"/>
  <c r="AJ139" i="6"/>
  <c r="AK139" i="6"/>
  <c r="AA140" i="6"/>
  <c r="AB140" i="6"/>
  <c r="AC140" i="6"/>
  <c r="AI140" i="6"/>
  <c r="AJ140" i="6"/>
  <c r="AK140" i="6"/>
  <c r="AA141" i="6"/>
  <c r="AB141" i="6"/>
  <c r="AC141" i="6"/>
  <c r="AI141" i="6"/>
  <c r="AJ141" i="6"/>
  <c r="AK141" i="6"/>
  <c r="AA142" i="6"/>
  <c r="AB142" i="6"/>
  <c r="AC142" i="6"/>
  <c r="AI142" i="6"/>
  <c r="AJ142" i="6"/>
  <c r="AK142" i="6"/>
  <c r="AA143" i="6"/>
  <c r="AB143" i="6"/>
  <c r="AC143" i="6"/>
  <c r="AI143" i="6"/>
  <c r="AJ143" i="6"/>
  <c r="AK143" i="6"/>
  <c r="AA144" i="6"/>
  <c r="AB144" i="6"/>
  <c r="AC144" i="6"/>
  <c r="AI144" i="6"/>
  <c r="AJ144" i="6"/>
  <c r="AK144" i="6"/>
  <c r="AA145" i="6"/>
  <c r="AB145" i="6"/>
  <c r="AC145" i="6"/>
  <c r="AI145" i="6"/>
  <c r="AJ145" i="6"/>
  <c r="AK145" i="6"/>
  <c r="AA146" i="6"/>
  <c r="AB146" i="6"/>
  <c r="AC146" i="6"/>
  <c r="AI146" i="6"/>
  <c r="AJ146" i="6"/>
  <c r="AK146" i="6"/>
  <c r="AA147" i="6"/>
  <c r="AB147" i="6"/>
  <c r="AC147" i="6"/>
  <c r="AI147" i="6"/>
  <c r="AJ147" i="6"/>
  <c r="AK147" i="6"/>
  <c r="AA148" i="6"/>
  <c r="AB148" i="6"/>
  <c r="AC148" i="6"/>
  <c r="AI148" i="6"/>
  <c r="AJ148" i="6"/>
  <c r="AK148" i="6"/>
  <c r="AA149" i="6"/>
  <c r="AB149" i="6"/>
  <c r="AC149" i="6"/>
  <c r="AI149" i="6"/>
  <c r="AJ149" i="6"/>
  <c r="AK149" i="6"/>
  <c r="AA150" i="6"/>
  <c r="AB150" i="6"/>
  <c r="AC150" i="6"/>
  <c r="AI150" i="6"/>
  <c r="AJ150" i="6"/>
  <c r="AK150" i="6"/>
  <c r="AA151" i="6"/>
  <c r="AB151" i="6"/>
  <c r="AC151" i="6"/>
  <c r="AI151" i="6"/>
  <c r="AJ151" i="6"/>
  <c r="AK151" i="6"/>
  <c r="AA152" i="6"/>
  <c r="AB152" i="6"/>
  <c r="AC152" i="6"/>
  <c r="AI152" i="6"/>
  <c r="AJ152" i="6"/>
  <c r="AK152" i="6"/>
  <c r="AA153" i="6"/>
  <c r="AB153" i="6"/>
  <c r="AC153" i="6"/>
  <c r="AI153" i="6"/>
  <c r="AJ153" i="6"/>
  <c r="AK153" i="6"/>
  <c r="AA154" i="6"/>
  <c r="AB154" i="6"/>
  <c r="AC154" i="6"/>
  <c r="AI154" i="6"/>
  <c r="AJ154" i="6"/>
  <c r="AK154" i="6"/>
  <c r="AA155" i="6"/>
  <c r="AB155" i="6"/>
  <c r="AC155" i="6"/>
  <c r="AI155" i="6"/>
  <c r="AJ155" i="6"/>
  <c r="AK155" i="6"/>
  <c r="AA156" i="6"/>
  <c r="AB156" i="6"/>
  <c r="AC156" i="6"/>
  <c r="AI156" i="6"/>
  <c r="AJ156" i="6"/>
  <c r="AK156" i="6"/>
  <c r="AA157" i="6"/>
  <c r="AB157" i="6"/>
  <c r="AC157" i="6"/>
  <c r="AI157" i="6"/>
  <c r="AJ157" i="6"/>
  <c r="AK157" i="6"/>
  <c r="AA158" i="6"/>
  <c r="AB158" i="6"/>
  <c r="AC158" i="6"/>
  <c r="AI158" i="6"/>
  <c r="AJ158" i="6"/>
  <c r="AK158" i="6"/>
  <c r="AA159" i="6"/>
  <c r="AB159" i="6"/>
  <c r="AC159" i="6"/>
  <c r="AI159" i="6"/>
  <c r="AJ159" i="6"/>
  <c r="AK159" i="6"/>
  <c r="AA160" i="6"/>
  <c r="AB160" i="6"/>
  <c r="AC160" i="6"/>
  <c r="AI160" i="6"/>
  <c r="AJ160" i="6"/>
  <c r="AK160" i="6"/>
  <c r="AA161" i="6"/>
  <c r="AB161" i="6"/>
  <c r="AC161" i="6"/>
  <c r="AI161" i="6"/>
  <c r="AJ161" i="6"/>
  <c r="AK161" i="6"/>
  <c r="AA162" i="6"/>
  <c r="AB162" i="6"/>
  <c r="AC162" i="6"/>
  <c r="AI162" i="6"/>
  <c r="AJ162" i="6"/>
  <c r="AK162" i="6"/>
  <c r="AA163" i="6"/>
  <c r="AB163" i="6"/>
  <c r="AC163" i="6"/>
  <c r="AI163" i="6"/>
  <c r="AJ163" i="6"/>
  <c r="AK163" i="6"/>
  <c r="AA164" i="6"/>
  <c r="AB164" i="6"/>
  <c r="AC164" i="6"/>
  <c r="AI164" i="6"/>
  <c r="AJ164" i="6"/>
  <c r="AK164" i="6"/>
  <c r="AA165" i="6"/>
  <c r="AB165" i="6"/>
  <c r="AC165" i="6"/>
  <c r="AI165" i="6"/>
  <c r="AJ165" i="6"/>
  <c r="AK165" i="6"/>
  <c r="AA166" i="6"/>
  <c r="AB166" i="6"/>
  <c r="AC166" i="6"/>
  <c r="AI166" i="6"/>
  <c r="AJ166" i="6"/>
  <c r="AK166" i="6"/>
  <c r="AA167" i="6"/>
  <c r="AB167" i="6"/>
  <c r="AC167" i="6"/>
  <c r="AI167" i="6"/>
  <c r="AJ167" i="6"/>
  <c r="AK167" i="6"/>
  <c r="AA168" i="6"/>
  <c r="AB168" i="6"/>
  <c r="AC168" i="6"/>
  <c r="AI168" i="6"/>
  <c r="AJ168" i="6"/>
  <c r="AK168" i="6"/>
  <c r="AA169" i="6"/>
  <c r="AB169" i="6"/>
  <c r="AC169" i="6"/>
  <c r="AI169" i="6"/>
  <c r="AJ169" i="6"/>
  <c r="AK169" i="6"/>
  <c r="AA170" i="6"/>
  <c r="AB170" i="6"/>
  <c r="AC170" i="6"/>
  <c r="AI170" i="6"/>
  <c r="AJ170" i="6"/>
  <c r="AK170" i="6"/>
  <c r="AA171" i="6"/>
  <c r="AB171" i="6"/>
  <c r="AC171" i="6"/>
  <c r="AI171" i="6"/>
  <c r="AJ171" i="6"/>
  <c r="AK171" i="6"/>
  <c r="AA172" i="6"/>
  <c r="AB172" i="6"/>
  <c r="AC172" i="6"/>
  <c r="AI172" i="6"/>
  <c r="AJ172" i="6"/>
  <c r="AK172" i="6"/>
  <c r="AA173" i="6"/>
  <c r="AB173" i="6"/>
  <c r="AC173" i="6"/>
  <c r="AI173" i="6"/>
  <c r="AJ173" i="6"/>
  <c r="AK173" i="6"/>
  <c r="AA174" i="6"/>
  <c r="AB174" i="6"/>
  <c r="AC174" i="6"/>
  <c r="AI174" i="6"/>
  <c r="AJ174" i="6"/>
  <c r="AK174" i="6"/>
  <c r="AA175" i="6"/>
  <c r="AB175" i="6"/>
  <c r="AC175" i="6"/>
  <c r="AI175" i="6"/>
  <c r="AJ175" i="6"/>
  <c r="AK175" i="6"/>
  <c r="AA176" i="6"/>
  <c r="AB176" i="6"/>
  <c r="AC176" i="6"/>
  <c r="AI176" i="6"/>
  <c r="AJ176" i="6"/>
  <c r="AK176" i="6"/>
  <c r="AA177" i="6"/>
  <c r="AB177" i="6"/>
  <c r="AC177" i="6"/>
  <c r="AI177" i="6"/>
  <c r="AJ177" i="6"/>
  <c r="AK177" i="6"/>
  <c r="AA178" i="6"/>
  <c r="AB178" i="6"/>
  <c r="AC178" i="6"/>
  <c r="AI178" i="6"/>
  <c r="AJ178" i="6"/>
  <c r="AK178" i="6"/>
  <c r="AA179" i="6"/>
  <c r="AB179" i="6"/>
  <c r="AC179" i="6"/>
  <c r="AI179" i="6"/>
  <c r="AJ179" i="6"/>
  <c r="AK179" i="6"/>
  <c r="AA180" i="6"/>
  <c r="AB180" i="6"/>
  <c r="AC180" i="6"/>
  <c r="AI180" i="6"/>
  <c r="AJ180" i="6"/>
  <c r="AK180" i="6"/>
  <c r="AA181" i="6"/>
  <c r="AB181" i="6"/>
  <c r="AC181" i="6"/>
  <c r="AI181" i="6"/>
  <c r="AJ181" i="6"/>
  <c r="AK181" i="6"/>
  <c r="AA182" i="6"/>
  <c r="AB182" i="6"/>
  <c r="AC182" i="6"/>
  <c r="AI182" i="6"/>
  <c r="AJ182" i="6"/>
  <c r="AK182" i="6"/>
  <c r="AA183" i="6"/>
  <c r="AB183" i="6"/>
  <c r="AC183" i="6"/>
  <c r="AI183" i="6"/>
  <c r="AJ183" i="6"/>
  <c r="AK183" i="6"/>
  <c r="AA184" i="6"/>
  <c r="AB184" i="6"/>
  <c r="AC184" i="6"/>
  <c r="AI184" i="6"/>
  <c r="AJ184" i="6"/>
  <c r="AK184" i="6"/>
  <c r="AA185" i="6"/>
  <c r="AB185" i="6"/>
  <c r="AC185" i="6"/>
  <c r="AI185" i="6"/>
  <c r="AJ185" i="6"/>
  <c r="AK185" i="6"/>
  <c r="AA186" i="6"/>
  <c r="AB186" i="6"/>
  <c r="AC186" i="6"/>
  <c r="AI186" i="6"/>
  <c r="AJ186" i="6"/>
  <c r="AK186" i="6"/>
  <c r="AA187" i="6"/>
  <c r="AB187" i="6"/>
  <c r="AC187" i="6"/>
  <c r="AI187" i="6"/>
  <c r="AJ187" i="6"/>
  <c r="AK187" i="6"/>
  <c r="AA188" i="6"/>
  <c r="AB188" i="6"/>
  <c r="AC188" i="6"/>
  <c r="AI188" i="6"/>
  <c r="AJ188" i="6"/>
  <c r="AK188" i="6"/>
  <c r="AA189" i="6"/>
  <c r="AB189" i="6"/>
  <c r="AC189" i="6"/>
  <c r="AI189" i="6"/>
  <c r="AJ189" i="6"/>
  <c r="AK189" i="6"/>
  <c r="AA190" i="6"/>
  <c r="AB190" i="6"/>
  <c r="AC190" i="6"/>
  <c r="AI190" i="6"/>
  <c r="AJ190" i="6"/>
  <c r="AK190" i="6"/>
  <c r="AA191" i="6"/>
  <c r="AB191" i="6"/>
  <c r="AC191" i="6"/>
  <c r="AI191" i="6"/>
  <c r="AJ191" i="6"/>
  <c r="AK191" i="6"/>
  <c r="AA192" i="6"/>
  <c r="AB192" i="6"/>
  <c r="AC192" i="6"/>
  <c r="AI192" i="6"/>
  <c r="AJ192" i="6"/>
  <c r="AK192" i="6"/>
  <c r="AA193" i="6"/>
  <c r="AB193" i="6"/>
  <c r="AC193" i="6"/>
  <c r="AI193" i="6"/>
  <c r="AJ193" i="6"/>
  <c r="AK193" i="6"/>
  <c r="AA194" i="6"/>
  <c r="AB194" i="6"/>
  <c r="AC194" i="6"/>
  <c r="AI194" i="6"/>
  <c r="AJ194" i="6"/>
  <c r="AK194" i="6"/>
  <c r="AA195" i="6"/>
  <c r="AB195" i="6"/>
  <c r="AC195" i="6"/>
  <c r="AI195" i="6"/>
  <c r="AJ195" i="6"/>
  <c r="AK195" i="6"/>
  <c r="AA196" i="6"/>
  <c r="AB196" i="6"/>
  <c r="AC196" i="6"/>
  <c r="AI196" i="6"/>
  <c r="AJ196" i="6"/>
  <c r="AK196" i="6"/>
  <c r="AA197" i="6"/>
  <c r="AB197" i="6"/>
  <c r="AC197" i="6"/>
  <c r="AI197" i="6"/>
  <c r="AJ197" i="6"/>
  <c r="AK197" i="6"/>
  <c r="AA198" i="6"/>
  <c r="AB198" i="6"/>
  <c r="AC198" i="6"/>
  <c r="AI198" i="6"/>
  <c r="AJ198" i="6"/>
  <c r="AK198" i="6"/>
  <c r="AA199" i="6"/>
  <c r="AB199" i="6"/>
  <c r="AC199" i="6"/>
  <c r="AI199" i="6"/>
  <c r="AJ199" i="6"/>
  <c r="AK199" i="6"/>
  <c r="AA200" i="6"/>
  <c r="AB200" i="6"/>
  <c r="AC200" i="6"/>
  <c r="AI200" i="6"/>
  <c r="AJ200" i="6"/>
  <c r="AK200" i="6"/>
  <c r="AA201" i="6"/>
  <c r="AB201" i="6"/>
  <c r="AC201" i="6"/>
  <c r="AI201" i="6"/>
  <c r="AJ201" i="6"/>
  <c r="AK201" i="6"/>
  <c r="AA202" i="6"/>
  <c r="AB202" i="6"/>
  <c r="AC202" i="6"/>
  <c r="AI202" i="6"/>
  <c r="AJ202" i="6"/>
  <c r="AK202" i="6"/>
  <c r="AA203" i="6"/>
  <c r="AB203" i="6"/>
  <c r="AC203" i="6"/>
  <c r="AI203" i="6"/>
  <c r="AJ203" i="6"/>
  <c r="AK203" i="6"/>
  <c r="AA204" i="6"/>
  <c r="AB204" i="6"/>
  <c r="AC204" i="6"/>
  <c r="AI204" i="6"/>
  <c r="AJ204" i="6"/>
  <c r="AK204" i="6"/>
  <c r="AA205" i="6"/>
  <c r="AB205" i="6"/>
  <c r="AC205" i="6"/>
  <c r="AI205" i="6"/>
  <c r="AJ205" i="6"/>
  <c r="AK205" i="6"/>
  <c r="AA206" i="6"/>
  <c r="AB206" i="6"/>
  <c r="AC206" i="6"/>
  <c r="AI206" i="6"/>
  <c r="AJ206" i="6"/>
  <c r="AK206" i="6"/>
  <c r="AA207" i="6"/>
  <c r="AB207" i="6"/>
  <c r="AC207" i="6"/>
  <c r="AI207" i="6"/>
  <c r="AJ207" i="6"/>
  <c r="AK207" i="6"/>
  <c r="AA208" i="6"/>
  <c r="AB208" i="6"/>
  <c r="AC208" i="6"/>
  <c r="AI208" i="6"/>
  <c r="AJ208" i="6"/>
  <c r="AK208" i="6"/>
  <c r="AA209" i="6"/>
  <c r="AB209" i="6"/>
  <c r="AC209" i="6"/>
  <c r="AI209" i="6"/>
  <c r="AJ209" i="6"/>
  <c r="AK209" i="6"/>
  <c r="AA210" i="6"/>
  <c r="AB210" i="6"/>
  <c r="AC210" i="6"/>
  <c r="AI210" i="6"/>
  <c r="AJ210" i="6"/>
  <c r="AK210" i="6"/>
  <c r="AA211" i="6"/>
  <c r="AB211" i="6"/>
  <c r="AC211" i="6"/>
  <c r="AI211" i="6"/>
  <c r="AJ211" i="6"/>
  <c r="AK211" i="6"/>
  <c r="AA212" i="6"/>
  <c r="AB212" i="6"/>
  <c r="AC212" i="6"/>
  <c r="AI212" i="6"/>
  <c r="AJ212" i="6"/>
  <c r="AK212" i="6"/>
  <c r="AA213" i="6"/>
  <c r="AB213" i="6"/>
  <c r="AC213" i="6"/>
  <c r="AI213" i="6"/>
  <c r="AJ213" i="6"/>
  <c r="AK213" i="6"/>
  <c r="AA214" i="6"/>
  <c r="AB214" i="6"/>
  <c r="AC214" i="6"/>
  <c r="AI214" i="6"/>
  <c r="AJ214" i="6"/>
  <c r="AK214" i="6"/>
  <c r="AA215" i="6"/>
  <c r="AB215" i="6"/>
  <c r="AC215" i="6"/>
  <c r="AI215" i="6"/>
  <c r="AJ215" i="6"/>
  <c r="AK215" i="6"/>
  <c r="AA216" i="6"/>
  <c r="AB216" i="6"/>
  <c r="AC216" i="6"/>
  <c r="AI216" i="6"/>
  <c r="AJ216" i="6"/>
  <c r="AK216" i="6"/>
  <c r="AA217" i="6"/>
  <c r="AB217" i="6"/>
  <c r="AC217" i="6"/>
  <c r="AI217" i="6"/>
  <c r="AJ217" i="6"/>
  <c r="AK217" i="6"/>
  <c r="AA218" i="6"/>
  <c r="AB218" i="6"/>
  <c r="AC218" i="6"/>
  <c r="AI218" i="6"/>
  <c r="AJ218" i="6"/>
  <c r="AK218" i="6"/>
  <c r="AA219" i="6"/>
  <c r="AB219" i="6"/>
  <c r="AC219" i="6"/>
  <c r="AI219" i="6"/>
  <c r="AJ219" i="6"/>
  <c r="AK219" i="6"/>
  <c r="AA220" i="6"/>
  <c r="AB220" i="6"/>
  <c r="AC220" i="6"/>
  <c r="AI220" i="6"/>
  <c r="AJ220" i="6"/>
  <c r="AK220" i="6"/>
  <c r="AA221" i="6"/>
  <c r="AB221" i="6"/>
  <c r="AC221" i="6"/>
  <c r="AI221" i="6"/>
  <c r="AJ221" i="6"/>
  <c r="AK221" i="6"/>
  <c r="AA222" i="6"/>
  <c r="AB222" i="6"/>
  <c r="AC222" i="6"/>
  <c r="AI222" i="6"/>
  <c r="AJ222" i="6"/>
  <c r="AK222" i="6"/>
  <c r="AA223" i="6"/>
  <c r="AB223" i="6"/>
  <c r="AC223" i="6"/>
  <c r="AI223" i="6"/>
  <c r="AJ223" i="6"/>
  <c r="AK223" i="6"/>
  <c r="AA224" i="6"/>
  <c r="AB224" i="6"/>
  <c r="AC224" i="6"/>
  <c r="AI224" i="6"/>
  <c r="AJ224" i="6"/>
  <c r="AK224" i="6"/>
  <c r="AA225" i="6"/>
  <c r="AB225" i="6"/>
  <c r="AC225" i="6"/>
  <c r="AI225" i="6"/>
  <c r="AJ225" i="6"/>
  <c r="AK225" i="6"/>
  <c r="AA226" i="6"/>
  <c r="AB226" i="6"/>
  <c r="AC226" i="6"/>
  <c r="AI226" i="6"/>
  <c r="AJ226" i="6"/>
  <c r="AK226" i="6"/>
  <c r="AA227" i="6"/>
  <c r="AB227" i="6"/>
  <c r="AC227" i="6"/>
  <c r="AI227" i="6"/>
  <c r="AJ227" i="6"/>
  <c r="AK227" i="6"/>
  <c r="AA228" i="6"/>
  <c r="AB228" i="6"/>
  <c r="AC228" i="6"/>
  <c r="AI228" i="6"/>
  <c r="AJ228" i="6"/>
  <c r="AK228" i="6"/>
  <c r="AA229" i="6"/>
  <c r="AB229" i="6"/>
  <c r="AC229" i="6"/>
  <c r="AI229" i="6"/>
  <c r="AJ229" i="6"/>
  <c r="AK229" i="6"/>
  <c r="AA230" i="6"/>
  <c r="AB230" i="6"/>
  <c r="AC230" i="6"/>
  <c r="AI230" i="6"/>
  <c r="AJ230" i="6"/>
  <c r="AK230" i="6"/>
  <c r="AA231" i="6"/>
  <c r="AB231" i="6"/>
  <c r="AC231" i="6"/>
  <c r="AI231" i="6"/>
  <c r="AJ231" i="6"/>
  <c r="AK231" i="6"/>
  <c r="AA232" i="6"/>
  <c r="AB232" i="6"/>
  <c r="AC232" i="6"/>
  <c r="AI232" i="6"/>
  <c r="AJ232" i="6"/>
  <c r="AK232" i="6"/>
  <c r="AA233" i="6"/>
  <c r="AB233" i="6"/>
  <c r="AC233" i="6"/>
  <c r="AI233" i="6"/>
  <c r="AJ233" i="6"/>
  <c r="AK233" i="6"/>
  <c r="AA234" i="6"/>
  <c r="AB234" i="6"/>
  <c r="AC234" i="6"/>
  <c r="AI234" i="6"/>
  <c r="AJ234" i="6"/>
  <c r="AK234" i="6"/>
  <c r="AA235" i="6"/>
  <c r="AB235" i="6"/>
  <c r="AC235" i="6"/>
  <c r="AI235" i="6"/>
  <c r="AJ235" i="6"/>
  <c r="AK235" i="6"/>
  <c r="AA236" i="6"/>
  <c r="AB236" i="6"/>
  <c r="AC236" i="6"/>
  <c r="AI236" i="6"/>
  <c r="AJ236" i="6"/>
  <c r="AK236" i="6"/>
  <c r="AA237" i="6"/>
  <c r="AB237" i="6"/>
  <c r="AC237" i="6"/>
  <c r="AI237" i="6"/>
  <c r="AJ237" i="6"/>
  <c r="AK237" i="6"/>
  <c r="AA238" i="6"/>
  <c r="AB238" i="6"/>
  <c r="AC238" i="6"/>
  <c r="AI238" i="6"/>
  <c r="AJ238" i="6"/>
  <c r="AK238" i="6"/>
  <c r="AA239" i="6"/>
  <c r="AB239" i="6"/>
  <c r="AC239" i="6"/>
  <c r="AI239" i="6"/>
  <c r="AJ239" i="6"/>
  <c r="AK239" i="6"/>
  <c r="AA240" i="6"/>
  <c r="AB240" i="6"/>
  <c r="AC240" i="6"/>
  <c r="AI240" i="6"/>
  <c r="AJ240" i="6"/>
  <c r="AK240" i="6"/>
  <c r="AA241" i="6"/>
  <c r="AB241" i="6"/>
  <c r="AC241" i="6"/>
  <c r="AI241" i="6"/>
  <c r="AJ241" i="6"/>
  <c r="AK241" i="6"/>
  <c r="AA242" i="6"/>
  <c r="AB242" i="6"/>
  <c r="AC242" i="6"/>
  <c r="AI242" i="6"/>
  <c r="AJ242" i="6"/>
  <c r="AK242" i="6"/>
  <c r="AA243" i="6"/>
  <c r="AB243" i="6"/>
  <c r="AC243" i="6"/>
  <c r="AI243" i="6"/>
  <c r="AJ243" i="6"/>
  <c r="AK243" i="6"/>
  <c r="AA244" i="6"/>
  <c r="AB244" i="6"/>
  <c r="AC244" i="6"/>
  <c r="AI244" i="6"/>
  <c r="AJ244" i="6"/>
  <c r="AK244" i="6"/>
  <c r="AA245" i="6"/>
  <c r="AB245" i="6"/>
  <c r="AC245" i="6"/>
  <c r="AI245" i="6"/>
  <c r="AJ245" i="6"/>
  <c r="AK245" i="6"/>
  <c r="AA246" i="6"/>
  <c r="AB246" i="6"/>
  <c r="AC246" i="6"/>
  <c r="AI246" i="6"/>
  <c r="AJ246" i="6"/>
  <c r="AK246" i="6"/>
  <c r="AA247" i="6"/>
  <c r="AB247" i="6"/>
  <c r="AC247" i="6"/>
  <c r="AI247" i="6"/>
  <c r="AJ247" i="6"/>
  <c r="AK247" i="6"/>
  <c r="AA248" i="6"/>
  <c r="AB248" i="6"/>
  <c r="AC248" i="6"/>
  <c r="AI248" i="6"/>
  <c r="AJ248" i="6"/>
  <c r="AK248" i="6"/>
  <c r="AA249" i="6"/>
  <c r="AB249" i="6"/>
  <c r="AC249" i="6"/>
  <c r="AI249" i="6"/>
  <c r="AJ249" i="6"/>
  <c r="AK249" i="6"/>
  <c r="AA250" i="6"/>
  <c r="AB250" i="6"/>
  <c r="AC250" i="6"/>
  <c r="AI250" i="6"/>
  <c r="AJ250" i="6"/>
  <c r="AK250" i="6"/>
  <c r="AA251" i="6"/>
  <c r="AB251" i="6"/>
  <c r="AC251" i="6"/>
  <c r="AI251" i="6"/>
  <c r="AJ251" i="6"/>
  <c r="AK251" i="6"/>
  <c r="AA252" i="6"/>
  <c r="AB252" i="6"/>
  <c r="AC252" i="6"/>
  <c r="AI252" i="6"/>
  <c r="AJ252" i="6"/>
  <c r="AK252" i="6"/>
  <c r="AA253" i="6"/>
  <c r="AB253" i="6"/>
  <c r="AC253" i="6"/>
  <c r="AI253" i="6"/>
  <c r="AJ253" i="6"/>
  <c r="AK253" i="6"/>
  <c r="AA254" i="6"/>
  <c r="AB254" i="6"/>
  <c r="AC254" i="6"/>
  <c r="AI254" i="6"/>
  <c r="AJ254" i="6"/>
  <c r="AK254" i="6"/>
  <c r="AA255" i="6"/>
  <c r="AB255" i="6"/>
  <c r="AC255" i="6"/>
  <c r="AI255" i="6"/>
  <c r="AJ255" i="6"/>
  <c r="AK255" i="6"/>
  <c r="AA256" i="6"/>
  <c r="AB256" i="6"/>
  <c r="AC256" i="6"/>
  <c r="AI256" i="6"/>
  <c r="AJ256" i="6"/>
  <c r="AK256" i="6"/>
  <c r="AA257" i="6"/>
  <c r="AB257" i="6"/>
  <c r="AC257" i="6"/>
  <c r="AI257" i="6"/>
  <c r="AJ257" i="6"/>
  <c r="AK257" i="6"/>
  <c r="AA258" i="6"/>
  <c r="AB258" i="6"/>
  <c r="AC258" i="6"/>
  <c r="AI258" i="6"/>
  <c r="AJ258" i="6"/>
  <c r="AK258" i="6"/>
  <c r="AA259" i="6"/>
  <c r="AB259" i="6"/>
  <c r="AC259" i="6"/>
  <c r="AI259" i="6"/>
  <c r="AJ259" i="6"/>
  <c r="AK259" i="6"/>
  <c r="AA260" i="6"/>
  <c r="AB260" i="6"/>
  <c r="AC260" i="6"/>
  <c r="AI260" i="6"/>
  <c r="AJ260" i="6"/>
  <c r="AK260" i="6"/>
  <c r="AA261" i="6"/>
  <c r="AB261" i="6"/>
  <c r="AC261" i="6"/>
  <c r="AI261" i="6"/>
  <c r="AJ261" i="6"/>
  <c r="AK261" i="6"/>
  <c r="AA262" i="6"/>
  <c r="AB262" i="6"/>
  <c r="AC262" i="6"/>
  <c r="AI262" i="6"/>
  <c r="AJ262" i="6"/>
  <c r="AK262" i="6"/>
  <c r="AA263" i="6"/>
  <c r="AB263" i="6"/>
  <c r="AC263" i="6"/>
  <c r="AI263" i="6"/>
  <c r="AJ263" i="6"/>
  <c r="AK263" i="6"/>
  <c r="AA264" i="6"/>
  <c r="AB264" i="6"/>
  <c r="AC264" i="6"/>
  <c r="AI264" i="6"/>
  <c r="AJ264" i="6"/>
  <c r="AK264" i="6"/>
  <c r="AA265" i="6"/>
  <c r="AB265" i="6"/>
  <c r="AC265" i="6"/>
  <c r="AI265" i="6"/>
  <c r="AJ265" i="6"/>
  <c r="AK265" i="6"/>
  <c r="AA266" i="6"/>
  <c r="AB266" i="6"/>
  <c r="AC266" i="6"/>
  <c r="AI266" i="6"/>
  <c r="AJ266" i="6"/>
  <c r="AK266" i="6"/>
  <c r="AA267" i="6"/>
  <c r="AB267" i="6"/>
  <c r="AC267" i="6"/>
  <c r="AI267" i="6"/>
  <c r="AJ267" i="6"/>
  <c r="AK267" i="6"/>
  <c r="AA268" i="6"/>
  <c r="AB268" i="6"/>
  <c r="AC268" i="6"/>
  <c r="AI268" i="6"/>
  <c r="AJ268" i="6"/>
  <c r="AK268" i="6"/>
  <c r="AA269" i="6"/>
  <c r="AB269" i="6"/>
  <c r="AC269" i="6"/>
  <c r="AI269" i="6"/>
  <c r="AJ269" i="6"/>
  <c r="AK269" i="6"/>
  <c r="AA270" i="6"/>
  <c r="AB270" i="6"/>
  <c r="AC270" i="6"/>
  <c r="AI270" i="6"/>
  <c r="AJ270" i="6"/>
  <c r="AK270" i="6"/>
  <c r="AA271" i="6"/>
  <c r="AB271" i="6"/>
  <c r="AC271" i="6"/>
  <c r="AI271" i="6"/>
  <c r="AJ271" i="6"/>
  <c r="AK271" i="6"/>
  <c r="AA272" i="6"/>
  <c r="AB272" i="6"/>
  <c r="AC272" i="6"/>
  <c r="AI272" i="6"/>
  <c r="AJ272" i="6"/>
  <c r="AK272" i="6"/>
  <c r="AA273" i="6"/>
  <c r="AB273" i="6"/>
  <c r="AC273" i="6"/>
  <c r="AI273" i="6"/>
  <c r="AJ273" i="6"/>
  <c r="AK273" i="6"/>
  <c r="AA274" i="6"/>
  <c r="AB274" i="6"/>
  <c r="AC274" i="6"/>
  <c r="AI274" i="6"/>
  <c r="AJ274" i="6"/>
  <c r="AK274" i="6"/>
  <c r="AA275" i="6"/>
  <c r="AB275" i="6"/>
  <c r="AC275" i="6"/>
  <c r="AI275" i="6"/>
  <c r="AJ275" i="6"/>
  <c r="AK275" i="6"/>
  <c r="AA276" i="6"/>
  <c r="AB276" i="6"/>
  <c r="AC276" i="6"/>
  <c r="AI276" i="6"/>
  <c r="AJ276" i="6"/>
  <c r="AK276" i="6"/>
  <c r="AA277" i="6"/>
  <c r="AB277" i="6"/>
  <c r="AC277" i="6"/>
  <c r="AI277" i="6"/>
  <c r="AJ277" i="6"/>
  <c r="AK277" i="6"/>
  <c r="AA278" i="6"/>
  <c r="AB278" i="6"/>
  <c r="AC278" i="6"/>
  <c r="AI278" i="6"/>
  <c r="AJ278" i="6"/>
  <c r="AK278" i="6"/>
  <c r="AA279" i="6"/>
  <c r="AB279" i="6"/>
  <c r="AC279" i="6"/>
  <c r="AI279" i="6"/>
  <c r="AJ279" i="6"/>
  <c r="AK279" i="6"/>
  <c r="AA280" i="6"/>
  <c r="AB280" i="6"/>
  <c r="AC280" i="6"/>
  <c r="AI280" i="6"/>
  <c r="AJ280" i="6"/>
  <c r="AK280" i="6"/>
  <c r="AA281" i="6"/>
  <c r="AB281" i="6"/>
  <c r="AC281" i="6"/>
  <c r="AI281" i="6"/>
  <c r="AJ281" i="6"/>
  <c r="AK281" i="6"/>
  <c r="AA282" i="6"/>
  <c r="AB282" i="6"/>
  <c r="AC282" i="6"/>
  <c r="AI282" i="6"/>
  <c r="AJ282" i="6"/>
  <c r="AK282" i="6"/>
  <c r="AA283" i="6"/>
  <c r="AB283" i="6"/>
  <c r="AC283" i="6"/>
  <c r="AI283" i="6"/>
  <c r="AJ283" i="6"/>
  <c r="AK283" i="6"/>
  <c r="AA284" i="6"/>
  <c r="AB284" i="6"/>
  <c r="AC284" i="6"/>
  <c r="AI284" i="6"/>
  <c r="AJ284" i="6"/>
  <c r="AK284" i="6"/>
  <c r="AA285" i="6"/>
  <c r="AB285" i="6"/>
  <c r="AC285" i="6"/>
  <c r="AI285" i="6"/>
  <c r="AJ285" i="6"/>
  <c r="AK285" i="6"/>
  <c r="AA286" i="6"/>
  <c r="AB286" i="6"/>
  <c r="AC286" i="6"/>
  <c r="AI286" i="6"/>
  <c r="AJ286" i="6"/>
  <c r="AK286" i="6"/>
  <c r="AA287" i="6"/>
  <c r="AB287" i="6"/>
  <c r="AC287" i="6"/>
  <c r="AI287" i="6"/>
  <c r="AJ287" i="6"/>
  <c r="AK287" i="6"/>
  <c r="AA288" i="6"/>
  <c r="AB288" i="6"/>
  <c r="AC288" i="6"/>
  <c r="AI288" i="6"/>
  <c r="AJ288" i="6"/>
  <c r="AK288" i="6"/>
  <c r="AA289" i="6"/>
  <c r="AB289" i="6"/>
  <c r="AC289" i="6"/>
  <c r="AI289" i="6"/>
  <c r="AJ289" i="6"/>
  <c r="AK289" i="6"/>
  <c r="AA290" i="6"/>
  <c r="AB290" i="6"/>
  <c r="AC290" i="6"/>
  <c r="AI290" i="6"/>
  <c r="AJ290" i="6"/>
  <c r="AK290" i="6"/>
  <c r="AA291" i="6"/>
  <c r="AB291" i="6"/>
  <c r="AC291" i="6"/>
  <c r="AI291" i="6"/>
  <c r="AJ291" i="6"/>
  <c r="AK291" i="6"/>
  <c r="AA292" i="6"/>
  <c r="AB292" i="6"/>
  <c r="AC292" i="6"/>
  <c r="AI292" i="6"/>
  <c r="AJ292" i="6"/>
  <c r="AK292" i="6"/>
  <c r="AA293" i="6"/>
  <c r="AB293" i="6"/>
  <c r="AC293" i="6"/>
  <c r="AI293" i="6"/>
  <c r="AJ293" i="6"/>
  <c r="AK293" i="6"/>
  <c r="AA294" i="6"/>
  <c r="AB294" i="6"/>
  <c r="AC294" i="6"/>
  <c r="AI294" i="6"/>
  <c r="AJ294" i="6"/>
  <c r="AK294" i="6"/>
  <c r="AA295" i="6"/>
  <c r="AB295" i="6"/>
  <c r="AC295" i="6"/>
  <c r="AI295" i="6"/>
  <c r="AJ295" i="6"/>
  <c r="AK295" i="6"/>
  <c r="AA296" i="6"/>
  <c r="AB296" i="6"/>
  <c r="AC296" i="6"/>
  <c r="AI296" i="6"/>
  <c r="AJ296" i="6"/>
  <c r="AK296" i="6"/>
  <c r="AA297" i="6"/>
  <c r="AB297" i="6"/>
  <c r="AC297" i="6"/>
  <c r="AI297" i="6"/>
  <c r="AJ297" i="6"/>
  <c r="AK297" i="6"/>
  <c r="AA298" i="6"/>
  <c r="AB298" i="6"/>
  <c r="AC298" i="6"/>
  <c r="AI298" i="6"/>
  <c r="AJ298" i="6"/>
  <c r="AK298" i="6"/>
  <c r="AA299" i="6"/>
  <c r="AB299" i="6"/>
  <c r="AC299" i="6"/>
  <c r="AI299" i="6"/>
  <c r="AJ299" i="6"/>
  <c r="AK299" i="6"/>
  <c r="AA300" i="6"/>
  <c r="AB300" i="6"/>
  <c r="AC300" i="6"/>
  <c r="AI300" i="6"/>
  <c r="AJ300" i="6"/>
  <c r="AK300" i="6"/>
  <c r="AA301" i="6"/>
  <c r="AB301" i="6"/>
  <c r="AC301" i="6"/>
  <c r="AI301" i="6"/>
  <c r="AJ301" i="6"/>
  <c r="AK301" i="6"/>
  <c r="AA302" i="6"/>
  <c r="AB302" i="6"/>
  <c r="AC302" i="6"/>
  <c r="AI302" i="6"/>
  <c r="AJ302" i="6"/>
  <c r="AK302" i="6"/>
  <c r="AA303" i="6"/>
  <c r="AB303" i="6"/>
  <c r="AC303" i="6"/>
  <c r="AI303" i="6"/>
  <c r="AJ303" i="6"/>
  <c r="AK303" i="6"/>
  <c r="AA304" i="6"/>
  <c r="AB304" i="6"/>
  <c r="AC304" i="6"/>
  <c r="AI304" i="6"/>
  <c r="AJ304" i="6"/>
  <c r="AK304" i="6"/>
  <c r="AA305" i="6"/>
  <c r="AB305" i="6"/>
  <c r="AC305" i="6"/>
  <c r="AI305" i="6"/>
  <c r="AJ305" i="6"/>
  <c r="AK305" i="6"/>
  <c r="AA306" i="6"/>
  <c r="AB306" i="6"/>
  <c r="AC306" i="6"/>
  <c r="AI306" i="6"/>
  <c r="AJ306" i="6"/>
  <c r="AK306" i="6"/>
  <c r="AA307" i="6"/>
  <c r="AB307" i="6"/>
  <c r="AC307" i="6"/>
  <c r="AI307" i="6"/>
  <c r="AJ307" i="6"/>
  <c r="AK307" i="6"/>
  <c r="AA308" i="6"/>
  <c r="AB308" i="6"/>
  <c r="AC308" i="6"/>
  <c r="AI308" i="6"/>
  <c r="AJ308" i="6"/>
  <c r="AK308" i="6"/>
  <c r="AA309" i="6"/>
  <c r="AB309" i="6"/>
  <c r="AC309" i="6"/>
  <c r="AI309" i="6"/>
  <c r="AJ309" i="6"/>
  <c r="AK309" i="6"/>
  <c r="AA310" i="6"/>
  <c r="AB310" i="6"/>
  <c r="AC310" i="6"/>
  <c r="AI310" i="6"/>
  <c r="AJ310" i="6"/>
  <c r="AK310" i="6"/>
  <c r="AA311" i="6"/>
  <c r="AB311" i="6"/>
  <c r="AC311" i="6"/>
  <c r="AI311" i="6"/>
  <c r="AJ311" i="6"/>
  <c r="AK311" i="6"/>
  <c r="AA312" i="6"/>
  <c r="AB312" i="6"/>
  <c r="AC312" i="6"/>
  <c r="AI312" i="6"/>
  <c r="AJ312" i="6"/>
  <c r="AK312" i="6"/>
  <c r="AA313" i="6"/>
  <c r="AB313" i="6"/>
  <c r="AC313" i="6"/>
  <c r="AI313" i="6"/>
  <c r="AJ313" i="6"/>
  <c r="AK313" i="6"/>
  <c r="AA314" i="6"/>
  <c r="AB314" i="6"/>
  <c r="AC314" i="6"/>
  <c r="AI314" i="6"/>
  <c r="AJ314" i="6"/>
  <c r="AK314" i="6"/>
  <c r="AA315" i="6"/>
  <c r="AB315" i="6"/>
  <c r="AC315" i="6"/>
  <c r="AI315" i="6"/>
  <c r="AJ315" i="6"/>
  <c r="AK315" i="6"/>
  <c r="AA316" i="6"/>
  <c r="AB316" i="6"/>
  <c r="AC316" i="6"/>
  <c r="AI316" i="6"/>
  <c r="AJ316" i="6"/>
  <c r="AK316" i="6"/>
  <c r="AA317" i="6"/>
  <c r="AB317" i="6"/>
  <c r="AC317" i="6"/>
  <c r="AI317" i="6"/>
  <c r="AJ317" i="6"/>
  <c r="AK317" i="6"/>
  <c r="AA318" i="6"/>
  <c r="AB318" i="6"/>
  <c r="AC318" i="6"/>
  <c r="AI318" i="6"/>
  <c r="AJ318" i="6"/>
  <c r="AK318" i="6"/>
  <c r="AA319" i="6"/>
  <c r="AB319" i="6"/>
  <c r="AC319" i="6"/>
  <c r="AI319" i="6"/>
  <c r="AJ319" i="6"/>
  <c r="AK319" i="6"/>
  <c r="AA320" i="6"/>
  <c r="AB320" i="6"/>
  <c r="AC320" i="6"/>
  <c r="AI320" i="6"/>
  <c r="AJ320" i="6"/>
  <c r="AK320" i="6"/>
  <c r="AA321" i="6"/>
  <c r="AB321" i="6"/>
  <c r="AC321" i="6"/>
  <c r="AI321" i="6"/>
  <c r="AJ321" i="6"/>
  <c r="AK321" i="6"/>
  <c r="AA322" i="6"/>
  <c r="AB322" i="6"/>
  <c r="AC322" i="6"/>
  <c r="AI322" i="6"/>
  <c r="AJ322" i="6"/>
  <c r="AK322" i="6"/>
  <c r="AA323" i="6"/>
  <c r="AB323" i="6"/>
  <c r="AC323" i="6"/>
  <c r="AI323" i="6"/>
  <c r="AJ323" i="6"/>
  <c r="AK323" i="6"/>
  <c r="AA324" i="6"/>
  <c r="AB324" i="6"/>
  <c r="AC324" i="6"/>
  <c r="AI324" i="6"/>
  <c r="AJ324" i="6"/>
  <c r="AK324" i="6"/>
  <c r="AA325" i="6"/>
  <c r="AB325" i="6"/>
  <c r="AC325" i="6"/>
  <c r="AI325" i="6"/>
  <c r="AJ325" i="6"/>
  <c r="AK325" i="6"/>
  <c r="AA326" i="6"/>
  <c r="AB326" i="6"/>
  <c r="AC326" i="6"/>
  <c r="AI326" i="6"/>
  <c r="AJ326" i="6"/>
  <c r="AK326" i="6"/>
  <c r="AA327" i="6"/>
  <c r="AB327" i="6"/>
  <c r="AC327" i="6"/>
  <c r="AI327" i="6"/>
  <c r="AJ327" i="6"/>
  <c r="AK327" i="6"/>
  <c r="AA328" i="6"/>
  <c r="AB328" i="6"/>
  <c r="AC328" i="6"/>
  <c r="AI328" i="6"/>
  <c r="AJ328" i="6"/>
  <c r="AK328" i="6"/>
  <c r="AA329" i="6"/>
  <c r="AB329" i="6"/>
  <c r="AC329" i="6"/>
  <c r="AI329" i="6"/>
  <c r="AJ329" i="6"/>
  <c r="AK329" i="6"/>
  <c r="AA330" i="6"/>
  <c r="AB330" i="6"/>
  <c r="AC330" i="6"/>
  <c r="AI330" i="6"/>
  <c r="AJ330" i="6"/>
  <c r="AK330" i="6"/>
  <c r="AA331" i="6"/>
  <c r="AB331" i="6"/>
  <c r="AC331" i="6"/>
  <c r="AI331" i="6"/>
  <c r="AJ331" i="6"/>
  <c r="AK331" i="6"/>
  <c r="AA332" i="6"/>
  <c r="AB332" i="6"/>
  <c r="AC332" i="6"/>
  <c r="AI332" i="6"/>
  <c r="AJ332" i="6"/>
  <c r="AK332" i="6"/>
  <c r="AA333" i="6"/>
  <c r="AB333" i="6"/>
  <c r="AC333" i="6"/>
  <c r="AI333" i="6"/>
  <c r="AJ333" i="6"/>
  <c r="AK333" i="6"/>
  <c r="AA334" i="6"/>
  <c r="AB334" i="6"/>
  <c r="AC334" i="6"/>
  <c r="AI334" i="6"/>
  <c r="AJ334" i="6"/>
  <c r="AK334" i="6"/>
  <c r="AA335" i="6"/>
  <c r="AB335" i="6"/>
  <c r="AC335" i="6"/>
  <c r="AI335" i="6"/>
  <c r="AJ335" i="6"/>
  <c r="AK335" i="6"/>
  <c r="AA336" i="6"/>
  <c r="AB336" i="6"/>
  <c r="AC336" i="6"/>
  <c r="AI336" i="6"/>
  <c r="AJ336" i="6"/>
  <c r="AK336" i="6"/>
  <c r="AA337" i="6"/>
  <c r="AB337" i="6"/>
  <c r="AC337" i="6"/>
  <c r="AI337" i="6"/>
  <c r="AJ337" i="6"/>
  <c r="AK337" i="6"/>
  <c r="AA338" i="6"/>
  <c r="AB338" i="6"/>
  <c r="AC338" i="6"/>
  <c r="AI338" i="6"/>
  <c r="AJ338" i="6"/>
  <c r="AK338" i="6"/>
  <c r="AA339" i="6"/>
  <c r="AB339" i="6"/>
  <c r="AC339" i="6"/>
  <c r="AI339" i="6"/>
  <c r="AJ339" i="6"/>
  <c r="AK339" i="6"/>
  <c r="AA340" i="6"/>
  <c r="AB340" i="6"/>
  <c r="AC340" i="6"/>
  <c r="AI340" i="6"/>
  <c r="AJ340" i="6"/>
  <c r="AK340" i="6"/>
  <c r="AA341" i="6"/>
  <c r="AB341" i="6"/>
  <c r="AC341" i="6"/>
  <c r="AI341" i="6"/>
  <c r="AJ341" i="6"/>
  <c r="AK341" i="6"/>
  <c r="AA342" i="6"/>
  <c r="AB342" i="6"/>
  <c r="AC342" i="6"/>
  <c r="AI342" i="6"/>
  <c r="AJ342" i="6"/>
  <c r="AK342" i="6"/>
  <c r="AA343" i="6"/>
  <c r="AB343" i="6"/>
  <c r="AC343" i="6"/>
  <c r="AI343" i="6"/>
  <c r="AJ343" i="6"/>
  <c r="AK343" i="6"/>
  <c r="AA344" i="6"/>
  <c r="AB344" i="6"/>
  <c r="AC344" i="6"/>
  <c r="AI344" i="6"/>
  <c r="AJ344" i="6"/>
  <c r="AK344" i="6"/>
  <c r="AA345" i="6"/>
  <c r="AB345" i="6"/>
  <c r="AC345" i="6"/>
  <c r="AI345" i="6"/>
  <c r="AJ345" i="6"/>
  <c r="AK345" i="6"/>
  <c r="AA346" i="6"/>
  <c r="AB346" i="6"/>
  <c r="AC346" i="6"/>
  <c r="AI346" i="6"/>
  <c r="AJ346" i="6"/>
  <c r="AK346" i="6"/>
  <c r="AA347" i="6"/>
  <c r="AB347" i="6"/>
  <c r="AC347" i="6"/>
  <c r="AI347" i="6"/>
  <c r="AJ347" i="6"/>
  <c r="AK347" i="6"/>
  <c r="AA348" i="6"/>
  <c r="AB348" i="6"/>
  <c r="AC348" i="6"/>
  <c r="AI348" i="6"/>
  <c r="AJ348" i="6"/>
  <c r="AK348" i="6"/>
  <c r="AA349" i="6"/>
  <c r="AB349" i="6"/>
  <c r="AC349" i="6"/>
  <c r="AI349" i="6"/>
  <c r="AJ349" i="6"/>
  <c r="AK349" i="6"/>
  <c r="AA350" i="6"/>
  <c r="AB350" i="6"/>
  <c r="AC350" i="6"/>
  <c r="AI350" i="6"/>
  <c r="AJ350" i="6"/>
  <c r="AK350" i="6"/>
  <c r="AA351" i="6"/>
  <c r="AB351" i="6"/>
  <c r="AC351" i="6"/>
  <c r="AI351" i="6"/>
  <c r="AJ351" i="6"/>
  <c r="AK351" i="6"/>
  <c r="AA352" i="6"/>
  <c r="AB352" i="6"/>
  <c r="AC352" i="6"/>
  <c r="AI352" i="6"/>
  <c r="AJ352" i="6"/>
  <c r="AK352" i="6"/>
  <c r="AA353" i="6"/>
  <c r="AB353" i="6"/>
  <c r="AC353" i="6"/>
  <c r="AI353" i="6"/>
  <c r="AJ353" i="6"/>
  <c r="AK353" i="6"/>
  <c r="AA354" i="6"/>
  <c r="AB354" i="6"/>
  <c r="AC354" i="6"/>
  <c r="AI354" i="6"/>
  <c r="AJ354" i="6"/>
  <c r="AK354" i="6"/>
  <c r="AA355" i="6"/>
  <c r="AB355" i="6"/>
  <c r="AC355" i="6"/>
  <c r="AI355" i="6"/>
  <c r="AJ355" i="6"/>
  <c r="AK355" i="6"/>
  <c r="AA356" i="6"/>
  <c r="AB356" i="6"/>
  <c r="AC356" i="6"/>
  <c r="AI356" i="6"/>
  <c r="AJ356" i="6"/>
  <c r="AK356" i="6"/>
  <c r="AA357" i="6"/>
  <c r="AB357" i="6"/>
  <c r="AC357" i="6"/>
  <c r="AI357" i="6"/>
  <c r="AJ357" i="6"/>
  <c r="AK357" i="6"/>
  <c r="AA358" i="6"/>
  <c r="AB358" i="6"/>
  <c r="AC358" i="6"/>
  <c r="AI358" i="6"/>
  <c r="AJ358" i="6"/>
  <c r="AK358" i="6"/>
  <c r="AA359" i="6"/>
  <c r="AB359" i="6"/>
  <c r="AC359" i="6"/>
  <c r="AI359" i="6"/>
  <c r="AJ359" i="6"/>
  <c r="AK359" i="6"/>
  <c r="AA360" i="6"/>
  <c r="AB360" i="6"/>
  <c r="AC360" i="6"/>
  <c r="AI360" i="6"/>
  <c r="AJ360" i="6"/>
  <c r="AK360" i="6"/>
  <c r="AA361" i="6"/>
  <c r="AB361" i="6"/>
  <c r="AC361" i="6"/>
  <c r="AI361" i="6"/>
  <c r="AJ361" i="6"/>
  <c r="AK361" i="6"/>
  <c r="AA362" i="6"/>
  <c r="AB362" i="6"/>
  <c r="AC362" i="6"/>
  <c r="AI362" i="6"/>
  <c r="AJ362" i="6"/>
  <c r="AK362" i="6"/>
  <c r="AA363" i="6"/>
  <c r="AB363" i="6"/>
  <c r="AC363" i="6"/>
  <c r="AI363" i="6"/>
  <c r="AJ363" i="6"/>
  <c r="AK363" i="6"/>
  <c r="AA364" i="6"/>
  <c r="AB364" i="6"/>
  <c r="AC364" i="6"/>
  <c r="AI364" i="6"/>
  <c r="AJ364" i="6"/>
  <c r="AK364" i="6"/>
  <c r="AA365" i="6"/>
  <c r="AB365" i="6"/>
  <c r="AC365" i="6"/>
  <c r="AI365" i="6"/>
  <c r="AJ365" i="6"/>
  <c r="AK365" i="6"/>
  <c r="AA366" i="6"/>
  <c r="AB366" i="6"/>
  <c r="AC366" i="6"/>
  <c r="AI366" i="6"/>
  <c r="AJ366" i="6"/>
  <c r="AK366" i="6"/>
  <c r="AA367" i="6"/>
  <c r="AB367" i="6"/>
  <c r="AC367" i="6"/>
  <c r="AI367" i="6"/>
  <c r="AJ367" i="6"/>
  <c r="AK367" i="6"/>
  <c r="B7" i="12"/>
  <c r="D7" i="12"/>
  <c r="I7" i="12"/>
  <c r="K7" i="12"/>
  <c r="T7" i="12"/>
  <c r="U7" i="12"/>
  <c r="AB7" i="12"/>
  <c r="AC7" i="12"/>
  <c r="AJ7" i="12"/>
  <c r="AM7" i="12"/>
  <c r="AP7" i="12"/>
  <c r="B8" i="12"/>
  <c r="D8" i="12"/>
  <c r="I8" i="12"/>
  <c r="K8" i="12"/>
  <c r="T8" i="12"/>
  <c r="U8" i="12"/>
  <c r="AB8" i="12"/>
  <c r="AC8" i="12"/>
  <c r="AJ8" i="12"/>
  <c r="AM8" i="12"/>
  <c r="AP8" i="12"/>
  <c r="F12" i="12"/>
  <c r="G12" i="12"/>
  <c r="L12" i="12"/>
  <c r="W12" i="12"/>
  <c r="X12" i="12"/>
  <c r="Y12" i="12"/>
  <c r="F13" i="12"/>
  <c r="G13" i="12"/>
  <c r="L13" i="12"/>
  <c r="W13" i="12"/>
  <c r="X13" i="12"/>
  <c r="Y13" i="12"/>
  <c r="F14" i="12"/>
  <c r="G14" i="12"/>
  <c r="L14" i="12"/>
  <c r="W14" i="12"/>
  <c r="X14" i="12"/>
  <c r="Y14" i="12"/>
  <c r="F15" i="12"/>
  <c r="G15" i="12"/>
  <c r="L15" i="12"/>
  <c r="W15" i="12"/>
  <c r="X15" i="12"/>
  <c r="Y15" i="12"/>
  <c r="F16" i="12"/>
  <c r="G16" i="12"/>
  <c r="L16" i="12"/>
  <c r="W16" i="12"/>
  <c r="X16" i="12"/>
  <c r="Y16" i="12"/>
  <c r="F17" i="12"/>
  <c r="G17" i="12"/>
  <c r="L17" i="12"/>
  <c r="W17" i="12"/>
  <c r="X17" i="12"/>
  <c r="Y17" i="12"/>
  <c r="F18" i="12"/>
  <c r="G18" i="12"/>
  <c r="L18" i="12"/>
  <c r="W18" i="12"/>
  <c r="X18" i="12"/>
  <c r="Y18" i="12"/>
  <c r="F19" i="12"/>
  <c r="G19" i="12"/>
  <c r="L19" i="12"/>
  <c r="W19" i="12"/>
  <c r="X19" i="12"/>
  <c r="Y19" i="12"/>
  <c r="F20" i="12"/>
  <c r="G20" i="12"/>
  <c r="L20" i="12"/>
  <c r="W20" i="12"/>
  <c r="X20" i="12"/>
  <c r="Y20" i="12"/>
  <c r="F21" i="12"/>
  <c r="G21" i="12"/>
  <c r="L21" i="12"/>
  <c r="W21" i="12"/>
  <c r="X21" i="12"/>
  <c r="Y21" i="12"/>
  <c r="F22" i="12"/>
  <c r="G22" i="12"/>
  <c r="L22" i="12"/>
  <c r="W22" i="12"/>
  <c r="X22" i="12"/>
  <c r="Y22" i="12"/>
  <c r="F23" i="12"/>
  <c r="G23" i="12"/>
  <c r="L23" i="12"/>
  <c r="W23" i="12"/>
  <c r="X23" i="12"/>
  <c r="Y23" i="12"/>
  <c r="F24" i="12"/>
  <c r="G24" i="12"/>
  <c r="L24" i="12"/>
  <c r="W24" i="12"/>
  <c r="X24" i="12"/>
  <c r="Y24" i="12"/>
  <c r="F25" i="12"/>
  <c r="G25" i="12"/>
  <c r="L25" i="12"/>
  <c r="W25" i="12"/>
  <c r="X25" i="12"/>
  <c r="Y25" i="12"/>
  <c r="F26" i="12"/>
  <c r="G26" i="12"/>
  <c r="L26" i="12"/>
  <c r="W26" i="12"/>
  <c r="X26" i="12"/>
  <c r="Y26" i="12"/>
  <c r="F27" i="12"/>
  <c r="G27" i="12"/>
  <c r="L27" i="12"/>
  <c r="W27" i="12"/>
  <c r="X27" i="12"/>
  <c r="Y27" i="12"/>
  <c r="F28" i="12"/>
  <c r="G28" i="12"/>
  <c r="L28" i="12"/>
  <c r="W28" i="12"/>
  <c r="X28" i="12"/>
  <c r="Y28" i="12"/>
  <c r="F29" i="12"/>
  <c r="G29" i="12"/>
  <c r="L29" i="12"/>
  <c r="W29" i="12"/>
  <c r="X29" i="12"/>
  <c r="Y29" i="12"/>
  <c r="F30" i="12"/>
  <c r="G30" i="12"/>
  <c r="L30" i="12"/>
  <c r="W30" i="12"/>
  <c r="X30" i="12"/>
  <c r="Y30" i="12"/>
  <c r="F31" i="12"/>
  <c r="G31" i="12"/>
  <c r="L31" i="12"/>
  <c r="W31" i="12"/>
  <c r="X31" i="12"/>
  <c r="Y31" i="12"/>
  <c r="F32" i="12"/>
  <c r="G32" i="12"/>
  <c r="L32" i="12"/>
  <c r="W32" i="12"/>
  <c r="X32" i="12"/>
  <c r="Y32" i="12"/>
  <c r="F33" i="12"/>
  <c r="G33" i="12"/>
  <c r="L33" i="12"/>
  <c r="W33" i="12"/>
  <c r="X33" i="12"/>
  <c r="Y33" i="12"/>
  <c r="F34" i="12"/>
  <c r="G34" i="12"/>
  <c r="L34" i="12"/>
  <c r="W34" i="12"/>
  <c r="X34" i="12"/>
  <c r="Y34" i="12"/>
  <c r="F35" i="12"/>
  <c r="G35" i="12"/>
  <c r="L35" i="12"/>
  <c r="W35" i="12"/>
  <c r="X35" i="12"/>
  <c r="Y35" i="12"/>
  <c r="F36" i="12"/>
  <c r="G36" i="12"/>
  <c r="L36" i="12"/>
  <c r="W36" i="12"/>
  <c r="X36" i="12"/>
  <c r="Y36" i="12"/>
  <c r="F37" i="12"/>
  <c r="G37" i="12"/>
  <c r="L37" i="12"/>
  <c r="W37" i="12"/>
  <c r="X37" i="12"/>
  <c r="Y37" i="12"/>
  <c r="F38" i="12"/>
  <c r="G38" i="12"/>
  <c r="L38" i="12"/>
  <c r="W38" i="12"/>
  <c r="X38" i="12"/>
  <c r="Y38" i="12"/>
  <c r="F39" i="12"/>
  <c r="G39" i="12"/>
  <c r="L39" i="12"/>
  <c r="W39" i="12"/>
  <c r="X39" i="12"/>
  <c r="Y39" i="12"/>
  <c r="F40" i="12"/>
  <c r="G40" i="12"/>
  <c r="L40" i="12"/>
  <c r="W40" i="12"/>
  <c r="X40" i="12"/>
  <c r="Y40" i="12"/>
  <c r="F41" i="12"/>
  <c r="G41" i="12"/>
  <c r="L41" i="12"/>
  <c r="W41" i="12"/>
  <c r="X41" i="12"/>
  <c r="Y41" i="12"/>
  <c r="F42" i="12"/>
  <c r="G42" i="12"/>
  <c r="L42" i="12"/>
  <c r="W42" i="12"/>
  <c r="X42" i="12"/>
  <c r="Y42" i="12"/>
  <c r="F43" i="12"/>
  <c r="G43" i="12"/>
  <c r="L43" i="12"/>
  <c r="W43" i="12"/>
  <c r="X43" i="12"/>
  <c r="Y43" i="12"/>
  <c r="F44" i="12"/>
  <c r="G44" i="12"/>
  <c r="L44" i="12"/>
  <c r="W44" i="12"/>
  <c r="X44" i="12"/>
  <c r="Y44" i="12"/>
  <c r="F45" i="12"/>
  <c r="G45" i="12"/>
  <c r="L45" i="12"/>
  <c r="W45" i="12"/>
  <c r="X45" i="12"/>
  <c r="Y45" i="12"/>
  <c r="F46" i="12"/>
  <c r="G46" i="12"/>
  <c r="L46" i="12"/>
  <c r="W46" i="12"/>
  <c r="X46" i="12"/>
  <c r="Y46" i="12"/>
  <c r="F47" i="12"/>
  <c r="G47" i="12"/>
  <c r="L47" i="12"/>
  <c r="W47" i="12"/>
  <c r="X47" i="12"/>
  <c r="Y47" i="12"/>
  <c r="F48" i="12"/>
  <c r="G48" i="12"/>
  <c r="L48" i="12"/>
  <c r="W48" i="12"/>
  <c r="X48" i="12"/>
  <c r="Y48" i="12"/>
  <c r="F49" i="12"/>
  <c r="G49" i="12"/>
  <c r="L49" i="12"/>
  <c r="W49" i="12"/>
  <c r="X49" i="12"/>
  <c r="Y49" i="12"/>
  <c r="F50" i="12"/>
  <c r="G50" i="12"/>
  <c r="L50" i="12"/>
  <c r="W50" i="12"/>
  <c r="X50" i="12"/>
  <c r="Y50" i="12"/>
  <c r="F51" i="12"/>
  <c r="G51" i="12"/>
  <c r="L51" i="12"/>
  <c r="W51" i="12"/>
  <c r="X51" i="12"/>
  <c r="Y51" i="12"/>
  <c r="F52" i="12"/>
  <c r="G52" i="12"/>
  <c r="L52" i="12"/>
  <c r="W52" i="12"/>
  <c r="X52" i="12"/>
  <c r="Y52" i="12"/>
  <c r="F53" i="12"/>
  <c r="G53" i="12"/>
  <c r="L53" i="12"/>
  <c r="W53" i="12"/>
  <c r="X53" i="12"/>
  <c r="Y53" i="12"/>
  <c r="F54" i="12"/>
  <c r="G54" i="12"/>
  <c r="L54" i="12"/>
  <c r="W54" i="12"/>
  <c r="X54" i="12"/>
  <c r="Y54" i="12"/>
  <c r="F55" i="12"/>
  <c r="G55" i="12"/>
  <c r="L55" i="12"/>
  <c r="W55" i="12"/>
  <c r="X55" i="12"/>
  <c r="Y55" i="12"/>
  <c r="F56" i="12"/>
  <c r="G56" i="12"/>
  <c r="L56" i="12"/>
  <c r="W56" i="12"/>
  <c r="X56" i="12"/>
  <c r="Y56" i="12"/>
  <c r="F57" i="12"/>
  <c r="G57" i="12"/>
  <c r="L57" i="12"/>
  <c r="W57" i="12"/>
  <c r="X57" i="12"/>
  <c r="Y57" i="12"/>
  <c r="F58" i="12"/>
  <c r="G58" i="12"/>
  <c r="L58" i="12"/>
  <c r="W58" i="12"/>
  <c r="X58" i="12"/>
  <c r="Y58" i="12"/>
  <c r="F59" i="12"/>
  <c r="G59" i="12"/>
  <c r="L59" i="12"/>
  <c r="W59" i="12"/>
  <c r="X59" i="12"/>
  <c r="Y59" i="12"/>
  <c r="F60" i="12"/>
  <c r="G60" i="12"/>
  <c r="L60" i="12"/>
  <c r="W60" i="12"/>
  <c r="X60" i="12"/>
  <c r="Y60" i="12"/>
  <c r="F61" i="12"/>
  <c r="G61" i="12"/>
  <c r="L61" i="12"/>
  <c r="W61" i="12"/>
  <c r="X61" i="12"/>
  <c r="Y61" i="12"/>
  <c r="F62" i="12"/>
  <c r="G62" i="12"/>
  <c r="L62" i="12"/>
  <c r="W62" i="12"/>
  <c r="X62" i="12"/>
  <c r="Y62" i="12"/>
  <c r="F63" i="12"/>
  <c r="G63" i="12"/>
  <c r="L63" i="12"/>
  <c r="W63" i="12"/>
  <c r="X63" i="12"/>
  <c r="Y63" i="12"/>
  <c r="F64" i="12"/>
  <c r="G64" i="12"/>
  <c r="L64" i="12"/>
  <c r="W64" i="12"/>
  <c r="X64" i="12"/>
  <c r="Y64" i="12"/>
  <c r="F65" i="12"/>
  <c r="G65" i="12"/>
  <c r="L65" i="12"/>
  <c r="W65" i="12"/>
  <c r="X65" i="12"/>
  <c r="Y65" i="12"/>
  <c r="F66" i="12"/>
  <c r="G66" i="12"/>
  <c r="L66" i="12"/>
  <c r="W66" i="12"/>
  <c r="X66" i="12"/>
  <c r="Y66" i="12"/>
  <c r="F67" i="12"/>
  <c r="G67" i="12"/>
  <c r="L67" i="12"/>
  <c r="W67" i="12"/>
  <c r="X67" i="12"/>
  <c r="Y67" i="12"/>
  <c r="F68" i="12"/>
  <c r="G68" i="12"/>
  <c r="L68" i="12"/>
  <c r="W68" i="12"/>
  <c r="X68" i="12"/>
  <c r="Y68" i="12"/>
  <c r="F69" i="12"/>
  <c r="G69" i="12"/>
  <c r="L69" i="12"/>
  <c r="W69" i="12"/>
  <c r="X69" i="12"/>
  <c r="Y69" i="12"/>
  <c r="F70" i="12"/>
  <c r="G70" i="12"/>
  <c r="L70" i="12"/>
  <c r="W70" i="12"/>
  <c r="X70" i="12"/>
  <c r="Y70" i="12"/>
  <c r="F71" i="12"/>
  <c r="G71" i="12"/>
  <c r="L71" i="12"/>
  <c r="W71" i="12"/>
  <c r="X71" i="12"/>
  <c r="Y71" i="12"/>
  <c r="F72" i="12"/>
  <c r="G72" i="12"/>
  <c r="L72" i="12"/>
  <c r="W72" i="12"/>
  <c r="X72" i="12"/>
  <c r="Y72" i="12"/>
  <c r="F73" i="12"/>
  <c r="G73" i="12"/>
  <c r="L73" i="12"/>
  <c r="W73" i="12"/>
  <c r="X73" i="12"/>
  <c r="Y73" i="12"/>
  <c r="F74" i="12"/>
  <c r="G74" i="12"/>
  <c r="L74" i="12"/>
  <c r="W74" i="12"/>
  <c r="X74" i="12"/>
  <c r="Y74" i="12"/>
  <c r="F75" i="12"/>
  <c r="G75" i="12"/>
  <c r="L75" i="12"/>
  <c r="W75" i="12"/>
  <c r="X75" i="12"/>
  <c r="Y75" i="12"/>
  <c r="F76" i="12"/>
  <c r="G76" i="12"/>
  <c r="L76" i="12"/>
  <c r="W76" i="12"/>
  <c r="X76" i="12"/>
  <c r="Y76" i="12"/>
  <c r="F77" i="12"/>
  <c r="G77" i="12"/>
  <c r="L77" i="12"/>
  <c r="W77" i="12"/>
  <c r="X77" i="12"/>
  <c r="Y77" i="12"/>
  <c r="F78" i="12"/>
  <c r="G78" i="12"/>
  <c r="L78" i="12"/>
  <c r="W78" i="12"/>
  <c r="X78" i="12"/>
  <c r="Y78" i="12"/>
  <c r="F79" i="12"/>
  <c r="G79" i="12"/>
  <c r="L79" i="12"/>
  <c r="W79" i="12"/>
  <c r="X79" i="12"/>
  <c r="Y79" i="12"/>
  <c r="F80" i="12"/>
  <c r="G80" i="12"/>
  <c r="L80" i="12"/>
  <c r="W80" i="12"/>
  <c r="X80" i="12"/>
  <c r="Y80" i="12"/>
  <c r="F81" i="12"/>
  <c r="G81" i="12"/>
  <c r="L81" i="12"/>
  <c r="W81" i="12"/>
  <c r="X81" i="12"/>
  <c r="Y81" i="12"/>
  <c r="F82" i="12"/>
  <c r="G82" i="12"/>
  <c r="L82" i="12"/>
  <c r="W82" i="12"/>
  <c r="X82" i="12"/>
  <c r="Y82" i="12"/>
  <c r="F83" i="12"/>
  <c r="G83" i="12"/>
  <c r="L83" i="12"/>
  <c r="W83" i="12"/>
  <c r="X83" i="12"/>
  <c r="Y83" i="12"/>
  <c r="F84" i="12"/>
  <c r="G84" i="12"/>
  <c r="L84" i="12"/>
  <c r="W84" i="12"/>
  <c r="X84" i="12"/>
  <c r="Y84" i="12"/>
  <c r="F85" i="12"/>
  <c r="G85" i="12"/>
  <c r="L85" i="12"/>
  <c r="W85" i="12"/>
  <c r="X85" i="12"/>
  <c r="Y85" i="12"/>
  <c r="F86" i="12"/>
  <c r="G86" i="12"/>
  <c r="L86" i="12"/>
  <c r="W86" i="12"/>
  <c r="X86" i="12"/>
  <c r="Y86" i="12"/>
  <c r="F87" i="12"/>
  <c r="G87" i="12"/>
  <c r="L87" i="12"/>
  <c r="W87" i="12"/>
  <c r="X87" i="12"/>
  <c r="Y87" i="12"/>
  <c r="F88" i="12"/>
  <c r="G88" i="12"/>
  <c r="L88" i="12"/>
  <c r="W88" i="12"/>
  <c r="X88" i="12"/>
  <c r="Y88" i="12"/>
  <c r="F89" i="12"/>
  <c r="G89" i="12"/>
  <c r="L89" i="12"/>
  <c r="W89" i="12"/>
  <c r="X89" i="12"/>
  <c r="Y89" i="12"/>
  <c r="F90" i="12"/>
  <c r="G90" i="12"/>
  <c r="L90" i="12"/>
  <c r="W90" i="12"/>
  <c r="X90" i="12"/>
  <c r="Y90" i="12"/>
  <c r="F91" i="12"/>
  <c r="G91" i="12"/>
  <c r="L91" i="12"/>
  <c r="W91" i="12"/>
  <c r="X91" i="12"/>
  <c r="Y91" i="12"/>
  <c r="F92" i="12"/>
  <c r="G92" i="12"/>
  <c r="L92" i="12"/>
  <c r="W92" i="12"/>
  <c r="X92" i="12"/>
  <c r="Y92" i="12"/>
  <c r="F93" i="12"/>
  <c r="G93" i="12"/>
  <c r="L93" i="12"/>
  <c r="W93" i="12"/>
  <c r="X93" i="12"/>
  <c r="Y93" i="12"/>
  <c r="F94" i="12"/>
  <c r="G94" i="12"/>
  <c r="L94" i="12"/>
  <c r="W94" i="12"/>
  <c r="X94" i="12"/>
  <c r="Y94" i="12"/>
  <c r="F95" i="12"/>
  <c r="G95" i="12"/>
  <c r="L95" i="12"/>
  <c r="W95" i="12"/>
  <c r="X95" i="12"/>
  <c r="Y95" i="12"/>
  <c r="F96" i="12"/>
  <c r="G96" i="12"/>
  <c r="L96" i="12"/>
  <c r="W96" i="12"/>
  <c r="X96" i="12"/>
  <c r="Y96" i="12"/>
  <c r="F97" i="12"/>
  <c r="G97" i="12"/>
  <c r="L97" i="12"/>
  <c r="W97" i="12"/>
  <c r="X97" i="12"/>
  <c r="Y97" i="12"/>
  <c r="F98" i="12"/>
  <c r="G98" i="12"/>
  <c r="L98" i="12"/>
  <c r="W98" i="12"/>
  <c r="X98" i="12"/>
  <c r="Y98" i="12"/>
  <c r="F99" i="12"/>
  <c r="G99" i="12"/>
  <c r="L99" i="12"/>
  <c r="W99" i="12"/>
  <c r="X99" i="12"/>
  <c r="Y99" i="12"/>
  <c r="F100" i="12"/>
  <c r="G100" i="12"/>
  <c r="L100" i="12"/>
  <c r="W100" i="12"/>
  <c r="X100" i="12"/>
  <c r="Y100" i="12"/>
  <c r="F101" i="12"/>
  <c r="G101" i="12"/>
  <c r="L101" i="12"/>
  <c r="W101" i="12"/>
  <c r="X101" i="12"/>
  <c r="Y101" i="12"/>
  <c r="F102" i="12"/>
  <c r="G102" i="12"/>
  <c r="L102" i="12"/>
  <c r="W102" i="12"/>
  <c r="X102" i="12"/>
  <c r="Y102" i="12"/>
  <c r="F103" i="12"/>
  <c r="G103" i="12"/>
  <c r="L103" i="12"/>
  <c r="W103" i="12"/>
  <c r="X103" i="12"/>
  <c r="Y103" i="12"/>
  <c r="F104" i="12"/>
  <c r="G104" i="12"/>
  <c r="L104" i="12"/>
  <c r="W104" i="12"/>
  <c r="X104" i="12"/>
  <c r="Y104" i="12"/>
  <c r="F105" i="12"/>
  <c r="G105" i="12"/>
  <c r="L105" i="12"/>
  <c r="W105" i="12"/>
  <c r="X105" i="12"/>
  <c r="Y105" i="12"/>
  <c r="F106" i="12"/>
  <c r="G106" i="12"/>
  <c r="L106" i="12"/>
  <c r="W106" i="12"/>
  <c r="X106" i="12"/>
  <c r="Y106" i="12"/>
  <c r="F107" i="12"/>
  <c r="G107" i="12"/>
  <c r="L107" i="12"/>
  <c r="W107" i="12"/>
  <c r="X107" i="12"/>
  <c r="Y107" i="12"/>
  <c r="F108" i="12"/>
  <c r="G108" i="12"/>
  <c r="L108" i="12"/>
  <c r="W108" i="12"/>
  <c r="X108" i="12"/>
  <c r="Y108" i="12"/>
  <c r="F109" i="12"/>
  <c r="G109" i="12"/>
  <c r="L109" i="12"/>
  <c r="W109" i="12"/>
  <c r="X109" i="12"/>
  <c r="Y109" i="12"/>
  <c r="F110" i="12"/>
  <c r="G110" i="12"/>
  <c r="L110" i="12"/>
  <c r="W110" i="12"/>
  <c r="X110" i="12"/>
  <c r="Y110" i="12"/>
  <c r="F111" i="12"/>
  <c r="G111" i="12"/>
  <c r="L111" i="12"/>
  <c r="W111" i="12"/>
  <c r="X111" i="12"/>
  <c r="Y111" i="12"/>
  <c r="F112" i="12"/>
  <c r="G112" i="12"/>
  <c r="L112" i="12"/>
  <c r="W112" i="12"/>
  <c r="X112" i="12"/>
  <c r="Y112" i="12"/>
  <c r="F113" i="12"/>
  <c r="G113" i="12"/>
  <c r="L113" i="12"/>
  <c r="W113" i="12"/>
  <c r="X113" i="12"/>
  <c r="Y113" i="12"/>
  <c r="F114" i="12"/>
  <c r="G114" i="12"/>
  <c r="L114" i="12"/>
  <c r="W114" i="12"/>
  <c r="X114" i="12"/>
  <c r="Y114" i="12"/>
  <c r="F115" i="12"/>
  <c r="G115" i="12"/>
  <c r="L115" i="12"/>
  <c r="W115" i="12"/>
  <c r="X115" i="12"/>
  <c r="Y115" i="12"/>
  <c r="F116" i="12"/>
  <c r="G116" i="12"/>
  <c r="L116" i="12"/>
  <c r="W116" i="12"/>
  <c r="X116" i="12"/>
  <c r="Y116" i="12"/>
  <c r="F117" i="12"/>
  <c r="G117" i="12"/>
  <c r="L117" i="12"/>
  <c r="W117" i="12"/>
  <c r="X117" i="12"/>
  <c r="Y117" i="12"/>
  <c r="F118" i="12"/>
  <c r="G118" i="12"/>
  <c r="L118" i="12"/>
  <c r="W118" i="12"/>
  <c r="X118" i="12"/>
  <c r="Y118" i="12"/>
  <c r="F119" i="12"/>
  <c r="G119" i="12"/>
  <c r="L119" i="12"/>
  <c r="W119" i="12"/>
  <c r="X119" i="12"/>
  <c r="Y119" i="12"/>
  <c r="F120" i="12"/>
  <c r="G120" i="12"/>
  <c r="L120" i="12"/>
  <c r="W120" i="12"/>
  <c r="X120" i="12"/>
  <c r="Y120" i="12"/>
  <c r="F121" i="12"/>
  <c r="G121" i="12"/>
  <c r="L121" i="12"/>
  <c r="W121" i="12"/>
  <c r="X121" i="12"/>
  <c r="Y121" i="12"/>
  <c r="F122" i="12"/>
  <c r="G122" i="12"/>
  <c r="L122" i="12"/>
  <c r="W122" i="12"/>
  <c r="X122" i="12"/>
  <c r="Y122" i="12"/>
  <c r="F123" i="12"/>
  <c r="G123" i="12"/>
  <c r="L123" i="12"/>
  <c r="W123" i="12"/>
  <c r="X123" i="12"/>
  <c r="Y123" i="12"/>
  <c r="F124" i="12"/>
  <c r="G124" i="12"/>
  <c r="L124" i="12"/>
  <c r="W124" i="12"/>
  <c r="X124" i="12"/>
  <c r="Y124" i="12"/>
  <c r="F125" i="12"/>
  <c r="G125" i="12"/>
  <c r="L125" i="12"/>
  <c r="W125" i="12"/>
  <c r="X125" i="12"/>
  <c r="Y125" i="12"/>
  <c r="F126" i="12"/>
  <c r="G126" i="12"/>
  <c r="L126" i="12"/>
  <c r="W126" i="12"/>
  <c r="X126" i="12"/>
  <c r="Y126" i="12"/>
  <c r="F127" i="12"/>
  <c r="G127" i="12"/>
  <c r="L127" i="12"/>
  <c r="W127" i="12"/>
  <c r="X127" i="12"/>
  <c r="Y127" i="12"/>
  <c r="F128" i="12"/>
  <c r="G128" i="12"/>
  <c r="L128" i="12"/>
  <c r="W128" i="12"/>
  <c r="X128" i="12"/>
  <c r="Y128" i="12"/>
  <c r="F129" i="12"/>
  <c r="G129" i="12"/>
  <c r="L129" i="12"/>
  <c r="W129" i="12"/>
  <c r="X129" i="12"/>
  <c r="Y129" i="12"/>
  <c r="F130" i="12"/>
  <c r="G130" i="12"/>
  <c r="L130" i="12"/>
  <c r="W130" i="12"/>
  <c r="X130" i="12"/>
  <c r="Y130" i="12"/>
  <c r="F131" i="12"/>
  <c r="G131" i="12"/>
  <c r="L131" i="12"/>
  <c r="W131" i="12"/>
  <c r="X131" i="12"/>
  <c r="Y131" i="12"/>
  <c r="F132" i="12"/>
  <c r="G132" i="12"/>
  <c r="L132" i="12"/>
  <c r="W132" i="12"/>
  <c r="X132" i="12"/>
  <c r="Y132" i="12"/>
  <c r="F133" i="12"/>
  <c r="G133" i="12"/>
  <c r="L133" i="12"/>
  <c r="W133" i="12"/>
  <c r="X133" i="12"/>
  <c r="Y133" i="12"/>
  <c r="F134" i="12"/>
  <c r="G134" i="12"/>
  <c r="L134" i="12"/>
  <c r="W134" i="12"/>
  <c r="X134" i="12"/>
  <c r="Y134" i="12"/>
  <c r="F135" i="12"/>
  <c r="G135" i="12"/>
  <c r="L135" i="12"/>
  <c r="W135" i="12"/>
  <c r="X135" i="12"/>
  <c r="Y135" i="12"/>
  <c r="F136" i="12"/>
  <c r="G136" i="12"/>
  <c r="L136" i="12"/>
  <c r="W136" i="12"/>
  <c r="X136" i="12"/>
  <c r="Y136" i="12"/>
  <c r="F137" i="12"/>
  <c r="G137" i="12"/>
  <c r="L137" i="12"/>
  <c r="W137" i="12"/>
  <c r="X137" i="12"/>
  <c r="Y137" i="12"/>
  <c r="F138" i="12"/>
  <c r="G138" i="12"/>
  <c r="L138" i="12"/>
  <c r="W138" i="12"/>
  <c r="X138" i="12"/>
  <c r="Y138" i="12"/>
  <c r="F139" i="12"/>
  <c r="G139" i="12"/>
  <c r="L139" i="12"/>
  <c r="W139" i="12"/>
  <c r="X139" i="12"/>
  <c r="Y139" i="12"/>
  <c r="F140" i="12"/>
  <c r="G140" i="12"/>
  <c r="L140" i="12"/>
  <c r="W140" i="12"/>
  <c r="X140" i="12"/>
  <c r="Y140" i="12"/>
  <c r="F141" i="12"/>
  <c r="G141" i="12"/>
  <c r="L141" i="12"/>
  <c r="W141" i="12"/>
  <c r="X141" i="12"/>
  <c r="Y141" i="12"/>
  <c r="F142" i="12"/>
  <c r="G142" i="12"/>
  <c r="L142" i="12"/>
  <c r="W142" i="12"/>
  <c r="X142" i="12"/>
  <c r="Y142" i="12"/>
  <c r="F143" i="12"/>
  <c r="G143" i="12"/>
  <c r="L143" i="12"/>
  <c r="W143" i="12"/>
  <c r="X143" i="12"/>
  <c r="Y143" i="12"/>
  <c r="F144" i="12"/>
  <c r="G144" i="12"/>
  <c r="L144" i="12"/>
  <c r="W144" i="12"/>
  <c r="X144" i="12"/>
  <c r="Y144" i="12"/>
  <c r="F145" i="12"/>
  <c r="G145" i="12"/>
  <c r="L145" i="12"/>
  <c r="W145" i="12"/>
  <c r="X145" i="12"/>
  <c r="Y145" i="12"/>
  <c r="F146" i="12"/>
  <c r="G146" i="12"/>
  <c r="L146" i="12"/>
  <c r="W146" i="12"/>
  <c r="X146" i="12"/>
  <c r="Y146" i="12"/>
  <c r="F147" i="12"/>
  <c r="G147" i="12"/>
  <c r="L147" i="12"/>
  <c r="W147" i="12"/>
  <c r="X147" i="12"/>
  <c r="Y147" i="12"/>
  <c r="F148" i="12"/>
  <c r="G148" i="12"/>
  <c r="L148" i="12"/>
  <c r="W148" i="12"/>
  <c r="X148" i="12"/>
  <c r="Y148" i="12"/>
  <c r="F149" i="12"/>
  <c r="G149" i="12"/>
  <c r="L149" i="12"/>
  <c r="W149" i="12"/>
  <c r="X149" i="12"/>
  <c r="Y149" i="12"/>
  <c r="F150" i="12"/>
  <c r="G150" i="12"/>
  <c r="L150" i="12"/>
  <c r="W150" i="12"/>
  <c r="X150" i="12"/>
  <c r="Y150" i="12"/>
  <c r="F151" i="12"/>
  <c r="G151" i="12"/>
  <c r="L151" i="12"/>
  <c r="W151" i="12"/>
  <c r="X151" i="12"/>
  <c r="Y151" i="12"/>
  <c r="F152" i="12"/>
  <c r="G152" i="12"/>
  <c r="L152" i="12"/>
  <c r="W152" i="12"/>
  <c r="X152" i="12"/>
  <c r="Y152" i="12"/>
  <c r="F153" i="12"/>
  <c r="G153" i="12"/>
  <c r="L153" i="12"/>
  <c r="W153" i="12"/>
  <c r="X153" i="12"/>
  <c r="Y153" i="12"/>
  <c r="F154" i="12"/>
  <c r="G154" i="12"/>
  <c r="L154" i="12"/>
  <c r="W154" i="12"/>
  <c r="X154" i="12"/>
  <c r="Y154" i="12"/>
  <c r="F155" i="12"/>
  <c r="G155" i="12"/>
  <c r="L155" i="12"/>
  <c r="W155" i="12"/>
  <c r="X155" i="12"/>
  <c r="Y155" i="12"/>
  <c r="F156" i="12"/>
  <c r="G156" i="12"/>
  <c r="L156" i="12"/>
  <c r="W156" i="12"/>
  <c r="X156" i="12"/>
  <c r="Y156" i="12"/>
  <c r="F157" i="12"/>
  <c r="G157" i="12"/>
  <c r="L157" i="12"/>
  <c r="W157" i="12"/>
  <c r="X157" i="12"/>
  <c r="Y157" i="12"/>
  <c r="F158" i="12"/>
  <c r="G158" i="12"/>
  <c r="L158" i="12"/>
  <c r="W158" i="12"/>
  <c r="X158" i="12"/>
  <c r="Y158" i="12"/>
  <c r="F159" i="12"/>
  <c r="G159" i="12"/>
  <c r="L159" i="12"/>
  <c r="W159" i="12"/>
  <c r="X159" i="12"/>
  <c r="Y159" i="12"/>
  <c r="F160" i="12"/>
  <c r="G160" i="12"/>
  <c r="L160" i="12"/>
  <c r="W160" i="12"/>
  <c r="X160" i="12"/>
  <c r="Y160" i="12"/>
  <c r="F161" i="12"/>
  <c r="G161" i="12"/>
  <c r="L161" i="12"/>
  <c r="W161" i="12"/>
  <c r="X161" i="12"/>
  <c r="Y161" i="12"/>
  <c r="F162" i="12"/>
  <c r="G162" i="12"/>
  <c r="L162" i="12"/>
  <c r="W162" i="12"/>
  <c r="X162" i="12"/>
  <c r="Y162" i="12"/>
  <c r="F163" i="12"/>
  <c r="G163" i="12"/>
  <c r="L163" i="12"/>
  <c r="W163" i="12"/>
  <c r="X163" i="12"/>
  <c r="Y163" i="12"/>
  <c r="F164" i="12"/>
  <c r="G164" i="12"/>
  <c r="L164" i="12"/>
  <c r="W164" i="12"/>
  <c r="X164" i="12"/>
  <c r="Y164" i="12"/>
  <c r="F165" i="12"/>
  <c r="G165" i="12"/>
  <c r="L165" i="12"/>
  <c r="W165" i="12"/>
  <c r="X165" i="12"/>
  <c r="Y165" i="12"/>
  <c r="F166" i="12"/>
  <c r="G166" i="12"/>
  <c r="L166" i="12"/>
  <c r="W166" i="12"/>
  <c r="X166" i="12"/>
  <c r="Y166" i="12"/>
  <c r="F167" i="12"/>
  <c r="G167" i="12"/>
  <c r="L167" i="12"/>
  <c r="W167" i="12"/>
  <c r="X167" i="12"/>
  <c r="Y167" i="12"/>
  <c r="F168" i="12"/>
  <c r="G168" i="12"/>
  <c r="L168" i="12"/>
  <c r="W168" i="12"/>
  <c r="X168" i="12"/>
  <c r="Y168" i="12"/>
  <c r="F169" i="12"/>
  <c r="G169" i="12"/>
  <c r="L169" i="12"/>
  <c r="W169" i="12"/>
  <c r="X169" i="12"/>
  <c r="Y169" i="12"/>
  <c r="F170" i="12"/>
  <c r="G170" i="12"/>
  <c r="L170" i="12"/>
  <c r="W170" i="12"/>
  <c r="X170" i="12"/>
  <c r="Y170" i="12"/>
  <c r="F171" i="12"/>
  <c r="G171" i="12"/>
  <c r="L171" i="12"/>
  <c r="W171" i="12"/>
  <c r="X171" i="12"/>
  <c r="Y171" i="12"/>
  <c r="F172" i="12"/>
  <c r="G172" i="12"/>
  <c r="L172" i="12"/>
  <c r="W172" i="12"/>
  <c r="X172" i="12"/>
  <c r="Y172" i="12"/>
  <c r="F173" i="12"/>
  <c r="G173" i="12"/>
  <c r="L173" i="12"/>
  <c r="W173" i="12"/>
  <c r="X173" i="12"/>
  <c r="Y173" i="12"/>
  <c r="F174" i="12"/>
  <c r="G174" i="12"/>
  <c r="L174" i="12"/>
  <c r="W174" i="12"/>
  <c r="X174" i="12"/>
  <c r="Y174" i="12"/>
  <c r="F175" i="12"/>
  <c r="G175" i="12"/>
  <c r="L175" i="12"/>
  <c r="W175" i="12"/>
  <c r="X175" i="12"/>
  <c r="Y175" i="12"/>
  <c r="F176" i="12"/>
  <c r="G176" i="12"/>
  <c r="L176" i="12"/>
  <c r="W176" i="12"/>
  <c r="X176" i="12"/>
  <c r="Y176" i="12"/>
  <c r="F177" i="12"/>
  <c r="G177" i="12"/>
  <c r="L177" i="12"/>
  <c r="W177" i="12"/>
  <c r="X177" i="12"/>
  <c r="Y177" i="12"/>
  <c r="F178" i="12"/>
  <c r="G178" i="12"/>
  <c r="L178" i="12"/>
  <c r="W178" i="12"/>
  <c r="X178" i="12"/>
  <c r="Y178" i="12"/>
  <c r="F179" i="12"/>
  <c r="G179" i="12"/>
  <c r="L179" i="12"/>
  <c r="W179" i="12"/>
  <c r="X179" i="12"/>
  <c r="Y179" i="12"/>
  <c r="F180" i="12"/>
  <c r="G180" i="12"/>
  <c r="L180" i="12"/>
  <c r="W180" i="12"/>
  <c r="X180" i="12"/>
  <c r="Y180" i="12"/>
  <c r="F181" i="12"/>
  <c r="G181" i="12"/>
  <c r="L181" i="12"/>
  <c r="W181" i="12"/>
  <c r="X181" i="12"/>
  <c r="Y181" i="12"/>
  <c r="F182" i="12"/>
  <c r="G182" i="12"/>
  <c r="L182" i="12"/>
  <c r="W182" i="12"/>
  <c r="X182" i="12"/>
  <c r="Y182" i="12"/>
  <c r="F183" i="12"/>
  <c r="G183" i="12"/>
  <c r="L183" i="12"/>
  <c r="W183" i="12"/>
  <c r="X183" i="12"/>
  <c r="Y183" i="12"/>
  <c r="F184" i="12"/>
  <c r="G184" i="12"/>
  <c r="L184" i="12"/>
  <c r="W184" i="12"/>
  <c r="X184" i="12"/>
  <c r="Y184" i="12"/>
  <c r="F185" i="12"/>
  <c r="G185" i="12"/>
  <c r="L185" i="12"/>
  <c r="W185" i="12"/>
  <c r="X185" i="12"/>
  <c r="Y185" i="12"/>
  <c r="F186" i="12"/>
  <c r="G186" i="12"/>
  <c r="L186" i="12"/>
  <c r="W186" i="12"/>
  <c r="X186" i="12"/>
  <c r="Y186" i="12"/>
  <c r="F187" i="12"/>
  <c r="G187" i="12"/>
  <c r="L187" i="12"/>
  <c r="W187" i="12"/>
  <c r="X187" i="12"/>
  <c r="Y187" i="12"/>
  <c r="F188" i="12"/>
  <c r="G188" i="12"/>
  <c r="L188" i="12"/>
  <c r="W188" i="12"/>
  <c r="X188" i="12"/>
  <c r="Y188" i="12"/>
  <c r="F189" i="12"/>
  <c r="G189" i="12"/>
  <c r="L189" i="12"/>
  <c r="W189" i="12"/>
  <c r="X189" i="12"/>
  <c r="Y189" i="12"/>
  <c r="F190" i="12"/>
  <c r="G190" i="12"/>
  <c r="L190" i="12"/>
  <c r="W190" i="12"/>
  <c r="X190" i="12"/>
  <c r="Y190" i="12"/>
  <c r="F191" i="12"/>
  <c r="G191" i="12"/>
  <c r="L191" i="12"/>
  <c r="W191" i="12"/>
  <c r="X191" i="12"/>
  <c r="Y191" i="12"/>
  <c r="F192" i="12"/>
  <c r="G192" i="12"/>
  <c r="L192" i="12"/>
  <c r="W192" i="12"/>
  <c r="X192" i="12"/>
  <c r="Y192" i="12"/>
  <c r="F193" i="12"/>
  <c r="G193" i="12"/>
  <c r="L193" i="12"/>
  <c r="W193" i="12"/>
  <c r="X193" i="12"/>
  <c r="Y193" i="12"/>
  <c r="F194" i="12"/>
  <c r="G194" i="12"/>
  <c r="L194" i="12"/>
  <c r="W194" i="12"/>
  <c r="X194" i="12"/>
  <c r="Y194" i="12"/>
  <c r="F195" i="12"/>
  <c r="G195" i="12"/>
  <c r="L195" i="12"/>
  <c r="W195" i="12"/>
  <c r="X195" i="12"/>
  <c r="Y195" i="12"/>
  <c r="F196" i="12"/>
  <c r="G196" i="12"/>
  <c r="L196" i="12"/>
  <c r="W196" i="12"/>
  <c r="X196" i="12"/>
  <c r="Y196" i="12"/>
  <c r="F197" i="12"/>
  <c r="G197" i="12"/>
  <c r="L197" i="12"/>
  <c r="W197" i="12"/>
  <c r="X197" i="12"/>
  <c r="Y197" i="12"/>
  <c r="F198" i="12"/>
  <c r="G198" i="12"/>
  <c r="L198" i="12"/>
  <c r="W198" i="12"/>
  <c r="X198" i="12"/>
  <c r="Y198" i="12"/>
  <c r="F199" i="12"/>
  <c r="G199" i="12"/>
  <c r="L199" i="12"/>
  <c r="W199" i="12"/>
  <c r="X199" i="12"/>
  <c r="Y199" i="12"/>
  <c r="F200" i="12"/>
  <c r="G200" i="12"/>
  <c r="L200" i="12"/>
  <c r="W200" i="12"/>
  <c r="X200" i="12"/>
  <c r="Y200" i="12"/>
  <c r="F201" i="12"/>
  <c r="G201" i="12"/>
  <c r="L201" i="12"/>
  <c r="W201" i="12"/>
  <c r="X201" i="12"/>
  <c r="Y201" i="12"/>
  <c r="F202" i="12"/>
  <c r="G202" i="12"/>
  <c r="L202" i="12"/>
  <c r="W202" i="12"/>
  <c r="X202" i="12"/>
  <c r="Y202" i="12"/>
  <c r="F203" i="12"/>
  <c r="G203" i="12"/>
  <c r="L203" i="12"/>
  <c r="W203" i="12"/>
  <c r="X203" i="12"/>
  <c r="Y203" i="12"/>
  <c r="F204" i="12"/>
  <c r="G204" i="12"/>
  <c r="L204" i="12"/>
  <c r="W204" i="12"/>
  <c r="X204" i="12"/>
  <c r="Y204" i="12"/>
  <c r="F205" i="12"/>
  <c r="G205" i="12"/>
  <c r="L205" i="12"/>
  <c r="W205" i="12"/>
  <c r="X205" i="12"/>
  <c r="Y205" i="12"/>
  <c r="F206" i="12"/>
  <c r="G206" i="12"/>
  <c r="L206" i="12"/>
  <c r="W206" i="12"/>
  <c r="X206" i="12"/>
  <c r="Y206" i="12"/>
  <c r="F207" i="12"/>
  <c r="G207" i="12"/>
  <c r="L207" i="12"/>
  <c r="W207" i="12"/>
  <c r="X207" i="12"/>
  <c r="Y207" i="12"/>
  <c r="F208" i="12"/>
  <c r="G208" i="12"/>
  <c r="L208" i="12"/>
  <c r="W208" i="12"/>
  <c r="X208" i="12"/>
  <c r="Y208" i="12"/>
  <c r="F209" i="12"/>
  <c r="G209" i="12"/>
  <c r="L209" i="12"/>
  <c r="W209" i="12"/>
  <c r="X209" i="12"/>
  <c r="Y209" i="12"/>
  <c r="F210" i="12"/>
  <c r="G210" i="12"/>
  <c r="L210" i="12"/>
  <c r="W210" i="12"/>
  <c r="X210" i="12"/>
  <c r="Y210" i="12"/>
  <c r="F211" i="12"/>
  <c r="G211" i="12"/>
  <c r="L211" i="12"/>
  <c r="W211" i="12"/>
  <c r="X211" i="12"/>
  <c r="Y211" i="12"/>
  <c r="F212" i="12"/>
  <c r="G212" i="12"/>
  <c r="L212" i="12"/>
  <c r="W212" i="12"/>
  <c r="X212" i="12"/>
  <c r="Y212" i="12"/>
  <c r="F213" i="12"/>
  <c r="G213" i="12"/>
  <c r="L213" i="12"/>
  <c r="W213" i="12"/>
  <c r="X213" i="12"/>
  <c r="Y213" i="12"/>
  <c r="F214" i="12"/>
  <c r="G214" i="12"/>
  <c r="L214" i="12"/>
  <c r="W214" i="12"/>
  <c r="X214" i="12"/>
  <c r="Y214" i="12"/>
  <c r="F215" i="12"/>
  <c r="G215" i="12"/>
  <c r="L215" i="12"/>
  <c r="W215" i="12"/>
  <c r="X215" i="12"/>
  <c r="Y215" i="12"/>
  <c r="F216" i="12"/>
  <c r="G216" i="12"/>
  <c r="L216" i="12"/>
  <c r="W216" i="12"/>
  <c r="X216" i="12"/>
  <c r="Y216" i="12"/>
  <c r="F217" i="12"/>
  <c r="G217" i="12"/>
  <c r="L217" i="12"/>
  <c r="W217" i="12"/>
  <c r="X217" i="12"/>
  <c r="Y217" i="12"/>
  <c r="F218" i="12"/>
  <c r="G218" i="12"/>
  <c r="L218" i="12"/>
  <c r="W218" i="12"/>
  <c r="X218" i="12"/>
  <c r="Y218" i="12"/>
  <c r="F219" i="12"/>
  <c r="G219" i="12"/>
  <c r="L219" i="12"/>
  <c r="W219" i="12"/>
  <c r="X219" i="12"/>
  <c r="Y219" i="12"/>
  <c r="F220" i="12"/>
  <c r="G220" i="12"/>
  <c r="L220" i="12"/>
  <c r="W220" i="12"/>
  <c r="X220" i="12"/>
  <c r="Y220" i="12"/>
  <c r="F221" i="12"/>
  <c r="G221" i="12"/>
  <c r="L221" i="12"/>
  <c r="W221" i="12"/>
  <c r="X221" i="12"/>
  <c r="Y221" i="12"/>
  <c r="F222" i="12"/>
  <c r="G222" i="12"/>
  <c r="L222" i="12"/>
  <c r="W222" i="12"/>
  <c r="X222" i="12"/>
  <c r="Y222" i="12"/>
  <c r="F223" i="12"/>
  <c r="G223" i="12"/>
  <c r="L223" i="12"/>
  <c r="W223" i="12"/>
  <c r="X223" i="12"/>
  <c r="Y223" i="12"/>
  <c r="F224" i="12"/>
  <c r="G224" i="12"/>
  <c r="L224" i="12"/>
  <c r="W224" i="12"/>
  <c r="X224" i="12"/>
  <c r="Y224" i="12"/>
  <c r="F225" i="12"/>
  <c r="G225" i="12"/>
  <c r="L225" i="12"/>
  <c r="W225" i="12"/>
  <c r="X225" i="12"/>
  <c r="Y225" i="12"/>
  <c r="F226" i="12"/>
  <c r="G226" i="12"/>
  <c r="L226" i="12"/>
  <c r="W226" i="12"/>
  <c r="X226" i="12"/>
  <c r="Y226" i="12"/>
  <c r="F227" i="12"/>
  <c r="G227" i="12"/>
  <c r="L227" i="12"/>
  <c r="W227" i="12"/>
  <c r="X227" i="12"/>
  <c r="Y227" i="12"/>
  <c r="F228" i="12"/>
  <c r="G228" i="12"/>
  <c r="L228" i="12"/>
  <c r="W228" i="12"/>
  <c r="X228" i="12"/>
  <c r="Y228" i="12"/>
  <c r="F229" i="12"/>
  <c r="G229" i="12"/>
  <c r="L229" i="12"/>
  <c r="W229" i="12"/>
  <c r="X229" i="12"/>
  <c r="Y229" i="12"/>
  <c r="F230" i="12"/>
  <c r="G230" i="12"/>
  <c r="L230" i="12"/>
  <c r="W230" i="12"/>
  <c r="X230" i="12"/>
  <c r="Y230" i="12"/>
  <c r="F231" i="12"/>
  <c r="G231" i="12"/>
  <c r="L231" i="12"/>
  <c r="W231" i="12"/>
  <c r="X231" i="12"/>
  <c r="Y231" i="12"/>
  <c r="F232" i="12"/>
  <c r="G232" i="12"/>
  <c r="L232" i="12"/>
  <c r="W232" i="12"/>
  <c r="X232" i="12"/>
  <c r="Y232" i="12"/>
  <c r="F233" i="12"/>
  <c r="G233" i="12"/>
  <c r="L233" i="12"/>
  <c r="W233" i="12"/>
  <c r="X233" i="12"/>
  <c r="Y233" i="12"/>
  <c r="F234" i="12"/>
  <c r="G234" i="12"/>
  <c r="L234" i="12"/>
  <c r="W234" i="12"/>
  <c r="X234" i="12"/>
  <c r="Y234" i="12"/>
  <c r="F235" i="12"/>
  <c r="G235" i="12"/>
  <c r="L235" i="12"/>
  <c r="W235" i="12"/>
  <c r="X235" i="12"/>
  <c r="Y235" i="12"/>
  <c r="F236" i="12"/>
  <c r="G236" i="12"/>
  <c r="L236" i="12"/>
  <c r="W236" i="12"/>
  <c r="X236" i="12"/>
  <c r="Y236" i="12"/>
  <c r="F237" i="12"/>
  <c r="G237" i="12"/>
  <c r="L237" i="12"/>
  <c r="W237" i="12"/>
  <c r="X237" i="12"/>
  <c r="Y237" i="12"/>
  <c r="F238" i="12"/>
  <c r="G238" i="12"/>
  <c r="L238" i="12"/>
  <c r="W238" i="12"/>
  <c r="X238" i="12"/>
  <c r="Y238" i="12"/>
  <c r="F239" i="12"/>
  <c r="G239" i="12"/>
  <c r="L239" i="12"/>
  <c r="W239" i="12"/>
  <c r="X239" i="12"/>
  <c r="Y239" i="12"/>
  <c r="F240" i="12"/>
  <c r="G240" i="12"/>
  <c r="L240" i="12"/>
  <c r="W240" i="12"/>
  <c r="X240" i="12"/>
  <c r="Y240" i="12"/>
  <c r="F241" i="12"/>
  <c r="G241" i="12"/>
  <c r="L241" i="12"/>
  <c r="W241" i="12"/>
  <c r="X241" i="12"/>
  <c r="Y241" i="12"/>
  <c r="F242" i="12"/>
  <c r="G242" i="12"/>
  <c r="L242" i="12"/>
  <c r="W242" i="12"/>
  <c r="X242" i="12"/>
  <c r="Y242" i="12"/>
  <c r="F243" i="12"/>
  <c r="G243" i="12"/>
  <c r="L243" i="12"/>
  <c r="W243" i="12"/>
  <c r="X243" i="12"/>
  <c r="Y243" i="12"/>
  <c r="F244" i="12"/>
  <c r="G244" i="12"/>
  <c r="L244" i="12"/>
  <c r="W244" i="12"/>
  <c r="X244" i="12"/>
  <c r="Y244" i="12"/>
  <c r="W245" i="12"/>
  <c r="X245" i="12"/>
  <c r="Y245" i="12"/>
  <c r="W246" i="12"/>
  <c r="X246" i="12"/>
  <c r="Y246" i="12"/>
  <c r="W247" i="12"/>
  <c r="X247" i="12"/>
  <c r="Y247" i="12"/>
  <c r="W248" i="12"/>
  <c r="X248" i="12"/>
  <c r="Y248" i="12"/>
  <c r="W249" i="12"/>
  <c r="X249" i="12"/>
  <c r="Y249" i="12"/>
  <c r="W250" i="12"/>
  <c r="X250" i="12"/>
  <c r="Y250" i="12"/>
  <c r="W251" i="12"/>
  <c r="X251" i="12"/>
  <c r="Y251" i="12"/>
  <c r="W252" i="12"/>
  <c r="X252" i="12"/>
  <c r="Y252" i="12"/>
  <c r="W253" i="12"/>
  <c r="X253" i="12"/>
  <c r="Y253" i="12"/>
  <c r="W254" i="12"/>
  <c r="X254" i="12"/>
  <c r="Y254" i="12"/>
  <c r="W255" i="12"/>
  <c r="X255" i="12"/>
  <c r="Y255" i="12"/>
  <c r="W256" i="12"/>
  <c r="X256" i="12"/>
  <c r="Y256" i="12"/>
  <c r="W257" i="12"/>
  <c r="X257" i="12"/>
  <c r="Y257" i="12"/>
  <c r="W258" i="12"/>
  <c r="X258" i="12"/>
  <c r="Y258" i="12"/>
  <c r="W259" i="12"/>
  <c r="X259" i="12"/>
  <c r="Y259" i="12"/>
  <c r="W260" i="12"/>
  <c r="X260" i="12"/>
  <c r="Y260" i="12"/>
  <c r="W261" i="12"/>
  <c r="X261" i="12"/>
  <c r="Y261" i="12"/>
  <c r="W262" i="12"/>
  <c r="X262" i="12"/>
  <c r="Y262" i="12"/>
  <c r="W263" i="12"/>
  <c r="X263" i="12"/>
  <c r="Y263" i="12"/>
  <c r="W264" i="12"/>
  <c r="X264" i="12"/>
  <c r="Y264" i="12"/>
  <c r="W265" i="12"/>
  <c r="X265" i="12"/>
  <c r="Y265" i="12"/>
  <c r="W266" i="12"/>
  <c r="X266" i="12"/>
  <c r="Y266" i="12"/>
  <c r="W267" i="12"/>
  <c r="X267" i="12"/>
  <c r="Y267" i="12"/>
  <c r="W268" i="12"/>
  <c r="X268" i="12"/>
  <c r="Y268" i="12"/>
  <c r="W269" i="12"/>
  <c r="X269" i="12"/>
  <c r="Y269" i="12"/>
  <c r="W270" i="12"/>
  <c r="X270" i="12"/>
  <c r="Y270" i="12"/>
  <c r="W271" i="12"/>
  <c r="X271" i="12"/>
  <c r="Y271" i="12"/>
  <c r="W272" i="12"/>
  <c r="X272" i="12"/>
  <c r="Y272" i="12"/>
  <c r="W273" i="12"/>
  <c r="X273" i="12"/>
  <c r="Y273" i="12"/>
  <c r="W274" i="12"/>
  <c r="X274" i="12"/>
  <c r="Y274" i="12"/>
  <c r="W275" i="12"/>
  <c r="X275" i="12"/>
  <c r="Y275" i="12"/>
  <c r="W276" i="12"/>
  <c r="X276" i="12"/>
  <c r="Y276" i="12"/>
  <c r="W277" i="12"/>
  <c r="X277" i="12"/>
  <c r="Y277" i="12"/>
  <c r="W278" i="12"/>
  <c r="X278" i="12"/>
  <c r="Y278" i="12"/>
  <c r="W279" i="12"/>
  <c r="X279" i="12"/>
  <c r="Y279" i="12"/>
  <c r="W280" i="12"/>
  <c r="X280" i="12"/>
  <c r="Y280" i="12"/>
  <c r="W281" i="12"/>
  <c r="X281" i="12"/>
  <c r="Y281" i="12"/>
  <c r="W282" i="12"/>
  <c r="X282" i="12"/>
  <c r="Y282" i="12"/>
  <c r="W283" i="12"/>
  <c r="X283" i="12"/>
  <c r="Y283" i="12"/>
  <c r="W284" i="12"/>
  <c r="X284" i="12"/>
  <c r="Y284" i="12"/>
  <c r="W285" i="12"/>
  <c r="X285" i="12"/>
  <c r="Y285" i="12"/>
  <c r="W286" i="12"/>
  <c r="X286" i="12"/>
  <c r="Y286" i="12"/>
  <c r="W287" i="12"/>
  <c r="X287" i="12"/>
  <c r="Y287" i="12"/>
  <c r="W288" i="12"/>
  <c r="X288" i="12"/>
  <c r="Y288" i="12"/>
  <c r="W289" i="12"/>
  <c r="X289" i="12"/>
  <c r="Y289" i="12"/>
  <c r="W290" i="12"/>
  <c r="X290" i="12"/>
  <c r="Y290" i="12"/>
  <c r="W291" i="12"/>
  <c r="X291" i="12"/>
  <c r="Y291" i="12"/>
  <c r="W292" i="12"/>
  <c r="X292" i="12"/>
  <c r="Y292" i="12"/>
  <c r="W293" i="12"/>
  <c r="X293" i="12"/>
  <c r="Y293" i="12"/>
  <c r="W294" i="12"/>
  <c r="X294" i="12"/>
  <c r="Y294" i="12"/>
  <c r="W295" i="12"/>
  <c r="X295" i="12"/>
  <c r="Y295" i="12"/>
  <c r="W296" i="12"/>
  <c r="X296" i="12"/>
  <c r="Y296" i="12"/>
  <c r="F4" i="15"/>
  <c r="D6" i="15"/>
  <c r="A9" i="15"/>
  <c r="B9" i="15"/>
  <c r="C9" i="15"/>
  <c r="D9" i="15"/>
  <c r="E9" i="15"/>
  <c r="F9" i="15"/>
  <c r="G9" i="15"/>
  <c r="H9" i="15"/>
  <c r="I9" i="15"/>
  <c r="I9" i="15" a="1"/>
  <c r="J9" i="15"/>
  <c r="K9" i="15"/>
  <c r="L9" i="15"/>
  <c r="M9" i="15"/>
  <c r="P9" i="15"/>
  <c r="Q9" i="15"/>
  <c r="Q9" i="15" a="1"/>
  <c r="R9" i="15"/>
  <c r="S9" i="15"/>
  <c r="T9" i="15"/>
  <c r="U9" i="15"/>
  <c r="W9" i="15"/>
  <c r="X9" i="15"/>
  <c r="Y9" i="15"/>
  <c r="Z9" i="15"/>
  <c r="A10" i="15"/>
  <c r="B10" i="15"/>
  <c r="C10" i="15"/>
  <c r="D10" i="15"/>
  <c r="E10" i="15"/>
  <c r="F10" i="15"/>
  <c r="G10" i="15"/>
  <c r="H10" i="15"/>
  <c r="I10" i="15"/>
  <c r="I10" i="15" a="1"/>
  <c r="J10" i="15"/>
  <c r="K10" i="15"/>
  <c r="L10" i="15"/>
  <c r="M10" i="15"/>
  <c r="P10" i="15"/>
  <c r="Q10" i="15"/>
  <c r="Q10" i="15" a="1"/>
  <c r="R10" i="15"/>
  <c r="S10" i="15"/>
  <c r="T10" i="15"/>
  <c r="U10" i="15"/>
  <c r="W10" i="15"/>
  <c r="X10" i="15"/>
  <c r="Y10" i="15"/>
  <c r="Z10" i="15"/>
  <c r="A11" i="15"/>
  <c r="B11" i="15"/>
  <c r="C11" i="15"/>
  <c r="D11" i="15"/>
  <c r="E11" i="15"/>
  <c r="F11" i="15"/>
  <c r="G11" i="15"/>
  <c r="H11" i="15"/>
  <c r="I11" i="15"/>
  <c r="I11" i="15" a="1"/>
  <c r="J11" i="15"/>
  <c r="K11" i="15"/>
  <c r="L11" i="15"/>
  <c r="M11" i="15"/>
  <c r="P11" i="15"/>
  <c r="Q11" i="15"/>
  <c r="Q11" i="15" a="1"/>
  <c r="R11" i="15"/>
  <c r="S11" i="15"/>
  <c r="T11" i="15"/>
  <c r="U11" i="15"/>
  <c r="W11" i="15"/>
  <c r="X11" i="15"/>
  <c r="Y11" i="15"/>
  <c r="Z11" i="15"/>
  <c r="A12" i="15"/>
  <c r="B12" i="15"/>
  <c r="C12" i="15"/>
  <c r="D12" i="15"/>
  <c r="E12" i="15"/>
  <c r="F12" i="15"/>
  <c r="G12" i="15"/>
  <c r="H12" i="15"/>
  <c r="I12" i="15"/>
  <c r="I12" i="15" a="1"/>
  <c r="J12" i="15"/>
  <c r="K12" i="15"/>
  <c r="L12" i="15"/>
  <c r="M12" i="15"/>
  <c r="P12" i="15"/>
  <c r="Q12" i="15"/>
  <c r="Q12" i="15" a="1"/>
  <c r="R12" i="15"/>
  <c r="S12" i="15"/>
  <c r="T12" i="15"/>
  <c r="U12" i="15"/>
  <c r="W12" i="15"/>
  <c r="X12" i="15"/>
  <c r="Y12" i="15"/>
  <c r="Z12" i="15"/>
  <c r="AB12" i="15"/>
  <c r="AC12" i="15"/>
  <c r="AD12" i="15"/>
  <c r="AE12" i="15"/>
  <c r="AF12" i="15"/>
  <c r="AG12" i="15"/>
  <c r="AH12" i="15"/>
  <c r="AI12" i="15"/>
  <c r="AJ12" i="15"/>
  <c r="AK12" i="15"/>
  <c r="AM12" i="15"/>
  <c r="AO12" i="15"/>
  <c r="A13" i="15"/>
  <c r="B13" i="15"/>
  <c r="C13" i="15"/>
  <c r="D13" i="15"/>
  <c r="E13" i="15"/>
  <c r="F13" i="15"/>
  <c r="G13" i="15"/>
  <c r="H13" i="15"/>
  <c r="I13" i="15"/>
  <c r="I13" i="15" a="1"/>
  <c r="J13" i="15"/>
  <c r="K13" i="15"/>
  <c r="L13" i="15"/>
  <c r="M13" i="15"/>
  <c r="P13" i="15"/>
  <c r="Q13" i="15"/>
  <c r="Q13" i="15" a="1"/>
  <c r="R13" i="15"/>
  <c r="S13" i="15"/>
  <c r="T13" i="15"/>
  <c r="U13" i="15"/>
  <c r="W13" i="15"/>
  <c r="X13" i="15"/>
  <c r="Y13" i="15"/>
  <c r="Z13" i="15"/>
  <c r="AB13" i="15"/>
  <c r="AC13" i="15"/>
  <c r="AD13" i="15"/>
  <c r="AE13" i="15"/>
  <c r="AF13" i="15"/>
  <c r="AG13" i="15"/>
  <c r="AH13" i="15"/>
  <c r="AI13" i="15"/>
  <c r="AJ13" i="15"/>
  <c r="AK13" i="15"/>
  <c r="AM13" i="15"/>
  <c r="AO13" i="15"/>
  <c r="A14" i="15"/>
  <c r="B14" i="15"/>
  <c r="C14" i="15"/>
  <c r="D14" i="15"/>
  <c r="E14" i="15"/>
  <c r="F14" i="15"/>
  <c r="G14" i="15"/>
  <c r="H14" i="15"/>
  <c r="I14" i="15"/>
  <c r="I14" i="15" a="1"/>
  <c r="J14" i="15"/>
  <c r="K14" i="15"/>
  <c r="L14" i="15"/>
  <c r="M14" i="15"/>
  <c r="P14" i="15"/>
  <c r="Q14" i="15"/>
  <c r="Q14" i="15" a="1"/>
  <c r="R14" i="15"/>
  <c r="S14" i="15"/>
  <c r="T14" i="15"/>
  <c r="U14" i="15"/>
  <c r="X14" i="15"/>
  <c r="X14" i="15" a="1"/>
  <c r="Y14" i="15"/>
  <c r="Y14" i="15" a="1"/>
  <c r="Z14" i="15"/>
  <c r="AB14" i="15"/>
  <c r="AC14" i="15"/>
  <c r="AD14" i="15"/>
  <c r="AE14" i="15"/>
  <c r="AF14" i="15"/>
  <c r="AG14" i="15"/>
  <c r="AH14" i="15"/>
  <c r="AI14" i="15"/>
  <c r="AJ14" i="15"/>
  <c r="AK14" i="15"/>
  <c r="AM14" i="15"/>
  <c r="AO14" i="15"/>
  <c r="A15" i="15"/>
  <c r="B15" i="15"/>
  <c r="C15" i="15"/>
  <c r="D15" i="15"/>
  <c r="E15" i="15"/>
  <c r="F15" i="15"/>
  <c r="G15" i="15"/>
  <c r="H15" i="15"/>
  <c r="I15" i="15"/>
  <c r="I15" i="15" a="1"/>
  <c r="J15" i="15"/>
  <c r="K15" i="15"/>
  <c r="L15" i="15"/>
  <c r="M15" i="15"/>
  <c r="P15" i="15"/>
  <c r="Q15" i="15"/>
  <c r="Q15" i="15" a="1"/>
  <c r="R15" i="15"/>
  <c r="S15" i="15"/>
  <c r="T15" i="15"/>
  <c r="U15" i="15"/>
  <c r="X15" i="15"/>
  <c r="X15" i="15" a="1"/>
  <c r="Y15" i="15"/>
  <c r="Y15" i="15" a="1"/>
  <c r="Z15" i="15"/>
  <c r="AB15" i="15"/>
  <c r="AC15" i="15"/>
  <c r="AD15" i="15"/>
  <c r="AE15" i="15"/>
  <c r="AF15" i="15"/>
  <c r="AG15" i="15"/>
  <c r="AH15" i="15"/>
  <c r="AI15" i="15"/>
  <c r="AJ15" i="15"/>
  <c r="AK15" i="15"/>
  <c r="AM15" i="15"/>
  <c r="AO15" i="15"/>
  <c r="A16" i="15"/>
  <c r="B16" i="15"/>
  <c r="C16" i="15"/>
  <c r="D16" i="15"/>
  <c r="E16" i="15"/>
  <c r="F16" i="15"/>
  <c r="G16" i="15"/>
  <c r="H16" i="15"/>
  <c r="I16" i="15"/>
  <c r="I16" i="15" a="1"/>
  <c r="J16" i="15"/>
  <c r="K16" i="15"/>
  <c r="L16" i="15"/>
  <c r="M16" i="15"/>
  <c r="P16" i="15"/>
  <c r="Q16" i="15"/>
  <c r="Q16" i="15" a="1"/>
  <c r="R16" i="15"/>
  <c r="S16" i="15"/>
  <c r="T16" i="15"/>
  <c r="U16" i="15"/>
  <c r="X16" i="15"/>
  <c r="X16" i="15" a="1"/>
  <c r="Y16" i="15"/>
  <c r="Y16" i="15" a="1"/>
  <c r="Z16" i="15"/>
  <c r="AB16" i="15"/>
  <c r="AC16" i="15"/>
  <c r="AD16" i="15"/>
  <c r="AE16" i="15"/>
  <c r="AF16" i="15"/>
  <c r="AG16" i="15"/>
  <c r="AH16" i="15"/>
  <c r="AI16" i="15"/>
  <c r="AJ16" i="15"/>
  <c r="AK16" i="15"/>
  <c r="AM16" i="15"/>
  <c r="AO16" i="15"/>
  <c r="A17" i="15"/>
  <c r="B17" i="15"/>
  <c r="C17" i="15"/>
  <c r="D17" i="15"/>
  <c r="E17" i="15"/>
  <c r="F17" i="15"/>
  <c r="G17" i="15"/>
  <c r="H17" i="15"/>
  <c r="I17" i="15"/>
  <c r="I17" i="15" a="1"/>
  <c r="J17" i="15"/>
  <c r="K17" i="15"/>
  <c r="L17" i="15"/>
  <c r="M17" i="15"/>
  <c r="P17" i="15"/>
  <c r="Q17" i="15"/>
  <c r="Q17" i="15" a="1"/>
  <c r="R17" i="15"/>
  <c r="S17" i="15"/>
  <c r="T17" i="15"/>
  <c r="U17" i="15"/>
  <c r="X17" i="15"/>
  <c r="X17" i="15" a="1"/>
  <c r="Y17" i="15"/>
  <c r="Y17" i="15" a="1"/>
  <c r="Z17" i="15"/>
  <c r="AB17" i="15"/>
  <c r="AC17" i="15"/>
  <c r="AD17" i="15"/>
  <c r="AE17" i="15"/>
  <c r="AF17" i="15"/>
  <c r="AG17" i="15"/>
  <c r="AH17" i="15"/>
  <c r="AI17" i="15"/>
  <c r="AJ17" i="15"/>
  <c r="AK17" i="15"/>
  <c r="AM17" i="15"/>
  <c r="AO17" i="15"/>
  <c r="A18" i="15"/>
  <c r="B18" i="15"/>
  <c r="C18" i="15"/>
  <c r="D18" i="15"/>
  <c r="E18" i="15"/>
  <c r="F18" i="15"/>
  <c r="G18" i="15"/>
  <c r="H18" i="15"/>
  <c r="I18" i="15"/>
  <c r="I18" i="15" a="1"/>
  <c r="J18" i="15"/>
  <c r="K18" i="15"/>
  <c r="L18" i="15"/>
  <c r="M18" i="15"/>
  <c r="P18" i="15"/>
  <c r="Q18" i="15"/>
  <c r="Q18" i="15" a="1"/>
  <c r="R18" i="15"/>
  <c r="S18" i="15"/>
  <c r="T18" i="15"/>
  <c r="U18" i="15"/>
  <c r="X18" i="15"/>
  <c r="X18" i="15" a="1"/>
  <c r="Y18" i="15"/>
  <c r="Y18" i="15" a="1"/>
  <c r="Z18" i="15"/>
  <c r="AB18" i="15"/>
  <c r="AC18" i="15"/>
  <c r="AD18" i="15"/>
  <c r="AE18" i="15"/>
  <c r="AF18" i="15"/>
  <c r="AG18" i="15"/>
  <c r="AH18" i="15"/>
  <c r="AI18" i="15"/>
  <c r="AJ18" i="15"/>
  <c r="AK18" i="15"/>
  <c r="AM18" i="15"/>
  <c r="AO18" i="15"/>
  <c r="A19" i="15"/>
  <c r="B19" i="15"/>
  <c r="C19" i="15"/>
  <c r="D19" i="15"/>
  <c r="E19" i="15"/>
  <c r="F19" i="15"/>
  <c r="G19" i="15"/>
  <c r="H19" i="15"/>
  <c r="I19" i="15"/>
  <c r="I19" i="15" a="1"/>
  <c r="J19" i="15"/>
  <c r="K19" i="15"/>
  <c r="L19" i="15"/>
  <c r="M19" i="15"/>
  <c r="P19" i="15"/>
  <c r="Q19" i="15"/>
  <c r="Q19" i="15" a="1"/>
  <c r="R19" i="15"/>
  <c r="S19" i="15"/>
  <c r="T19" i="15"/>
  <c r="U19" i="15"/>
  <c r="X19" i="15"/>
  <c r="X19" i="15" a="1"/>
  <c r="Y19" i="15"/>
  <c r="Y19" i="15" a="1"/>
  <c r="Z19" i="15"/>
  <c r="AB19" i="15"/>
  <c r="AC19" i="15"/>
  <c r="AD19" i="15"/>
  <c r="AE19" i="15"/>
  <c r="AF19" i="15"/>
  <c r="AG19" i="15"/>
  <c r="AH19" i="15"/>
  <c r="AI19" i="15"/>
  <c r="AJ19" i="15"/>
  <c r="AK19" i="15"/>
  <c r="AM19" i="15"/>
  <c r="AO19" i="15"/>
  <c r="A20" i="15"/>
  <c r="B20" i="15"/>
  <c r="C20" i="15"/>
  <c r="D20" i="15"/>
  <c r="E20" i="15"/>
  <c r="F20" i="15"/>
  <c r="G20" i="15"/>
  <c r="H20" i="15"/>
  <c r="I20" i="15"/>
  <c r="I20" i="15" a="1"/>
  <c r="J20" i="15"/>
  <c r="J20" i="15" a="1"/>
  <c r="K20" i="15"/>
  <c r="L20" i="15"/>
  <c r="L20" i="15" a="1"/>
  <c r="M20" i="15"/>
  <c r="P20" i="15"/>
  <c r="Q20" i="15"/>
  <c r="Q20" i="15" a="1"/>
  <c r="R20" i="15"/>
  <c r="S20" i="15"/>
  <c r="T20" i="15"/>
  <c r="U20" i="15"/>
  <c r="X20" i="15"/>
  <c r="X20" i="15" a="1"/>
  <c r="Y20" i="15"/>
  <c r="Y20" i="15" a="1"/>
  <c r="Z20" i="15"/>
  <c r="AA20" i="15"/>
  <c r="AB20" i="15"/>
  <c r="AC20" i="15"/>
  <c r="AD20" i="15"/>
  <c r="AE20" i="15"/>
  <c r="AF20" i="15"/>
  <c r="AG20" i="15"/>
  <c r="AH20" i="15"/>
  <c r="AI20" i="15"/>
  <c r="AJ20" i="15"/>
  <c r="AK20" i="15"/>
  <c r="AM20" i="15"/>
  <c r="AO20" i="15"/>
  <c r="A21" i="15"/>
  <c r="B21" i="15"/>
  <c r="C21" i="15"/>
  <c r="D21" i="15"/>
  <c r="E21" i="15"/>
  <c r="F21" i="15"/>
  <c r="G21" i="15"/>
  <c r="H21" i="15"/>
  <c r="I21" i="15"/>
  <c r="I21" i="15" a="1"/>
  <c r="J21" i="15"/>
  <c r="J21" i="15" a="1"/>
  <c r="K21" i="15"/>
  <c r="L21" i="15"/>
  <c r="L21" i="15" a="1"/>
  <c r="M21" i="15"/>
  <c r="P21" i="15"/>
  <c r="Q21" i="15"/>
  <c r="Q21" i="15" a="1"/>
  <c r="R21" i="15"/>
  <c r="S21" i="15"/>
  <c r="T21" i="15"/>
  <c r="U21" i="15"/>
  <c r="X21" i="15"/>
  <c r="X21" i="15" a="1"/>
  <c r="Y21" i="15"/>
  <c r="Y21" i="15" a="1"/>
  <c r="Z21" i="15"/>
  <c r="AA21" i="15"/>
  <c r="AB21" i="15"/>
  <c r="AC21" i="15"/>
  <c r="AD21" i="15"/>
  <c r="AE21" i="15"/>
  <c r="AF21" i="15"/>
  <c r="AG21" i="15"/>
  <c r="AH21" i="15"/>
  <c r="AI21" i="15"/>
  <c r="AJ21" i="15"/>
  <c r="AK21" i="15"/>
  <c r="AM21" i="15"/>
  <c r="AO21" i="15"/>
  <c r="A22" i="15"/>
  <c r="B22" i="15"/>
  <c r="C22" i="15"/>
  <c r="D22" i="15"/>
  <c r="E22" i="15"/>
  <c r="F22" i="15"/>
  <c r="G22" i="15"/>
  <c r="H22" i="15"/>
  <c r="I22" i="15"/>
  <c r="I22" i="15" a="1"/>
  <c r="J22" i="15"/>
  <c r="J22" i="15" a="1"/>
  <c r="K22" i="15"/>
  <c r="L22" i="15"/>
  <c r="L22" i="15" a="1"/>
  <c r="M22" i="15"/>
  <c r="P22" i="15"/>
  <c r="Q22" i="15"/>
  <c r="Q22" i="15" a="1"/>
  <c r="R22" i="15"/>
  <c r="S22" i="15"/>
  <c r="T22" i="15"/>
  <c r="U22" i="15"/>
  <c r="X22" i="15"/>
  <c r="X22" i="15" a="1"/>
  <c r="Y22" i="15"/>
  <c r="Y22" i="15" a="1"/>
  <c r="Z22" i="15"/>
  <c r="AA22" i="15"/>
  <c r="AB22" i="15"/>
  <c r="AC22" i="15"/>
  <c r="AD22" i="15"/>
  <c r="AE22" i="15"/>
  <c r="AF22" i="15"/>
  <c r="AG22" i="15"/>
  <c r="AH22" i="15"/>
  <c r="AI22" i="15"/>
  <c r="AJ22" i="15"/>
  <c r="AK22" i="15"/>
  <c r="AM22" i="15"/>
  <c r="AO22" i="15"/>
  <c r="A23" i="15"/>
  <c r="B23" i="15"/>
  <c r="C23" i="15"/>
  <c r="D23" i="15"/>
  <c r="E23" i="15"/>
  <c r="F23" i="15"/>
  <c r="G23" i="15"/>
  <c r="H23" i="15"/>
  <c r="I23" i="15"/>
  <c r="I23" i="15" a="1"/>
  <c r="J23" i="15"/>
  <c r="J23" i="15" a="1"/>
  <c r="K23" i="15"/>
  <c r="L23" i="15"/>
  <c r="L23" i="15" a="1"/>
  <c r="M23" i="15"/>
  <c r="P23" i="15"/>
  <c r="Q23" i="15"/>
  <c r="Q23" i="15" a="1"/>
  <c r="R23" i="15"/>
  <c r="S23" i="15"/>
  <c r="T23" i="15"/>
  <c r="U23" i="15"/>
  <c r="X23" i="15"/>
  <c r="X23" i="15" a="1"/>
  <c r="Y23" i="15"/>
  <c r="Y23" i="15" a="1"/>
  <c r="Z23" i="15"/>
  <c r="AA23" i="15"/>
  <c r="AB23" i="15"/>
  <c r="AC23" i="15"/>
  <c r="AD23" i="15"/>
  <c r="AE23" i="15"/>
  <c r="AF23" i="15"/>
  <c r="AG23" i="15"/>
  <c r="AH23" i="15"/>
  <c r="AI23" i="15"/>
  <c r="AJ23" i="15"/>
  <c r="AK23" i="15"/>
  <c r="AM23" i="15"/>
  <c r="AO23" i="15"/>
  <c r="A24" i="15"/>
  <c r="B24" i="15"/>
  <c r="C24" i="15"/>
  <c r="D24" i="15"/>
  <c r="E24" i="15"/>
  <c r="F24" i="15"/>
  <c r="G24" i="15"/>
  <c r="H24" i="15"/>
  <c r="I24" i="15"/>
  <c r="I24" i="15" a="1"/>
  <c r="J24" i="15"/>
  <c r="J24" i="15" a="1"/>
  <c r="K24" i="15"/>
  <c r="L24" i="15"/>
  <c r="L24" i="15" a="1"/>
  <c r="M24" i="15"/>
  <c r="P24" i="15"/>
  <c r="Q24" i="15"/>
  <c r="Q24" i="15" a="1"/>
  <c r="R24" i="15"/>
  <c r="S24" i="15"/>
  <c r="T24" i="15"/>
  <c r="U24" i="15"/>
  <c r="X24" i="15"/>
  <c r="X24" i="15" a="1"/>
  <c r="Y24" i="15"/>
  <c r="Y24" i="15" a="1"/>
  <c r="Z24" i="15"/>
  <c r="AA24" i="15"/>
  <c r="AB24" i="15"/>
  <c r="AC24" i="15"/>
  <c r="AD24" i="15"/>
  <c r="AE24" i="15"/>
  <c r="AF24" i="15"/>
  <c r="AG24" i="15"/>
  <c r="AH24" i="15"/>
  <c r="AI24" i="15"/>
  <c r="AJ24" i="15"/>
  <c r="AK24" i="15"/>
  <c r="AM24" i="15"/>
  <c r="AO24" i="15"/>
  <c r="A25" i="15"/>
  <c r="B25" i="15"/>
  <c r="C25" i="15"/>
  <c r="D25" i="15"/>
  <c r="E25" i="15"/>
  <c r="F25" i="15"/>
  <c r="G25" i="15"/>
  <c r="H25" i="15"/>
  <c r="I25" i="15"/>
  <c r="I25" i="15" a="1"/>
  <c r="J25" i="15"/>
  <c r="J25" i="15" a="1"/>
  <c r="K25" i="15"/>
  <c r="L25" i="15"/>
  <c r="L25" i="15" a="1"/>
  <c r="M25" i="15"/>
  <c r="P25" i="15"/>
  <c r="Q25" i="15"/>
  <c r="Q25" i="15" a="1"/>
  <c r="R25" i="15"/>
  <c r="S25" i="15"/>
  <c r="T25" i="15"/>
  <c r="U25" i="15"/>
  <c r="X25" i="15"/>
  <c r="X25" i="15" a="1"/>
  <c r="Y25" i="15"/>
  <c r="Y25" i="15" a="1"/>
  <c r="Z25" i="15"/>
  <c r="AA25" i="15"/>
  <c r="AB25" i="15"/>
  <c r="AC25" i="15"/>
  <c r="AD25" i="15"/>
  <c r="AE25" i="15"/>
  <c r="AF25" i="15"/>
  <c r="AG25" i="15"/>
  <c r="AH25" i="15"/>
  <c r="AI25" i="15"/>
  <c r="AJ25" i="15"/>
  <c r="AK25" i="15"/>
  <c r="AM25" i="15"/>
  <c r="AO25" i="15"/>
  <c r="A26" i="15"/>
  <c r="B26" i="15"/>
  <c r="C26" i="15"/>
  <c r="D26" i="15"/>
  <c r="E26" i="15"/>
  <c r="F26" i="15"/>
  <c r="G26" i="15"/>
  <c r="H26" i="15"/>
  <c r="I26" i="15"/>
  <c r="I26" i="15" a="1"/>
  <c r="J26" i="15"/>
  <c r="J26" i="15" a="1"/>
  <c r="K26" i="15"/>
  <c r="L26" i="15"/>
  <c r="L26" i="15" a="1"/>
  <c r="M26" i="15"/>
  <c r="P26" i="15"/>
  <c r="Q26" i="15"/>
  <c r="Q26" i="15" a="1"/>
  <c r="R26" i="15"/>
  <c r="S26" i="15"/>
  <c r="T26" i="15"/>
  <c r="U26" i="15"/>
  <c r="X26" i="15"/>
  <c r="X26" i="15" a="1"/>
  <c r="Y26" i="15"/>
  <c r="Y26" i="15" a="1"/>
  <c r="Z26" i="15"/>
  <c r="AA26" i="15"/>
  <c r="AB26" i="15"/>
  <c r="AC26" i="15"/>
  <c r="AD26" i="15"/>
  <c r="AE26" i="15"/>
  <c r="AF26" i="15"/>
  <c r="AG26" i="15"/>
  <c r="AH26" i="15"/>
  <c r="AI26" i="15"/>
  <c r="AJ26" i="15"/>
  <c r="AK26" i="15"/>
  <c r="AM26" i="15"/>
  <c r="AO26" i="15"/>
  <c r="A27" i="15"/>
  <c r="B27" i="15"/>
  <c r="C27" i="15"/>
  <c r="D27" i="15"/>
  <c r="E27" i="15"/>
  <c r="F27" i="15"/>
  <c r="G27" i="15"/>
  <c r="H27" i="15"/>
  <c r="I27" i="15"/>
  <c r="I27" i="15" a="1"/>
  <c r="J27" i="15"/>
  <c r="J27" i="15" a="1"/>
  <c r="K27" i="15"/>
  <c r="L27" i="15"/>
  <c r="L27" i="15" a="1"/>
  <c r="M27" i="15"/>
  <c r="P27" i="15"/>
  <c r="Q27" i="15"/>
  <c r="Q27" i="15" a="1"/>
  <c r="R27" i="15"/>
  <c r="S27" i="15"/>
  <c r="T27" i="15"/>
  <c r="U27" i="15"/>
  <c r="X27" i="15"/>
  <c r="X27" i="15" a="1"/>
  <c r="Y27" i="15"/>
  <c r="Y27" i="15" a="1"/>
  <c r="Z27" i="15"/>
  <c r="AA27" i="15"/>
  <c r="AB27" i="15"/>
  <c r="AC27" i="15"/>
  <c r="AD27" i="15"/>
  <c r="AE27" i="15"/>
  <c r="AF27" i="15"/>
  <c r="AG27" i="15"/>
  <c r="AH27" i="15"/>
  <c r="AI27" i="15"/>
  <c r="AJ27" i="15"/>
  <c r="AK27" i="15"/>
  <c r="AM27" i="15"/>
  <c r="AO27" i="15"/>
  <c r="A28" i="15"/>
  <c r="B28" i="15"/>
  <c r="C28" i="15"/>
  <c r="D28" i="15"/>
  <c r="E28" i="15"/>
  <c r="F28" i="15"/>
  <c r="G28" i="15"/>
  <c r="H28" i="15"/>
  <c r="I28" i="15"/>
  <c r="I28" i="15" a="1"/>
  <c r="J28" i="15"/>
  <c r="J28" i="15" a="1"/>
  <c r="K28" i="15"/>
  <c r="L28" i="15"/>
  <c r="L28" i="15" a="1"/>
  <c r="M28" i="15"/>
  <c r="P28" i="15"/>
  <c r="Q28" i="15"/>
  <c r="Q28" i="15" a="1"/>
  <c r="R28" i="15"/>
  <c r="S28" i="15"/>
  <c r="T28" i="15"/>
  <c r="U28" i="15"/>
  <c r="X28" i="15"/>
  <c r="X28" i="15" a="1"/>
  <c r="Y28" i="15"/>
  <c r="Y28" i="15" a="1"/>
  <c r="Z28" i="15"/>
  <c r="AA28" i="15"/>
  <c r="AB28" i="15"/>
  <c r="AC28" i="15"/>
  <c r="AD28" i="15"/>
  <c r="AE28" i="15"/>
  <c r="AF28" i="15"/>
  <c r="AG28" i="15"/>
  <c r="AH28" i="15"/>
  <c r="AI28" i="15"/>
  <c r="AJ28" i="15"/>
  <c r="AK28" i="15"/>
  <c r="AM28" i="15"/>
  <c r="AO28" i="15"/>
  <c r="A29" i="15"/>
  <c r="B29" i="15"/>
  <c r="C29" i="15"/>
  <c r="D29" i="15"/>
  <c r="E29" i="15"/>
  <c r="F29" i="15"/>
  <c r="G29" i="15"/>
  <c r="H29" i="15"/>
  <c r="I29" i="15"/>
  <c r="I29" i="15" a="1"/>
  <c r="J29" i="15"/>
  <c r="J29" i="15" a="1"/>
  <c r="K29" i="15"/>
  <c r="L29" i="15"/>
  <c r="L29" i="15" a="1"/>
  <c r="M29" i="15"/>
  <c r="P29" i="15"/>
  <c r="Q29" i="15"/>
  <c r="Q29" i="15" a="1"/>
  <c r="R29" i="15"/>
  <c r="S29" i="15"/>
  <c r="T29" i="15"/>
  <c r="U29" i="15"/>
  <c r="X29" i="15"/>
  <c r="X29" i="15" a="1"/>
  <c r="Y29" i="15"/>
  <c r="Y29" i="15" a="1"/>
  <c r="Z29" i="15"/>
  <c r="AA29" i="15"/>
  <c r="AB29" i="15"/>
  <c r="AC29" i="15"/>
  <c r="AD29" i="15"/>
  <c r="AE29" i="15"/>
  <c r="AF29" i="15"/>
  <c r="AG29" i="15"/>
  <c r="AH29" i="15"/>
  <c r="AI29" i="15"/>
  <c r="AJ29" i="15"/>
  <c r="AK29" i="15"/>
  <c r="AM29" i="15"/>
  <c r="AO29" i="15"/>
  <c r="A30" i="15"/>
  <c r="B30" i="15"/>
  <c r="C30" i="15"/>
  <c r="D30" i="15"/>
  <c r="E30" i="15"/>
  <c r="F30" i="15"/>
  <c r="G30" i="15"/>
  <c r="H30" i="15"/>
  <c r="I30" i="15"/>
  <c r="I30" i="15" a="1"/>
  <c r="J30" i="15"/>
  <c r="J30" i="15" a="1"/>
  <c r="K30" i="15"/>
  <c r="L30" i="15"/>
  <c r="L30" i="15" a="1"/>
  <c r="M30" i="15"/>
  <c r="P30" i="15"/>
  <c r="Q30" i="15"/>
  <c r="Q30" i="15" a="1"/>
  <c r="R30" i="15"/>
  <c r="S30" i="15"/>
  <c r="T30" i="15"/>
  <c r="U30" i="15"/>
  <c r="X30" i="15"/>
  <c r="X30" i="15" a="1"/>
  <c r="Y30" i="15"/>
  <c r="Y30" i="15" a="1"/>
  <c r="Z30" i="15"/>
  <c r="AA30" i="15"/>
  <c r="AB30" i="15"/>
  <c r="AC30" i="15"/>
  <c r="AD30" i="15"/>
  <c r="AE30" i="15"/>
  <c r="AF30" i="15"/>
  <c r="AG30" i="15"/>
  <c r="AH30" i="15"/>
  <c r="AI30" i="15"/>
  <c r="AJ30" i="15"/>
  <c r="AK30" i="15"/>
  <c r="AM30" i="15"/>
  <c r="AO30" i="15"/>
  <c r="A31" i="15"/>
  <c r="B31" i="15"/>
  <c r="C31" i="15"/>
  <c r="D31" i="15"/>
  <c r="E31" i="15"/>
  <c r="F31" i="15"/>
  <c r="G31" i="15"/>
  <c r="H31" i="15"/>
  <c r="I31" i="15"/>
  <c r="I31" i="15" a="1"/>
  <c r="J31" i="15"/>
  <c r="J31" i="15" a="1"/>
  <c r="K31" i="15"/>
  <c r="L31" i="15"/>
  <c r="L31" i="15" a="1"/>
  <c r="M31" i="15"/>
  <c r="P31" i="15"/>
  <c r="Q31" i="15"/>
  <c r="Q31" i="15" a="1"/>
  <c r="R31" i="15"/>
  <c r="S31" i="15"/>
  <c r="T31" i="15"/>
  <c r="U31" i="15"/>
  <c r="X31" i="15"/>
  <c r="X31" i="15" a="1"/>
  <c r="Y31" i="15"/>
  <c r="Y31" i="15" a="1"/>
  <c r="Z31" i="15"/>
  <c r="AA31" i="15"/>
  <c r="AB31" i="15"/>
  <c r="AC31" i="15"/>
  <c r="AD31" i="15"/>
  <c r="AE31" i="15"/>
  <c r="AF31" i="15"/>
  <c r="AG31" i="15"/>
  <c r="AH31" i="15"/>
  <c r="AI31" i="15"/>
  <c r="AJ31" i="15"/>
  <c r="AK31" i="15"/>
  <c r="AM31" i="15"/>
  <c r="AO31" i="15"/>
  <c r="A32" i="15"/>
  <c r="B32" i="15"/>
  <c r="C32" i="15"/>
  <c r="D32" i="15"/>
  <c r="E32" i="15"/>
  <c r="F32" i="15"/>
  <c r="G32" i="15"/>
  <c r="H32" i="15"/>
  <c r="I32" i="15"/>
  <c r="I32" i="15" a="1"/>
  <c r="J32" i="15"/>
  <c r="J32" i="15" a="1"/>
  <c r="K32" i="15"/>
  <c r="L32" i="15"/>
  <c r="L32" i="15" a="1"/>
  <c r="M32" i="15"/>
  <c r="P32" i="15"/>
  <c r="Q32" i="15"/>
  <c r="Q32" i="15" a="1"/>
  <c r="R32" i="15"/>
  <c r="S32" i="15"/>
  <c r="T32" i="15"/>
  <c r="U32" i="15"/>
  <c r="X32" i="15"/>
  <c r="X32" i="15" a="1"/>
  <c r="Y32" i="15"/>
  <c r="Y32" i="15" a="1"/>
  <c r="Z32" i="15"/>
  <c r="AA32" i="15"/>
  <c r="AB32" i="15"/>
  <c r="AC32" i="15"/>
  <c r="AD32" i="15"/>
  <c r="AE32" i="15"/>
  <c r="AF32" i="15"/>
  <c r="AG32" i="15"/>
  <c r="AH32" i="15"/>
  <c r="AI32" i="15"/>
  <c r="AJ32" i="15"/>
  <c r="AK32" i="15"/>
  <c r="AM32" i="15"/>
  <c r="AO32" i="15"/>
  <c r="A33" i="15"/>
  <c r="B33" i="15"/>
  <c r="C33" i="15"/>
  <c r="D33" i="15"/>
  <c r="E33" i="15"/>
  <c r="F33" i="15"/>
  <c r="G33" i="15"/>
  <c r="H33" i="15"/>
  <c r="I33" i="15"/>
  <c r="I33" i="15" a="1"/>
  <c r="J33" i="15"/>
  <c r="J33" i="15" a="1"/>
  <c r="K33" i="15"/>
  <c r="L33" i="15"/>
  <c r="L33" i="15" a="1"/>
  <c r="M33" i="15"/>
  <c r="P33" i="15"/>
  <c r="Q33" i="15"/>
  <c r="Q33" i="15" a="1"/>
  <c r="R33" i="15"/>
  <c r="S33" i="15"/>
  <c r="T33" i="15"/>
  <c r="U33" i="15"/>
  <c r="AA33" i="15"/>
  <c r="AB33" i="15"/>
  <c r="AC33" i="15"/>
  <c r="AD33" i="15"/>
  <c r="AE33" i="15"/>
  <c r="AF33" i="15"/>
  <c r="AG33" i="15"/>
  <c r="AH33" i="15"/>
  <c r="AI33" i="15"/>
  <c r="AJ33" i="15"/>
  <c r="AK33" i="15"/>
  <c r="AM33" i="15"/>
  <c r="AO33" i="15"/>
  <c r="A34" i="15"/>
  <c r="B34" i="15"/>
  <c r="C34" i="15"/>
  <c r="D34" i="15"/>
  <c r="E34" i="15"/>
  <c r="F34" i="15"/>
  <c r="G34" i="15"/>
  <c r="H34" i="15"/>
  <c r="I34" i="15"/>
  <c r="I34" i="15" a="1"/>
  <c r="J34" i="15"/>
  <c r="J34" i="15" a="1"/>
  <c r="K34" i="15"/>
  <c r="L34" i="15"/>
  <c r="L34" i="15" a="1"/>
  <c r="M34" i="15"/>
  <c r="P34" i="15"/>
  <c r="Q34" i="15"/>
  <c r="Q34" i="15" a="1"/>
  <c r="R34" i="15"/>
  <c r="S34" i="15"/>
  <c r="T34" i="15"/>
  <c r="U34" i="15"/>
  <c r="AA34" i="15"/>
  <c r="AB34" i="15"/>
  <c r="AC34" i="15"/>
  <c r="AD34" i="15"/>
  <c r="AE34" i="15"/>
  <c r="AF34" i="15"/>
  <c r="AG34" i="15"/>
  <c r="AH34" i="15"/>
  <c r="AI34" i="15"/>
  <c r="AJ34" i="15"/>
  <c r="AK34" i="15"/>
  <c r="AM34" i="15"/>
  <c r="AO34" i="15"/>
  <c r="A35" i="15"/>
  <c r="B35" i="15"/>
  <c r="C35" i="15"/>
  <c r="D35" i="15"/>
  <c r="E35" i="15"/>
  <c r="F35" i="15"/>
  <c r="G35" i="15"/>
  <c r="H35" i="15"/>
  <c r="I35" i="15"/>
  <c r="I35" i="15" a="1"/>
  <c r="J35" i="15"/>
  <c r="J35" i="15" a="1"/>
  <c r="K35" i="15"/>
  <c r="L35" i="15"/>
  <c r="L35" i="15" a="1"/>
  <c r="M35" i="15"/>
  <c r="P35" i="15"/>
  <c r="Q35" i="15"/>
  <c r="Q35" i="15" a="1"/>
  <c r="R35" i="15"/>
  <c r="S35" i="15"/>
  <c r="T35" i="15"/>
  <c r="U35" i="15"/>
  <c r="AA35" i="15"/>
  <c r="AB35" i="15"/>
  <c r="AC35" i="15"/>
  <c r="AD35" i="15"/>
  <c r="AE35" i="15"/>
  <c r="AF35" i="15"/>
  <c r="AG35" i="15"/>
  <c r="AH35" i="15"/>
  <c r="AI35" i="15"/>
  <c r="AJ35" i="15"/>
  <c r="AK35" i="15"/>
  <c r="AM35" i="15"/>
  <c r="AO35" i="15"/>
  <c r="A36" i="15"/>
  <c r="B36" i="15"/>
  <c r="C36" i="15"/>
  <c r="D36" i="15"/>
  <c r="E36" i="15"/>
  <c r="F36" i="15"/>
  <c r="G36" i="15"/>
  <c r="H36" i="15"/>
  <c r="I36" i="15"/>
  <c r="I36" i="15" a="1"/>
  <c r="J36" i="15"/>
  <c r="J36" i="15" a="1"/>
  <c r="K36" i="15"/>
  <c r="L36" i="15"/>
  <c r="L36" i="15" a="1"/>
  <c r="M36" i="15"/>
  <c r="P36" i="15"/>
  <c r="Q36" i="15"/>
  <c r="Q36" i="15" a="1"/>
  <c r="R36" i="15"/>
  <c r="S36" i="15"/>
  <c r="T36" i="15"/>
  <c r="U36" i="15"/>
  <c r="AA36" i="15"/>
  <c r="AB36" i="15"/>
  <c r="AC36" i="15"/>
  <c r="AD36" i="15"/>
  <c r="AE36" i="15"/>
  <c r="AF36" i="15"/>
  <c r="AG36" i="15"/>
  <c r="AH36" i="15"/>
  <c r="AI36" i="15"/>
  <c r="AJ36" i="15"/>
  <c r="AK36" i="15"/>
  <c r="AM36" i="15"/>
  <c r="AO36" i="15"/>
  <c r="A37" i="15"/>
  <c r="B37" i="15"/>
  <c r="C37" i="15"/>
  <c r="D37" i="15"/>
  <c r="E37" i="15"/>
  <c r="F37" i="15"/>
  <c r="G37" i="15"/>
  <c r="AB37" i="15"/>
  <c r="AC37" i="15"/>
  <c r="AD37" i="15"/>
  <c r="AE37" i="15"/>
  <c r="AF37" i="15"/>
  <c r="AG37" i="15"/>
  <c r="AH37" i="15"/>
  <c r="AI37" i="15"/>
  <c r="AJ37" i="15"/>
  <c r="AK37" i="15"/>
  <c r="AM37" i="15"/>
  <c r="AO37" i="15"/>
  <c r="A38" i="15"/>
  <c r="B38" i="15"/>
  <c r="C38" i="15"/>
  <c r="D38" i="15"/>
  <c r="E38" i="15"/>
  <c r="F38" i="15"/>
  <c r="G38" i="15"/>
  <c r="AB38" i="15"/>
  <c r="AC38" i="15"/>
  <c r="AD38" i="15"/>
  <c r="AE38" i="15"/>
  <c r="AF38" i="15"/>
  <c r="AG38" i="15"/>
  <c r="AH38" i="15"/>
  <c r="AI38" i="15"/>
  <c r="AJ38" i="15"/>
  <c r="AK38" i="15"/>
  <c r="AM38" i="15"/>
  <c r="AO38" i="15"/>
  <c r="A39" i="15"/>
  <c r="B39" i="15"/>
  <c r="C39" i="15"/>
  <c r="D39" i="15"/>
  <c r="E39" i="15"/>
  <c r="F39" i="15"/>
  <c r="G39" i="15"/>
  <c r="AB39" i="15"/>
  <c r="AC39" i="15"/>
  <c r="AD39" i="15"/>
  <c r="AE39" i="15"/>
  <c r="AF39" i="15"/>
  <c r="AG39" i="15"/>
  <c r="AH39" i="15"/>
  <c r="AI39" i="15"/>
  <c r="AJ39" i="15"/>
  <c r="AK39" i="15"/>
  <c r="AM39" i="15"/>
  <c r="AO39" i="15"/>
  <c r="A40" i="15"/>
  <c r="B40" i="15"/>
  <c r="C40" i="15"/>
  <c r="D40" i="15"/>
  <c r="E40" i="15"/>
  <c r="F40" i="15"/>
  <c r="G40" i="15"/>
  <c r="AB40" i="15"/>
  <c r="AC40" i="15"/>
  <c r="AD40" i="15"/>
  <c r="AE40" i="15"/>
  <c r="AF40" i="15"/>
  <c r="AG40" i="15"/>
  <c r="AH40" i="15"/>
  <c r="AI40" i="15"/>
  <c r="AJ40" i="15"/>
  <c r="AK40" i="15"/>
  <c r="AM40" i="15"/>
  <c r="AO40" i="15"/>
  <c r="A41" i="15"/>
  <c r="B41" i="15"/>
  <c r="C41" i="15"/>
  <c r="D41" i="15"/>
  <c r="E41" i="15"/>
  <c r="F41" i="15"/>
  <c r="G41" i="15"/>
  <c r="AB41" i="15"/>
  <c r="AC41" i="15"/>
  <c r="AD41" i="15"/>
  <c r="AE41" i="15"/>
  <c r="AF41" i="15"/>
  <c r="AG41" i="15"/>
  <c r="AH41" i="15"/>
  <c r="AI41" i="15"/>
  <c r="AJ41" i="15"/>
  <c r="AK41" i="15"/>
  <c r="AM41" i="15"/>
  <c r="AO41" i="15"/>
  <c r="A42" i="15"/>
  <c r="B42" i="15"/>
  <c r="C42" i="15"/>
  <c r="D42" i="15"/>
  <c r="E42" i="15"/>
  <c r="F42" i="15"/>
  <c r="G42" i="15"/>
  <c r="AB42" i="15"/>
  <c r="AC42" i="15"/>
  <c r="AD42" i="15"/>
  <c r="AE42" i="15"/>
  <c r="AF42" i="15"/>
  <c r="AG42" i="15"/>
  <c r="AH42" i="15"/>
  <c r="AI42" i="15"/>
  <c r="AJ42" i="15"/>
  <c r="AK42" i="15"/>
  <c r="AM42" i="15"/>
  <c r="AO42" i="15"/>
  <c r="A43" i="15"/>
  <c r="B43" i="15"/>
  <c r="C43" i="15"/>
  <c r="D43" i="15"/>
  <c r="E43" i="15"/>
  <c r="F43" i="15"/>
  <c r="G43" i="15"/>
  <c r="AB43" i="15"/>
  <c r="AC43" i="15"/>
  <c r="AD43" i="15"/>
  <c r="AE43" i="15"/>
  <c r="AF43" i="15"/>
  <c r="AG43" i="15"/>
  <c r="AH43" i="15"/>
  <c r="AI43" i="15"/>
  <c r="AJ43" i="15"/>
  <c r="AK43" i="15"/>
  <c r="AM43" i="15"/>
  <c r="AO43" i="15"/>
  <c r="A44" i="15"/>
  <c r="B44" i="15"/>
  <c r="C44" i="15"/>
  <c r="D44" i="15"/>
  <c r="E44" i="15"/>
  <c r="F44" i="15"/>
  <c r="G44" i="15"/>
  <c r="AB44" i="15"/>
  <c r="AC44" i="15"/>
  <c r="AD44" i="15"/>
  <c r="AE44" i="15"/>
  <c r="AF44" i="15"/>
  <c r="AG44" i="15"/>
  <c r="AH44" i="15"/>
  <c r="AI44" i="15"/>
  <c r="AJ44" i="15"/>
  <c r="AK44" i="15"/>
  <c r="AM44" i="15"/>
  <c r="AO44" i="15"/>
  <c r="A45" i="15"/>
  <c r="B45" i="15"/>
  <c r="C45" i="15"/>
  <c r="D45" i="15"/>
  <c r="E45" i="15"/>
  <c r="F45" i="15"/>
  <c r="G45" i="15"/>
  <c r="AB45" i="15"/>
  <c r="AC45" i="15"/>
  <c r="AD45" i="15"/>
  <c r="AE45" i="15"/>
  <c r="AF45" i="15"/>
  <c r="AG45" i="15"/>
  <c r="AH45" i="15"/>
  <c r="AI45" i="15"/>
  <c r="AJ45" i="15"/>
  <c r="AK45" i="15"/>
  <c r="AM45" i="15"/>
  <c r="AO45" i="15"/>
  <c r="A46" i="15"/>
  <c r="B46" i="15"/>
  <c r="C46" i="15"/>
  <c r="D46" i="15"/>
  <c r="E46" i="15"/>
  <c r="F46" i="15"/>
  <c r="G46" i="15"/>
  <c r="AB46" i="15"/>
  <c r="AC46" i="15"/>
  <c r="AD46" i="15"/>
  <c r="AE46" i="15"/>
  <c r="AF46" i="15"/>
  <c r="AG46" i="15"/>
  <c r="AH46" i="15"/>
  <c r="AI46" i="15"/>
  <c r="AJ46" i="15"/>
  <c r="AK46" i="15"/>
  <c r="AM46" i="15"/>
  <c r="AO46" i="15"/>
  <c r="A47" i="15"/>
  <c r="B47" i="15"/>
  <c r="C47" i="15"/>
  <c r="D47" i="15"/>
  <c r="E47" i="15"/>
  <c r="F47" i="15"/>
  <c r="G47" i="15"/>
  <c r="AB47" i="15"/>
  <c r="AC47" i="15"/>
  <c r="AD47" i="15"/>
  <c r="AE47" i="15"/>
  <c r="AF47" i="15"/>
  <c r="AG47" i="15"/>
  <c r="AH47" i="15"/>
  <c r="AI47" i="15"/>
  <c r="AJ47" i="15"/>
  <c r="AK47" i="15"/>
  <c r="AM47" i="15"/>
  <c r="AO47" i="15"/>
  <c r="A48" i="15"/>
  <c r="AB48" i="15"/>
  <c r="AC48" i="15"/>
  <c r="AD48" i="15"/>
  <c r="AE48" i="15"/>
  <c r="AF48" i="15"/>
  <c r="AG48" i="15"/>
  <c r="AH48" i="15"/>
  <c r="AI48" i="15"/>
  <c r="AJ48" i="15"/>
  <c r="AK48" i="15"/>
  <c r="AM48" i="15"/>
  <c r="AO48" i="15"/>
  <c r="AB49" i="15"/>
  <c r="AC49" i="15"/>
  <c r="AD49" i="15"/>
  <c r="AE49" i="15"/>
  <c r="AF49" i="15"/>
  <c r="AG49" i="15"/>
  <c r="AH49" i="15"/>
  <c r="AI49" i="15"/>
  <c r="AJ49" i="15"/>
  <c r="AK49" i="15"/>
  <c r="AM49" i="15"/>
  <c r="AO49" i="15"/>
  <c r="AB50" i="15"/>
  <c r="AC50" i="15"/>
  <c r="AD50" i="15"/>
  <c r="AE50" i="15"/>
  <c r="AF50" i="15"/>
  <c r="AG50" i="15"/>
  <c r="AH50" i="15"/>
  <c r="AI50" i="15"/>
  <c r="AJ50" i="15"/>
  <c r="AK50" i="15"/>
  <c r="AM50" i="15"/>
  <c r="AO50" i="15"/>
  <c r="AB51" i="15"/>
  <c r="AC51" i="15"/>
  <c r="AD51" i="15"/>
  <c r="AE51" i="15"/>
  <c r="AF51" i="15"/>
  <c r="AG51" i="15"/>
  <c r="AH51" i="15"/>
  <c r="AI51" i="15"/>
  <c r="AJ51" i="15"/>
  <c r="AK51" i="15"/>
  <c r="AM51" i="15"/>
  <c r="AO51" i="15"/>
  <c r="AB52" i="15"/>
  <c r="AC52" i="15"/>
  <c r="AD52" i="15"/>
  <c r="AE52" i="15"/>
  <c r="AF52" i="15"/>
  <c r="AG52" i="15"/>
  <c r="AH52" i="15"/>
  <c r="AI52" i="15"/>
  <c r="AJ52" i="15"/>
  <c r="AK52" i="15"/>
  <c r="AM52" i="15"/>
  <c r="AO52" i="15"/>
  <c r="AB53" i="15"/>
  <c r="AC53" i="15"/>
  <c r="AD53" i="15"/>
  <c r="AE53" i="15"/>
  <c r="AF53" i="15"/>
  <c r="AG53" i="15"/>
  <c r="AH53" i="15"/>
  <c r="AI53" i="15"/>
  <c r="AJ53" i="15"/>
  <c r="AK53" i="15"/>
  <c r="AM53" i="15"/>
  <c r="AO53" i="15"/>
  <c r="AB54" i="15"/>
  <c r="AC54" i="15"/>
  <c r="AD54" i="15"/>
  <c r="AE54" i="15"/>
  <c r="AF54" i="15"/>
  <c r="AG54" i="15"/>
  <c r="AH54" i="15"/>
  <c r="AI54" i="15"/>
  <c r="AJ54" i="15"/>
  <c r="AK54" i="15"/>
  <c r="AM54" i="15"/>
  <c r="AO54" i="15"/>
  <c r="AB55" i="15"/>
  <c r="AC55" i="15"/>
  <c r="AD55" i="15"/>
  <c r="AE55" i="15"/>
  <c r="AF55" i="15"/>
  <c r="AG55" i="15"/>
  <c r="AH55" i="15"/>
  <c r="AI55" i="15"/>
  <c r="AJ55" i="15"/>
  <c r="AK55" i="15"/>
  <c r="AM55" i="15"/>
  <c r="AO55" i="15"/>
  <c r="AB56" i="15"/>
  <c r="AC56" i="15"/>
  <c r="AD56" i="15"/>
  <c r="AE56" i="15"/>
  <c r="AF56" i="15"/>
  <c r="AG56" i="15"/>
  <c r="AH56" i="15"/>
  <c r="AI56" i="15"/>
  <c r="AJ56" i="15"/>
  <c r="AK56" i="15"/>
  <c r="AM56" i="15"/>
  <c r="AO56" i="15"/>
  <c r="AB57" i="15"/>
  <c r="AC57" i="15"/>
  <c r="AD57" i="15"/>
  <c r="AE57" i="15"/>
  <c r="AF57" i="15"/>
  <c r="AG57" i="15"/>
  <c r="AH57" i="15"/>
  <c r="AI57" i="15"/>
  <c r="AJ57" i="15"/>
  <c r="AK57" i="15"/>
  <c r="AM57" i="15"/>
  <c r="AO57" i="15"/>
  <c r="AB58" i="15"/>
  <c r="AC58" i="15"/>
  <c r="AD58" i="15"/>
  <c r="AE58" i="15"/>
  <c r="AF58" i="15"/>
  <c r="AG58" i="15"/>
  <c r="AH58" i="15"/>
  <c r="AI58" i="15"/>
  <c r="AJ58" i="15"/>
  <c r="AK58" i="15"/>
  <c r="AM58" i="15"/>
  <c r="AO58" i="15"/>
  <c r="AB59" i="15"/>
  <c r="AC59" i="15"/>
  <c r="AD59" i="15"/>
  <c r="AE59" i="15"/>
  <c r="AF59" i="15"/>
  <c r="AG59" i="15"/>
  <c r="AH59" i="15"/>
  <c r="AI59" i="15"/>
  <c r="AJ59" i="15"/>
  <c r="AK59" i="15"/>
  <c r="AM59" i="15"/>
  <c r="AO59" i="15"/>
  <c r="AB60" i="15"/>
  <c r="AC60" i="15"/>
  <c r="AD60" i="15"/>
  <c r="AE60" i="15"/>
  <c r="AF60" i="15"/>
  <c r="AG60" i="15"/>
  <c r="AH60" i="15"/>
  <c r="AI60" i="15"/>
  <c r="AJ60" i="15"/>
  <c r="AK60" i="15"/>
  <c r="AM60" i="15"/>
  <c r="AO60" i="15"/>
  <c r="AB61" i="15"/>
  <c r="AC61" i="15"/>
  <c r="AD61" i="15"/>
  <c r="AE61" i="15"/>
  <c r="AF61" i="15"/>
  <c r="AG61" i="15"/>
  <c r="AH61" i="15"/>
  <c r="AI61" i="15"/>
  <c r="AJ61" i="15"/>
  <c r="AK61" i="15"/>
  <c r="AM61" i="15"/>
  <c r="AO61" i="15"/>
  <c r="AB62" i="15"/>
  <c r="AC62" i="15"/>
  <c r="AD62" i="15"/>
  <c r="AE62" i="15"/>
  <c r="AF62" i="15"/>
  <c r="AG62" i="15"/>
  <c r="AH62" i="15"/>
  <c r="AI62" i="15"/>
  <c r="AJ62" i="15"/>
  <c r="AK62" i="15"/>
  <c r="AM62" i="15"/>
  <c r="AO62" i="15"/>
  <c r="AB63" i="15"/>
  <c r="AC63" i="15"/>
  <c r="AD63" i="15"/>
  <c r="AE63" i="15"/>
  <c r="AF63" i="15"/>
  <c r="AG63" i="15"/>
  <c r="AH63" i="15"/>
  <c r="AI63" i="15"/>
  <c r="AJ63" i="15"/>
  <c r="AK63" i="15"/>
  <c r="AM63" i="15"/>
  <c r="AO63" i="15"/>
  <c r="AB64" i="15"/>
  <c r="AC64" i="15"/>
  <c r="AD64" i="15"/>
  <c r="AE64" i="15"/>
  <c r="AF64" i="15"/>
  <c r="AG64" i="15"/>
  <c r="AH64" i="15"/>
  <c r="AI64" i="15"/>
  <c r="AJ64" i="15"/>
  <c r="AK64" i="15"/>
  <c r="AM64" i="15"/>
  <c r="AO64" i="15"/>
  <c r="AB65" i="15"/>
  <c r="AC65" i="15"/>
  <c r="AD65" i="15"/>
  <c r="AE65" i="15"/>
  <c r="AF65" i="15"/>
  <c r="AG65" i="15"/>
  <c r="AH65" i="15"/>
  <c r="AI65" i="15"/>
  <c r="AJ65" i="15"/>
  <c r="AK65" i="15"/>
  <c r="AM65" i="15"/>
  <c r="AO65" i="15"/>
  <c r="AB66" i="15"/>
  <c r="AC66" i="15"/>
  <c r="AD66" i="15"/>
  <c r="AE66" i="15"/>
  <c r="AF66" i="15"/>
  <c r="AG66" i="15"/>
  <c r="AH66" i="15"/>
  <c r="AI66" i="15"/>
  <c r="AJ66" i="15"/>
  <c r="AK66" i="15"/>
  <c r="AM66" i="15"/>
  <c r="AO66" i="15"/>
  <c r="AB67" i="15"/>
  <c r="AC67" i="15"/>
  <c r="AD67" i="15"/>
  <c r="AE67" i="15"/>
  <c r="AF67" i="15"/>
  <c r="AG67" i="15"/>
  <c r="AH67" i="15"/>
  <c r="AI67" i="15"/>
  <c r="AJ67" i="15"/>
  <c r="AK67" i="15"/>
  <c r="AM67" i="15"/>
  <c r="AO67" i="15"/>
  <c r="AB68" i="15"/>
  <c r="AC68" i="15"/>
  <c r="AD68" i="15"/>
  <c r="AE68" i="15"/>
  <c r="AF68" i="15"/>
  <c r="AG68" i="15"/>
  <c r="AH68" i="15"/>
  <c r="AI68" i="15"/>
  <c r="AJ68" i="15"/>
  <c r="AK68" i="15"/>
  <c r="AM68" i="15"/>
  <c r="AO68" i="15"/>
  <c r="AB69" i="15"/>
  <c r="AC69" i="15"/>
  <c r="AD69" i="15"/>
  <c r="AE69" i="15"/>
  <c r="AF69" i="15"/>
  <c r="AG69" i="15"/>
  <c r="AH69" i="15"/>
  <c r="AI69" i="15"/>
  <c r="AJ69" i="15"/>
  <c r="AK69" i="15"/>
  <c r="AM69" i="15"/>
  <c r="AO69" i="15"/>
  <c r="AB70" i="15"/>
  <c r="AC70" i="15"/>
  <c r="AD70" i="15"/>
  <c r="AE70" i="15"/>
  <c r="AF70" i="15"/>
  <c r="AG70" i="15"/>
  <c r="AH70" i="15"/>
  <c r="AI70" i="15"/>
  <c r="AJ70" i="15"/>
  <c r="AK70" i="15"/>
  <c r="AM70" i="15"/>
  <c r="AO70" i="15"/>
  <c r="AB71" i="15"/>
  <c r="AC71" i="15"/>
  <c r="AD71" i="15"/>
  <c r="AE71" i="15"/>
  <c r="AF71" i="15"/>
  <c r="AG71" i="15"/>
  <c r="AH71" i="15"/>
  <c r="AI71" i="15"/>
  <c r="AJ71" i="15"/>
  <c r="AK71" i="15"/>
  <c r="AM71" i="15"/>
  <c r="AO71" i="15"/>
  <c r="AB72" i="15"/>
  <c r="AC72" i="15"/>
  <c r="AD72" i="15"/>
  <c r="AE72" i="15"/>
  <c r="AF72" i="15"/>
  <c r="AG72" i="15"/>
  <c r="AH72" i="15"/>
  <c r="AI72" i="15"/>
  <c r="AJ72" i="15"/>
  <c r="AK72" i="15"/>
  <c r="AM72" i="15"/>
  <c r="AO72" i="15"/>
  <c r="AB73" i="15"/>
  <c r="AC73" i="15"/>
  <c r="AD73" i="15"/>
  <c r="AE73" i="15"/>
  <c r="AF73" i="15"/>
  <c r="AG73" i="15"/>
  <c r="AH73" i="15"/>
  <c r="AI73" i="15"/>
  <c r="AJ73" i="15"/>
  <c r="AK73" i="15"/>
  <c r="AM73" i="15"/>
  <c r="AO73" i="15"/>
  <c r="AB74" i="15"/>
  <c r="AC74" i="15"/>
  <c r="AD74" i="15"/>
  <c r="AE74" i="15"/>
  <c r="AF74" i="15"/>
  <c r="AG74" i="15"/>
  <c r="AH74" i="15"/>
  <c r="AI74" i="15"/>
  <c r="AJ74" i="15"/>
  <c r="AK74" i="15"/>
  <c r="AM74" i="15"/>
  <c r="AO74" i="15"/>
  <c r="AB75" i="15"/>
  <c r="AC75" i="15"/>
  <c r="AD75" i="15"/>
  <c r="AE75" i="15"/>
  <c r="AF75" i="15"/>
  <c r="AG75" i="15"/>
  <c r="AH75" i="15"/>
  <c r="AI75" i="15"/>
  <c r="AJ75" i="15"/>
  <c r="AK75" i="15"/>
  <c r="AM75" i="15"/>
  <c r="AO75" i="15"/>
  <c r="AB76" i="15"/>
  <c r="AC76" i="15"/>
  <c r="AD76" i="15"/>
  <c r="AE76" i="15"/>
  <c r="AF76" i="15"/>
  <c r="AG76" i="15"/>
  <c r="AH76" i="15"/>
  <c r="AI76" i="15"/>
  <c r="AJ76" i="15"/>
  <c r="AK76" i="15"/>
  <c r="AM76" i="15"/>
  <c r="AO76" i="15"/>
  <c r="AB77" i="15"/>
  <c r="AC77" i="15"/>
  <c r="AD77" i="15"/>
  <c r="AE77" i="15"/>
  <c r="AF77" i="15"/>
  <c r="AG77" i="15"/>
  <c r="AH77" i="15"/>
  <c r="AI77" i="15"/>
  <c r="AJ77" i="15"/>
  <c r="AK77" i="15"/>
  <c r="AM77" i="15"/>
  <c r="AO77" i="15"/>
  <c r="AB78" i="15"/>
  <c r="AC78" i="15"/>
  <c r="AD78" i="15"/>
  <c r="AE78" i="15"/>
  <c r="AF78" i="15"/>
  <c r="AG78" i="15"/>
  <c r="AH78" i="15"/>
  <c r="AI78" i="15"/>
  <c r="AJ78" i="15"/>
  <c r="AK78" i="15"/>
  <c r="AM78" i="15"/>
  <c r="AO78" i="15"/>
  <c r="AB79" i="15"/>
  <c r="AC79" i="15"/>
  <c r="AD79" i="15"/>
  <c r="AE79" i="15"/>
  <c r="AF79" i="15"/>
  <c r="AG79" i="15"/>
  <c r="AH79" i="15"/>
  <c r="AI79" i="15"/>
  <c r="AJ79" i="15"/>
  <c r="AK79" i="15"/>
  <c r="AM79" i="15"/>
  <c r="AO79" i="15"/>
  <c r="AB80" i="15"/>
  <c r="AC80" i="15"/>
  <c r="AD80" i="15"/>
  <c r="AE80" i="15"/>
  <c r="AF80" i="15"/>
  <c r="AG80" i="15"/>
  <c r="AH80" i="15"/>
  <c r="AI80" i="15"/>
  <c r="AJ80" i="15"/>
  <c r="AK80" i="15"/>
  <c r="AM80" i="15"/>
  <c r="AO80" i="15"/>
  <c r="AB81" i="15"/>
  <c r="AC81" i="15"/>
  <c r="AD81" i="15"/>
  <c r="AE81" i="15"/>
  <c r="AF81" i="15"/>
  <c r="AG81" i="15"/>
  <c r="AH81" i="15"/>
  <c r="AI81" i="15"/>
  <c r="AJ81" i="15"/>
  <c r="AK81" i="15"/>
  <c r="AM81" i="15"/>
  <c r="AO81" i="15"/>
  <c r="AB82" i="15"/>
  <c r="AC82" i="15"/>
  <c r="AD82" i="15"/>
  <c r="AE82" i="15"/>
  <c r="AF82" i="15"/>
  <c r="AG82" i="15"/>
  <c r="AH82" i="15"/>
  <c r="AI82" i="15"/>
  <c r="AJ82" i="15"/>
  <c r="AK82" i="15"/>
  <c r="AM82" i="15"/>
  <c r="AO82" i="15"/>
  <c r="AB83" i="15"/>
  <c r="AC83" i="15"/>
  <c r="AD83" i="15"/>
  <c r="AE83" i="15"/>
  <c r="AF83" i="15"/>
  <c r="AG83" i="15"/>
  <c r="AH83" i="15"/>
  <c r="AI83" i="15"/>
  <c r="AJ83" i="15"/>
  <c r="AK83" i="15"/>
  <c r="AM83" i="15"/>
  <c r="AO83" i="15"/>
  <c r="AB84" i="15"/>
  <c r="AC84" i="15"/>
  <c r="AD84" i="15"/>
  <c r="AE84" i="15"/>
  <c r="AF84" i="15"/>
  <c r="AG84" i="15"/>
  <c r="AH84" i="15"/>
  <c r="AI84" i="15"/>
  <c r="AJ84" i="15"/>
  <c r="AK84" i="15"/>
  <c r="AM84" i="15"/>
  <c r="AO84" i="15"/>
  <c r="AB85" i="15"/>
  <c r="AC85" i="15"/>
  <c r="AD85" i="15"/>
  <c r="AE85" i="15"/>
  <c r="AF85" i="15"/>
  <c r="AG85" i="15"/>
  <c r="AH85" i="15"/>
  <c r="AI85" i="15"/>
  <c r="AJ85" i="15"/>
  <c r="AK85" i="15"/>
  <c r="AM85" i="15"/>
  <c r="AO85" i="15"/>
  <c r="AB86" i="15"/>
  <c r="AC86" i="15"/>
  <c r="AD86" i="15"/>
  <c r="AE86" i="15"/>
  <c r="AF86" i="15"/>
  <c r="AG86" i="15"/>
  <c r="AH86" i="15"/>
  <c r="AI86" i="15"/>
  <c r="AJ86" i="15"/>
  <c r="AK86" i="15"/>
  <c r="AM86" i="15"/>
  <c r="AO86" i="15"/>
  <c r="AB87" i="15"/>
  <c r="AC87" i="15"/>
  <c r="AD87" i="15"/>
  <c r="AE87" i="15"/>
  <c r="AF87" i="15"/>
  <c r="AG87" i="15"/>
  <c r="AH87" i="15"/>
  <c r="AI87" i="15"/>
  <c r="AJ87" i="15"/>
  <c r="AK87" i="15"/>
  <c r="AM87" i="15"/>
  <c r="AO87" i="15"/>
  <c r="AB88" i="15"/>
  <c r="AC88" i="15"/>
  <c r="AD88" i="15"/>
  <c r="AE88" i="15"/>
  <c r="AF88" i="15"/>
  <c r="AG88" i="15"/>
  <c r="AH88" i="15"/>
  <c r="AI88" i="15"/>
  <c r="AJ88" i="15"/>
  <c r="AK88" i="15"/>
  <c r="AM88" i="15"/>
  <c r="AO88" i="15"/>
  <c r="AB89" i="15"/>
  <c r="AC89" i="15"/>
  <c r="AD89" i="15"/>
  <c r="AE89" i="15"/>
  <c r="AF89" i="15"/>
  <c r="AG89" i="15"/>
  <c r="AH89" i="15"/>
  <c r="AI89" i="15"/>
  <c r="AJ89" i="15"/>
  <c r="AK89" i="15"/>
  <c r="AM89" i="15"/>
  <c r="AO89" i="15"/>
  <c r="AB90" i="15"/>
  <c r="AC90" i="15"/>
  <c r="AD90" i="15"/>
  <c r="AE90" i="15"/>
  <c r="AF90" i="15"/>
  <c r="AG90" i="15"/>
  <c r="AH90" i="15"/>
  <c r="AI90" i="15"/>
  <c r="AJ90" i="15"/>
  <c r="AK90" i="15"/>
  <c r="AM90" i="15"/>
  <c r="AO90" i="15"/>
  <c r="AB91" i="15"/>
  <c r="AC91" i="15"/>
  <c r="AD91" i="15"/>
  <c r="AE91" i="15"/>
  <c r="AF91" i="15"/>
  <c r="AG91" i="15"/>
  <c r="AH91" i="15"/>
  <c r="AI91" i="15"/>
  <c r="AJ91" i="15"/>
  <c r="AK91" i="15"/>
  <c r="AM91" i="15"/>
  <c r="AO91" i="15"/>
  <c r="AB92" i="15"/>
  <c r="AC92" i="15"/>
  <c r="AD92" i="15"/>
  <c r="AE92" i="15"/>
  <c r="AF92" i="15"/>
  <c r="AG92" i="15"/>
  <c r="AH92" i="15"/>
  <c r="AI92" i="15"/>
  <c r="AJ92" i="15"/>
  <c r="AK92" i="15"/>
  <c r="AM92" i="15"/>
  <c r="AO92" i="15"/>
  <c r="AB93" i="15"/>
  <c r="AC93" i="15"/>
  <c r="AD93" i="15"/>
  <c r="AE93" i="15"/>
  <c r="AF93" i="15"/>
  <c r="AG93" i="15"/>
  <c r="AH93" i="15"/>
  <c r="AI93" i="15"/>
  <c r="AJ93" i="15"/>
  <c r="AK93" i="15"/>
  <c r="AM93" i="15"/>
  <c r="AO93" i="15"/>
  <c r="AB94" i="15"/>
  <c r="AC94" i="15"/>
  <c r="AD94" i="15"/>
  <c r="AE94" i="15"/>
  <c r="AF94" i="15"/>
  <c r="AG94" i="15"/>
  <c r="AH94" i="15"/>
  <c r="AI94" i="15"/>
  <c r="AJ94" i="15"/>
  <c r="AK94" i="15"/>
  <c r="AM94" i="15"/>
  <c r="AO94" i="15"/>
  <c r="AB95" i="15"/>
  <c r="AC95" i="15"/>
  <c r="AD95" i="15"/>
  <c r="AE95" i="15"/>
  <c r="AF95" i="15"/>
  <c r="AG95" i="15"/>
  <c r="AH95" i="15"/>
  <c r="AI95" i="15"/>
  <c r="AJ95" i="15"/>
  <c r="AK95" i="15"/>
  <c r="AM95" i="15"/>
  <c r="AO95" i="15"/>
  <c r="AB96" i="15"/>
  <c r="AC96" i="15"/>
  <c r="AD96" i="15"/>
  <c r="AE96" i="15"/>
  <c r="AF96" i="15"/>
  <c r="AG96" i="15"/>
  <c r="AH96" i="15"/>
  <c r="AI96" i="15"/>
  <c r="AJ96" i="15"/>
  <c r="AK96" i="15"/>
  <c r="AM96" i="15"/>
  <c r="AO96" i="15"/>
  <c r="AB97" i="15"/>
  <c r="AC97" i="15"/>
  <c r="AD97" i="15"/>
  <c r="AE97" i="15"/>
  <c r="AF97" i="15"/>
  <c r="AG97" i="15"/>
  <c r="AH97" i="15"/>
  <c r="AI97" i="15"/>
  <c r="AJ97" i="15"/>
  <c r="AK97" i="15"/>
  <c r="AM97" i="15"/>
  <c r="AO97" i="15"/>
  <c r="AB98" i="15"/>
  <c r="AC98" i="15"/>
  <c r="AD98" i="15"/>
  <c r="AE98" i="15"/>
  <c r="AF98" i="15"/>
  <c r="AG98" i="15"/>
  <c r="AH98" i="15"/>
  <c r="AI98" i="15"/>
  <c r="AJ98" i="15"/>
  <c r="AK98" i="15"/>
  <c r="AM98" i="15"/>
  <c r="AO98" i="15"/>
  <c r="AB99" i="15"/>
  <c r="AC99" i="15"/>
  <c r="AD99" i="15"/>
  <c r="AE99" i="15"/>
  <c r="AF99" i="15"/>
  <c r="AG99" i="15"/>
  <c r="AH99" i="15"/>
  <c r="AI99" i="15"/>
  <c r="AJ99" i="15"/>
  <c r="AK99" i="15"/>
  <c r="AM99" i="15"/>
  <c r="AO99" i="15"/>
  <c r="AB100" i="15"/>
  <c r="AC100" i="15"/>
  <c r="AD100" i="15"/>
  <c r="AE100" i="15"/>
  <c r="AF100" i="15"/>
  <c r="AG100" i="15"/>
  <c r="AH100" i="15"/>
  <c r="AI100" i="15"/>
  <c r="AJ100" i="15"/>
  <c r="AK100" i="15"/>
  <c r="AM100" i="15"/>
  <c r="AO100" i="15"/>
  <c r="AB101" i="15"/>
  <c r="AC101" i="15"/>
  <c r="AD101" i="15"/>
  <c r="AE101" i="15"/>
  <c r="AF101" i="15"/>
  <c r="AG101" i="15"/>
  <c r="AH101" i="15"/>
  <c r="AI101" i="15"/>
  <c r="AJ101" i="15"/>
  <c r="AK101" i="15"/>
  <c r="AM101" i="15"/>
  <c r="AO101" i="15"/>
  <c r="AB102" i="15"/>
  <c r="AC102" i="15"/>
  <c r="AD102" i="15"/>
  <c r="AE102" i="15"/>
  <c r="AF102" i="15"/>
  <c r="AG102" i="15"/>
  <c r="AH102" i="15"/>
  <c r="AI102" i="15"/>
  <c r="AJ102" i="15"/>
  <c r="AK102" i="15"/>
  <c r="AM102" i="15"/>
  <c r="AO102" i="15"/>
  <c r="AB103" i="15"/>
  <c r="AC103" i="15"/>
  <c r="AD103" i="15"/>
  <c r="AE103" i="15"/>
  <c r="AF103" i="15"/>
  <c r="AG103" i="15"/>
  <c r="AH103" i="15"/>
  <c r="AI103" i="15"/>
  <c r="AJ103" i="15"/>
  <c r="AK103" i="15"/>
  <c r="AM103" i="15"/>
  <c r="AO103" i="15"/>
  <c r="AB104" i="15"/>
  <c r="AC104" i="15"/>
  <c r="AD104" i="15"/>
  <c r="AE104" i="15"/>
  <c r="AF104" i="15"/>
  <c r="AG104" i="15"/>
  <c r="AH104" i="15"/>
  <c r="AI104" i="15"/>
  <c r="AJ104" i="15"/>
  <c r="AK104" i="15"/>
  <c r="AM104" i="15"/>
  <c r="AO104" i="15"/>
  <c r="AB105" i="15"/>
  <c r="AC105" i="15"/>
  <c r="AD105" i="15"/>
  <c r="AE105" i="15"/>
  <c r="AF105" i="15"/>
  <c r="AG105" i="15"/>
  <c r="AH105" i="15"/>
  <c r="AI105" i="15"/>
  <c r="AJ105" i="15"/>
  <c r="AK105" i="15"/>
  <c r="AM105" i="15"/>
  <c r="AO105" i="15"/>
  <c r="AB106" i="15"/>
  <c r="AC106" i="15"/>
  <c r="AD106" i="15"/>
  <c r="AE106" i="15"/>
  <c r="AF106" i="15"/>
  <c r="AG106" i="15"/>
  <c r="AH106" i="15"/>
  <c r="AI106" i="15"/>
  <c r="AJ106" i="15"/>
  <c r="AK106" i="15"/>
  <c r="AM106" i="15"/>
  <c r="AO106" i="15"/>
  <c r="AB107" i="15"/>
  <c r="AC107" i="15"/>
  <c r="AD107" i="15"/>
  <c r="AE107" i="15"/>
  <c r="AF107" i="15"/>
  <c r="AG107" i="15"/>
  <c r="AH107" i="15"/>
  <c r="AI107" i="15"/>
  <c r="AJ107" i="15"/>
  <c r="AK107" i="15"/>
  <c r="AM107" i="15"/>
  <c r="AO107" i="15"/>
  <c r="AB108" i="15"/>
  <c r="AC108" i="15"/>
  <c r="AD108" i="15"/>
  <c r="AE108" i="15"/>
  <c r="AF108" i="15"/>
  <c r="AG108" i="15"/>
  <c r="AH108" i="15"/>
  <c r="AI108" i="15"/>
  <c r="AJ108" i="15"/>
  <c r="AK108" i="15"/>
  <c r="AM108" i="15"/>
  <c r="AO108" i="15"/>
  <c r="AB109" i="15"/>
  <c r="AC109" i="15"/>
  <c r="AD109" i="15"/>
  <c r="AE109" i="15"/>
  <c r="AF109" i="15"/>
  <c r="AG109" i="15"/>
  <c r="AH109" i="15"/>
  <c r="AI109" i="15"/>
  <c r="AJ109" i="15"/>
  <c r="AK109" i="15"/>
  <c r="AM109" i="15"/>
  <c r="AO109" i="15"/>
  <c r="AB110" i="15"/>
  <c r="AC110" i="15"/>
  <c r="AD110" i="15"/>
  <c r="AE110" i="15"/>
  <c r="AF110" i="15"/>
  <c r="AG110" i="15"/>
  <c r="AH110" i="15"/>
  <c r="AI110" i="15"/>
  <c r="AJ110" i="15"/>
  <c r="AK110" i="15"/>
  <c r="AM110" i="15"/>
  <c r="AO110" i="15"/>
  <c r="AB111" i="15"/>
  <c r="AC111" i="15"/>
  <c r="AD111" i="15"/>
  <c r="AE111" i="15"/>
  <c r="AF111" i="15"/>
  <c r="AG111" i="15"/>
  <c r="AH111" i="15"/>
  <c r="AI111" i="15"/>
  <c r="AJ111" i="15"/>
  <c r="AK111" i="15"/>
  <c r="AM111" i="15"/>
  <c r="AO111" i="15"/>
  <c r="AB112" i="15"/>
  <c r="AC112" i="15"/>
  <c r="AD112" i="15"/>
  <c r="AE112" i="15"/>
  <c r="AF112" i="15"/>
  <c r="AG112" i="15"/>
  <c r="AH112" i="15"/>
  <c r="AI112" i="15"/>
  <c r="AJ112" i="15"/>
  <c r="AK112" i="15"/>
  <c r="AM112" i="15"/>
  <c r="AO112" i="15"/>
  <c r="AB113" i="15"/>
  <c r="AC113" i="15"/>
  <c r="AD113" i="15"/>
  <c r="AE113" i="15"/>
  <c r="AF113" i="15"/>
  <c r="AG113" i="15"/>
  <c r="AH113" i="15"/>
  <c r="AI113" i="15"/>
  <c r="AJ113" i="15"/>
  <c r="AK113" i="15"/>
  <c r="AM113" i="15"/>
  <c r="AO113" i="15"/>
  <c r="AB114" i="15"/>
  <c r="AC114" i="15"/>
  <c r="AD114" i="15"/>
  <c r="AE114" i="15"/>
  <c r="AF114" i="15"/>
  <c r="AG114" i="15"/>
  <c r="AH114" i="15"/>
  <c r="AI114" i="15"/>
  <c r="AJ114" i="15"/>
  <c r="AK114" i="15"/>
  <c r="AM114" i="15"/>
  <c r="AO114" i="15"/>
  <c r="AB115" i="15"/>
  <c r="AC115" i="15"/>
  <c r="AD115" i="15"/>
  <c r="AE115" i="15"/>
  <c r="AF115" i="15"/>
  <c r="AG115" i="15"/>
  <c r="AH115" i="15"/>
  <c r="AI115" i="15"/>
  <c r="AJ115" i="15"/>
  <c r="AK115" i="15"/>
  <c r="AM115" i="15"/>
  <c r="AO115" i="15"/>
  <c r="AB116" i="15"/>
  <c r="AC116" i="15"/>
  <c r="AD116" i="15"/>
  <c r="AE116" i="15"/>
  <c r="AF116" i="15"/>
  <c r="AG116" i="15"/>
  <c r="AH116" i="15"/>
  <c r="AI116" i="15"/>
  <c r="AJ116" i="15"/>
  <c r="AK116" i="15"/>
  <c r="AM116" i="15"/>
  <c r="AO116" i="15"/>
  <c r="AB117" i="15"/>
  <c r="AC117" i="15"/>
  <c r="AD117" i="15"/>
  <c r="AE117" i="15"/>
  <c r="AF117" i="15"/>
  <c r="AG117" i="15"/>
  <c r="AH117" i="15"/>
  <c r="AI117" i="15"/>
  <c r="AJ117" i="15"/>
  <c r="AK117" i="15"/>
  <c r="AM117" i="15"/>
  <c r="AO117" i="15"/>
  <c r="AB118" i="15"/>
  <c r="AC118" i="15"/>
  <c r="AD118" i="15"/>
  <c r="AE118" i="15"/>
  <c r="AF118" i="15"/>
  <c r="AG118" i="15"/>
  <c r="AH118" i="15"/>
  <c r="AI118" i="15"/>
  <c r="AJ118" i="15"/>
  <c r="AK118" i="15"/>
  <c r="AM118" i="15"/>
  <c r="AO118" i="15"/>
  <c r="AB119" i="15"/>
  <c r="AC119" i="15"/>
  <c r="AD119" i="15"/>
  <c r="AE119" i="15"/>
  <c r="AF119" i="15"/>
  <c r="AG119" i="15"/>
  <c r="AH119" i="15"/>
  <c r="AI119" i="15"/>
  <c r="AJ119" i="15"/>
  <c r="AK119" i="15"/>
  <c r="AM119" i="15"/>
  <c r="AO119" i="15"/>
  <c r="AB120" i="15"/>
  <c r="AC120" i="15"/>
  <c r="AD120" i="15"/>
  <c r="AE120" i="15"/>
  <c r="AF120" i="15"/>
  <c r="AG120" i="15"/>
  <c r="AH120" i="15"/>
  <c r="AI120" i="15"/>
  <c r="AJ120" i="15"/>
  <c r="AK120" i="15"/>
  <c r="AM120" i="15"/>
  <c r="AO120" i="15"/>
  <c r="AB121" i="15"/>
  <c r="AC121" i="15"/>
  <c r="AD121" i="15"/>
  <c r="AE121" i="15"/>
  <c r="AF121" i="15"/>
  <c r="AG121" i="15"/>
  <c r="AH121" i="15"/>
  <c r="AI121" i="15"/>
  <c r="AJ121" i="15"/>
  <c r="AK121" i="15"/>
  <c r="AM121" i="15"/>
  <c r="AO121" i="15"/>
  <c r="AB122" i="15"/>
  <c r="AC122" i="15"/>
  <c r="AD122" i="15"/>
  <c r="AE122" i="15"/>
  <c r="AF122" i="15"/>
  <c r="AG122" i="15"/>
  <c r="AH122" i="15"/>
  <c r="AI122" i="15"/>
  <c r="AJ122" i="15"/>
  <c r="AK122" i="15"/>
  <c r="AM122" i="15"/>
  <c r="AO122" i="15"/>
  <c r="AB123" i="15"/>
  <c r="AC123" i="15"/>
  <c r="AD123" i="15"/>
  <c r="AE123" i="15"/>
  <c r="AF123" i="15"/>
  <c r="AG123" i="15"/>
  <c r="AH123" i="15"/>
  <c r="AI123" i="15"/>
  <c r="AJ123" i="15"/>
  <c r="AK123" i="15"/>
  <c r="AM123" i="15"/>
  <c r="AO123" i="15"/>
  <c r="AB124" i="15"/>
  <c r="AC124" i="15"/>
  <c r="AD124" i="15"/>
  <c r="AE124" i="15"/>
  <c r="AF124" i="15"/>
  <c r="AG124" i="15"/>
  <c r="AH124" i="15"/>
  <c r="AI124" i="15"/>
  <c r="AJ124" i="15"/>
  <c r="AK124" i="15"/>
  <c r="AM124" i="15"/>
  <c r="AO124" i="15"/>
  <c r="AB125" i="15"/>
  <c r="AC125" i="15"/>
  <c r="AD125" i="15"/>
  <c r="AE125" i="15"/>
  <c r="AF125" i="15"/>
  <c r="AG125" i="15"/>
  <c r="AH125" i="15"/>
  <c r="AI125" i="15"/>
  <c r="AJ125" i="15"/>
  <c r="AK125" i="15"/>
  <c r="AM125" i="15"/>
  <c r="AO125" i="15"/>
  <c r="AB126" i="15"/>
  <c r="AC126" i="15"/>
  <c r="AD126" i="15"/>
  <c r="AE126" i="15"/>
  <c r="AF126" i="15"/>
  <c r="AG126" i="15"/>
  <c r="AH126" i="15"/>
  <c r="AI126" i="15"/>
  <c r="AJ126" i="15"/>
  <c r="AK126" i="15"/>
  <c r="AM126" i="15"/>
  <c r="AO126" i="15"/>
  <c r="AB127" i="15"/>
  <c r="AC127" i="15"/>
  <c r="AD127" i="15"/>
  <c r="AE127" i="15"/>
  <c r="AF127" i="15"/>
  <c r="AG127" i="15"/>
  <c r="AH127" i="15"/>
  <c r="AI127" i="15"/>
  <c r="AJ127" i="15"/>
  <c r="AK127" i="15"/>
  <c r="AM127" i="15"/>
  <c r="AO127" i="15"/>
  <c r="AB128" i="15"/>
  <c r="AC128" i="15"/>
  <c r="AD128" i="15"/>
  <c r="AE128" i="15"/>
  <c r="AF128" i="15"/>
  <c r="AG128" i="15"/>
  <c r="AH128" i="15"/>
  <c r="AI128" i="15"/>
  <c r="AJ128" i="15"/>
  <c r="AK128" i="15"/>
  <c r="AM128" i="15"/>
  <c r="AO128" i="15"/>
  <c r="AB129" i="15"/>
  <c r="AC129" i="15"/>
  <c r="AD129" i="15"/>
  <c r="AE129" i="15"/>
  <c r="AF129" i="15"/>
  <c r="AG129" i="15"/>
  <c r="AH129" i="15"/>
  <c r="AI129" i="15"/>
  <c r="AJ129" i="15"/>
  <c r="AK129" i="15"/>
  <c r="AM129" i="15"/>
  <c r="AO129" i="15"/>
  <c r="AB130" i="15"/>
  <c r="AC130" i="15"/>
  <c r="AD130" i="15"/>
  <c r="AE130" i="15"/>
  <c r="AF130" i="15"/>
  <c r="AG130" i="15"/>
  <c r="AH130" i="15"/>
  <c r="AI130" i="15"/>
  <c r="AJ130" i="15"/>
  <c r="AK130" i="15"/>
  <c r="AM130" i="15"/>
  <c r="AO130" i="15"/>
  <c r="AB131" i="15"/>
  <c r="AC131" i="15"/>
  <c r="AD131" i="15"/>
  <c r="AE131" i="15"/>
  <c r="AF131" i="15"/>
  <c r="AG131" i="15"/>
  <c r="AH131" i="15"/>
  <c r="AI131" i="15"/>
  <c r="AJ131" i="15"/>
  <c r="AK131" i="15"/>
  <c r="AM131" i="15"/>
  <c r="AO131" i="15"/>
  <c r="AB132" i="15"/>
  <c r="AC132" i="15"/>
  <c r="AD132" i="15"/>
  <c r="AE132" i="15"/>
  <c r="AF132" i="15"/>
  <c r="AG132" i="15"/>
  <c r="AH132" i="15"/>
  <c r="AI132" i="15"/>
  <c r="AJ132" i="15"/>
  <c r="AK132" i="15"/>
  <c r="AM132" i="15"/>
  <c r="AO132" i="15"/>
  <c r="AB133" i="15"/>
  <c r="AC133" i="15"/>
  <c r="AD133" i="15"/>
  <c r="AE133" i="15"/>
  <c r="AF133" i="15"/>
  <c r="AG133" i="15"/>
  <c r="AH133" i="15"/>
  <c r="AI133" i="15"/>
  <c r="AJ133" i="15"/>
  <c r="AK133" i="15"/>
  <c r="AM133" i="15"/>
  <c r="AO133" i="15"/>
  <c r="AB134" i="15"/>
  <c r="AC134" i="15"/>
  <c r="AD134" i="15"/>
  <c r="AE134" i="15"/>
  <c r="AF134" i="15"/>
  <c r="AG134" i="15"/>
  <c r="AH134" i="15"/>
  <c r="AI134" i="15"/>
  <c r="AJ134" i="15"/>
  <c r="AK134" i="15"/>
  <c r="AM134" i="15"/>
  <c r="AO134" i="15"/>
  <c r="AB135" i="15"/>
  <c r="AC135" i="15"/>
  <c r="AD135" i="15"/>
  <c r="AE135" i="15"/>
  <c r="AF135" i="15"/>
  <c r="AG135" i="15"/>
  <c r="AH135" i="15"/>
  <c r="AI135" i="15"/>
  <c r="AJ135" i="15"/>
  <c r="AK135" i="15"/>
  <c r="AM135" i="15"/>
  <c r="AO135" i="15"/>
  <c r="AB136" i="15"/>
  <c r="AC136" i="15"/>
  <c r="AD136" i="15"/>
  <c r="AE136" i="15"/>
  <c r="AF136" i="15"/>
  <c r="AG136" i="15"/>
  <c r="AH136" i="15"/>
  <c r="AI136" i="15"/>
  <c r="AJ136" i="15"/>
  <c r="AK136" i="15"/>
  <c r="AM136" i="15"/>
  <c r="AO136" i="15"/>
  <c r="AB137" i="15"/>
  <c r="AC137" i="15"/>
  <c r="AD137" i="15"/>
  <c r="AE137" i="15"/>
  <c r="AF137" i="15"/>
  <c r="AG137" i="15"/>
  <c r="AH137" i="15"/>
  <c r="AI137" i="15"/>
  <c r="AJ137" i="15"/>
  <c r="AK137" i="15"/>
  <c r="AM137" i="15"/>
  <c r="AO137" i="15"/>
  <c r="AB138" i="15"/>
  <c r="AC138" i="15"/>
  <c r="AD138" i="15"/>
  <c r="AE138" i="15"/>
  <c r="AF138" i="15"/>
  <c r="AG138" i="15"/>
  <c r="AH138" i="15"/>
  <c r="AI138" i="15"/>
  <c r="AJ138" i="15"/>
  <c r="AK138" i="15"/>
  <c r="AM138" i="15"/>
  <c r="AO138" i="15"/>
  <c r="AB139" i="15"/>
  <c r="AC139" i="15"/>
  <c r="AD139" i="15"/>
  <c r="AE139" i="15"/>
  <c r="AF139" i="15"/>
  <c r="AG139" i="15"/>
  <c r="AH139" i="15"/>
  <c r="AI139" i="15"/>
  <c r="AJ139" i="15"/>
  <c r="AK139" i="15"/>
  <c r="AM139" i="15"/>
  <c r="AO139" i="15"/>
  <c r="AB140" i="15"/>
  <c r="AC140" i="15"/>
  <c r="AD140" i="15"/>
  <c r="AE140" i="15"/>
  <c r="AF140" i="15"/>
  <c r="AG140" i="15"/>
  <c r="AH140" i="15"/>
  <c r="AI140" i="15"/>
  <c r="AJ140" i="15"/>
  <c r="AK140" i="15"/>
  <c r="AM140" i="15"/>
  <c r="AO140" i="15"/>
  <c r="AB141" i="15"/>
  <c r="AC141" i="15"/>
  <c r="AD141" i="15"/>
  <c r="AE141" i="15"/>
  <c r="AF141" i="15"/>
  <c r="AG141" i="15"/>
  <c r="AH141" i="15"/>
  <c r="AI141" i="15"/>
  <c r="AJ141" i="15"/>
  <c r="AK141" i="15"/>
  <c r="AM141" i="15"/>
  <c r="AO141" i="15"/>
  <c r="AB142" i="15"/>
  <c r="AC142" i="15"/>
  <c r="AD142" i="15"/>
  <c r="AE142" i="15"/>
  <c r="AF142" i="15"/>
  <c r="AG142" i="15"/>
  <c r="AH142" i="15"/>
  <c r="AI142" i="15"/>
  <c r="AJ142" i="15"/>
  <c r="AK142" i="15"/>
  <c r="AM142" i="15"/>
  <c r="AO142" i="15"/>
  <c r="AB143" i="15"/>
  <c r="AC143" i="15"/>
  <c r="AD143" i="15"/>
  <c r="AE143" i="15"/>
  <c r="AF143" i="15"/>
  <c r="AG143" i="15"/>
  <c r="AH143" i="15"/>
  <c r="AI143" i="15"/>
  <c r="AJ143" i="15"/>
  <c r="AK143" i="15"/>
  <c r="AM143" i="15"/>
  <c r="AO143" i="15"/>
  <c r="AB144" i="15"/>
  <c r="AC144" i="15"/>
  <c r="AD144" i="15"/>
  <c r="AE144" i="15"/>
  <c r="AF144" i="15"/>
  <c r="AG144" i="15"/>
  <c r="AH144" i="15"/>
  <c r="AI144" i="15"/>
  <c r="AJ144" i="15"/>
  <c r="AK144" i="15"/>
  <c r="AM144" i="15"/>
  <c r="AO144" i="15"/>
  <c r="AB145" i="15"/>
  <c r="AC145" i="15"/>
  <c r="AD145" i="15"/>
  <c r="AE145" i="15"/>
  <c r="AF145" i="15"/>
  <c r="AG145" i="15"/>
  <c r="AH145" i="15"/>
  <c r="AI145" i="15"/>
  <c r="AJ145" i="15"/>
  <c r="AK145" i="15"/>
  <c r="AM145" i="15"/>
  <c r="AO145" i="15"/>
  <c r="AB146" i="15"/>
  <c r="AC146" i="15"/>
  <c r="AD146" i="15"/>
  <c r="AE146" i="15"/>
  <c r="AF146" i="15"/>
  <c r="AG146" i="15"/>
  <c r="AH146" i="15"/>
  <c r="AI146" i="15"/>
  <c r="AJ146" i="15"/>
  <c r="AK146" i="15"/>
  <c r="AM146" i="15"/>
  <c r="AO146" i="15"/>
  <c r="AB147" i="15"/>
  <c r="AC147" i="15"/>
  <c r="AD147" i="15"/>
  <c r="AE147" i="15"/>
  <c r="AF147" i="15"/>
  <c r="AG147" i="15"/>
  <c r="AH147" i="15"/>
  <c r="AI147" i="15"/>
  <c r="AJ147" i="15"/>
  <c r="AK147" i="15"/>
  <c r="AM147" i="15"/>
  <c r="AO147" i="15"/>
  <c r="AB148" i="15"/>
  <c r="AC148" i="15"/>
  <c r="AD148" i="15"/>
  <c r="AE148" i="15"/>
  <c r="AF148" i="15"/>
  <c r="AG148" i="15"/>
  <c r="AH148" i="15"/>
  <c r="AI148" i="15"/>
  <c r="AJ148" i="15"/>
  <c r="AK148" i="15"/>
  <c r="AM148" i="15"/>
  <c r="AO148" i="15"/>
  <c r="AB149" i="15"/>
  <c r="AC149" i="15"/>
  <c r="AD149" i="15"/>
  <c r="AE149" i="15"/>
  <c r="AF149" i="15"/>
  <c r="AG149" i="15"/>
  <c r="AH149" i="15"/>
  <c r="AI149" i="15"/>
  <c r="AJ149" i="15"/>
  <c r="AK149" i="15"/>
  <c r="AM149" i="15"/>
  <c r="AO149" i="15"/>
  <c r="AB150" i="15"/>
  <c r="AC150" i="15"/>
  <c r="AD150" i="15"/>
  <c r="AE150" i="15"/>
  <c r="AF150" i="15"/>
  <c r="AG150" i="15"/>
  <c r="AH150" i="15"/>
  <c r="AI150" i="15"/>
  <c r="AJ150" i="15"/>
  <c r="AK150" i="15"/>
  <c r="AM150" i="15"/>
  <c r="AO150" i="15"/>
  <c r="AB151" i="15"/>
  <c r="AC151" i="15"/>
  <c r="AD151" i="15"/>
  <c r="AE151" i="15"/>
  <c r="AF151" i="15"/>
  <c r="AG151" i="15"/>
  <c r="AH151" i="15"/>
  <c r="AI151" i="15"/>
  <c r="AJ151" i="15"/>
  <c r="AK151" i="15"/>
  <c r="AM151" i="15"/>
  <c r="AO151" i="15"/>
  <c r="AB152" i="15"/>
  <c r="AC152" i="15"/>
  <c r="AD152" i="15"/>
  <c r="AE152" i="15"/>
  <c r="AF152" i="15"/>
  <c r="AG152" i="15"/>
  <c r="AH152" i="15"/>
  <c r="AI152" i="15"/>
  <c r="AJ152" i="15"/>
  <c r="AK152" i="15"/>
  <c r="AM152" i="15"/>
  <c r="AO152" i="15"/>
  <c r="AB153" i="15"/>
  <c r="AC153" i="15"/>
  <c r="AD153" i="15"/>
  <c r="AE153" i="15"/>
  <c r="AF153" i="15"/>
  <c r="AG153" i="15"/>
  <c r="AH153" i="15"/>
  <c r="AI153" i="15"/>
  <c r="AJ153" i="15"/>
  <c r="AK153" i="15"/>
  <c r="AM153" i="15"/>
  <c r="AO153" i="15"/>
  <c r="AB154" i="15"/>
  <c r="AC154" i="15"/>
  <c r="AD154" i="15"/>
  <c r="AE154" i="15"/>
  <c r="AF154" i="15"/>
  <c r="AG154" i="15"/>
  <c r="AH154" i="15"/>
  <c r="AI154" i="15"/>
  <c r="AJ154" i="15"/>
  <c r="AK154" i="15"/>
  <c r="AM154" i="15"/>
  <c r="AO154" i="15"/>
  <c r="AB155" i="15"/>
  <c r="AC155" i="15"/>
  <c r="AD155" i="15"/>
  <c r="AE155" i="15"/>
  <c r="AF155" i="15"/>
  <c r="AG155" i="15"/>
  <c r="AH155" i="15"/>
  <c r="AI155" i="15"/>
  <c r="AJ155" i="15"/>
  <c r="AK155" i="15"/>
  <c r="AM155" i="15"/>
  <c r="AO155" i="15"/>
  <c r="AB156" i="15"/>
  <c r="AC156" i="15"/>
  <c r="AD156" i="15"/>
  <c r="AE156" i="15"/>
  <c r="AF156" i="15"/>
  <c r="AG156" i="15"/>
  <c r="AH156" i="15"/>
  <c r="AI156" i="15"/>
  <c r="AJ156" i="15"/>
  <c r="AK156" i="15"/>
  <c r="AM156" i="15"/>
  <c r="AO156" i="15"/>
  <c r="AB157" i="15"/>
  <c r="AC157" i="15"/>
  <c r="AD157" i="15"/>
  <c r="AE157" i="15"/>
  <c r="AF157" i="15"/>
  <c r="AG157" i="15"/>
  <c r="AH157" i="15"/>
  <c r="AI157" i="15"/>
  <c r="AJ157" i="15"/>
  <c r="AK157" i="15"/>
  <c r="AM157" i="15"/>
  <c r="AO157" i="15"/>
  <c r="AB158" i="15"/>
  <c r="AC158" i="15"/>
  <c r="AD158" i="15"/>
  <c r="AE158" i="15"/>
  <c r="AF158" i="15"/>
  <c r="AG158" i="15"/>
  <c r="AH158" i="15"/>
  <c r="AI158" i="15"/>
  <c r="AJ158" i="15"/>
  <c r="AK158" i="15"/>
  <c r="AM158" i="15"/>
  <c r="AO158" i="15"/>
  <c r="AB159" i="15"/>
  <c r="AC159" i="15"/>
  <c r="AD159" i="15"/>
  <c r="AE159" i="15"/>
  <c r="AF159" i="15"/>
  <c r="AG159" i="15"/>
  <c r="AH159" i="15"/>
  <c r="AI159" i="15"/>
  <c r="AJ159" i="15"/>
  <c r="AK159" i="15"/>
  <c r="AM159" i="15"/>
  <c r="AO159" i="15"/>
  <c r="AB160" i="15"/>
  <c r="AC160" i="15"/>
  <c r="AD160" i="15"/>
  <c r="AE160" i="15"/>
  <c r="AF160" i="15"/>
  <c r="AG160" i="15"/>
  <c r="AH160" i="15"/>
  <c r="AI160" i="15"/>
  <c r="AJ160" i="15"/>
  <c r="AK160" i="15"/>
  <c r="AM160" i="15"/>
  <c r="AO160" i="15"/>
  <c r="AB161" i="15"/>
  <c r="AC161" i="15"/>
  <c r="AD161" i="15"/>
  <c r="AE161" i="15"/>
  <c r="AF161" i="15"/>
  <c r="AG161" i="15"/>
  <c r="AH161" i="15"/>
  <c r="AI161" i="15"/>
  <c r="AJ161" i="15"/>
  <c r="AK161" i="15"/>
  <c r="AM161" i="15"/>
  <c r="AO161" i="15"/>
  <c r="AB162" i="15"/>
  <c r="AC162" i="15"/>
  <c r="AD162" i="15"/>
  <c r="AE162" i="15"/>
  <c r="AF162" i="15"/>
  <c r="AG162" i="15"/>
  <c r="AH162" i="15"/>
  <c r="AI162" i="15"/>
  <c r="AJ162" i="15"/>
  <c r="AK162" i="15"/>
  <c r="AM162" i="15"/>
  <c r="AO162" i="15"/>
  <c r="AB163" i="15"/>
  <c r="AC163" i="15"/>
  <c r="AD163" i="15"/>
  <c r="AE163" i="15"/>
  <c r="AF163" i="15"/>
  <c r="AG163" i="15"/>
  <c r="AH163" i="15"/>
  <c r="AI163" i="15"/>
  <c r="AJ163" i="15"/>
  <c r="AK163" i="15"/>
  <c r="AM163" i="15"/>
  <c r="AO163" i="15"/>
  <c r="AB164" i="15"/>
  <c r="AC164" i="15"/>
  <c r="AD164" i="15"/>
  <c r="AE164" i="15"/>
  <c r="AF164" i="15"/>
  <c r="AG164" i="15"/>
  <c r="AH164" i="15"/>
  <c r="AI164" i="15"/>
  <c r="AJ164" i="15"/>
  <c r="AK164" i="15"/>
  <c r="AM164" i="15"/>
  <c r="AO164" i="15"/>
  <c r="AB165" i="15"/>
  <c r="AC165" i="15"/>
  <c r="AD165" i="15"/>
  <c r="AE165" i="15"/>
  <c r="AF165" i="15"/>
  <c r="AG165" i="15"/>
  <c r="AH165" i="15"/>
  <c r="AI165" i="15"/>
  <c r="AJ165" i="15"/>
  <c r="AK165" i="15"/>
  <c r="AM165" i="15"/>
  <c r="AO165" i="15"/>
  <c r="AB166" i="15"/>
  <c r="AC166" i="15"/>
  <c r="AD166" i="15"/>
  <c r="AE166" i="15"/>
  <c r="AF166" i="15"/>
  <c r="AG166" i="15"/>
  <c r="AH166" i="15"/>
  <c r="AI166" i="15"/>
  <c r="AJ166" i="15"/>
  <c r="AK166" i="15"/>
  <c r="AM166" i="15"/>
  <c r="AO166" i="15"/>
  <c r="AB167" i="15"/>
  <c r="AC167" i="15"/>
  <c r="AD167" i="15"/>
  <c r="AE167" i="15"/>
  <c r="AF167" i="15"/>
  <c r="AG167" i="15"/>
  <c r="AH167" i="15"/>
  <c r="AI167" i="15"/>
  <c r="AJ167" i="15"/>
  <c r="AK167" i="15"/>
  <c r="AM167" i="15"/>
  <c r="AO167" i="15"/>
  <c r="AB168" i="15"/>
  <c r="AC168" i="15"/>
  <c r="AD168" i="15"/>
  <c r="AE168" i="15"/>
  <c r="AF168" i="15"/>
  <c r="AG168" i="15"/>
  <c r="AH168" i="15"/>
  <c r="AI168" i="15"/>
  <c r="AJ168" i="15"/>
  <c r="AK168" i="15"/>
  <c r="AM168" i="15"/>
  <c r="AO168" i="15"/>
  <c r="AB169" i="15"/>
  <c r="AC169" i="15"/>
  <c r="AD169" i="15"/>
  <c r="AE169" i="15"/>
  <c r="AF169" i="15"/>
  <c r="AG169" i="15"/>
  <c r="AH169" i="15"/>
  <c r="AI169" i="15"/>
  <c r="AJ169" i="15"/>
  <c r="AK169" i="15"/>
  <c r="AM169" i="15"/>
  <c r="AO169" i="15"/>
  <c r="AB170" i="15"/>
  <c r="AC170" i="15"/>
  <c r="AD170" i="15"/>
  <c r="AE170" i="15"/>
  <c r="AF170" i="15"/>
  <c r="AG170" i="15"/>
  <c r="AH170" i="15"/>
  <c r="AI170" i="15"/>
  <c r="AJ170" i="15"/>
  <c r="AK170" i="15"/>
  <c r="AM170" i="15"/>
  <c r="AO170" i="15"/>
  <c r="AB171" i="15"/>
  <c r="AC171" i="15"/>
  <c r="AD171" i="15"/>
  <c r="AE171" i="15"/>
  <c r="AF171" i="15"/>
  <c r="AG171" i="15"/>
  <c r="AH171" i="15"/>
  <c r="AI171" i="15"/>
  <c r="AJ171" i="15"/>
  <c r="AK171" i="15"/>
  <c r="AM171" i="15"/>
  <c r="AO171" i="15"/>
  <c r="AB172" i="15"/>
  <c r="AC172" i="15"/>
  <c r="AD172" i="15"/>
  <c r="AE172" i="15"/>
  <c r="AF172" i="15"/>
  <c r="AG172" i="15"/>
  <c r="AH172" i="15"/>
  <c r="AI172" i="15"/>
  <c r="AJ172" i="15"/>
  <c r="AK172" i="15"/>
  <c r="AM172" i="15"/>
  <c r="AO172" i="15"/>
  <c r="AB173" i="15"/>
  <c r="AC173" i="15"/>
  <c r="AD173" i="15"/>
  <c r="AE173" i="15"/>
  <c r="AF173" i="15"/>
  <c r="AG173" i="15"/>
  <c r="AH173" i="15"/>
  <c r="AI173" i="15"/>
  <c r="AJ173" i="15"/>
  <c r="AK173" i="15"/>
  <c r="AM173" i="15"/>
  <c r="AO173" i="15"/>
  <c r="AB174" i="15"/>
  <c r="AC174" i="15"/>
  <c r="AD174" i="15"/>
  <c r="AE174" i="15"/>
  <c r="AF174" i="15"/>
  <c r="AG174" i="15"/>
  <c r="AH174" i="15"/>
  <c r="AI174" i="15"/>
  <c r="AJ174" i="15"/>
  <c r="AK174" i="15"/>
  <c r="AM174" i="15"/>
  <c r="AO174" i="15"/>
  <c r="AB175" i="15"/>
  <c r="AC175" i="15"/>
  <c r="AD175" i="15"/>
  <c r="AE175" i="15"/>
  <c r="AF175" i="15"/>
  <c r="AG175" i="15"/>
  <c r="AH175" i="15"/>
  <c r="AI175" i="15"/>
  <c r="AJ175" i="15"/>
  <c r="AK175" i="15"/>
  <c r="AM175" i="15"/>
  <c r="AO175" i="15"/>
  <c r="AB176" i="15"/>
  <c r="AC176" i="15"/>
  <c r="AD176" i="15"/>
  <c r="AE176" i="15"/>
  <c r="AF176" i="15"/>
  <c r="AG176" i="15"/>
  <c r="AH176" i="15"/>
  <c r="AI176" i="15"/>
  <c r="AJ176" i="15"/>
  <c r="AK176" i="15"/>
  <c r="AM176" i="15"/>
  <c r="AO176" i="15"/>
  <c r="AB177" i="15"/>
  <c r="AC177" i="15"/>
  <c r="AD177" i="15"/>
  <c r="AE177" i="15"/>
  <c r="AF177" i="15"/>
  <c r="AG177" i="15"/>
  <c r="AH177" i="15"/>
  <c r="AI177" i="15"/>
  <c r="AJ177" i="15"/>
  <c r="AK177" i="15"/>
  <c r="AM177" i="15"/>
  <c r="AO177" i="15"/>
  <c r="AB178" i="15"/>
  <c r="AC178" i="15"/>
  <c r="AD178" i="15"/>
  <c r="AE178" i="15"/>
  <c r="AF178" i="15"/>
  <c r="AG178" i="15"/>
  <c r="AH178" i="15"/>
  <c r="AI178" i="15"/>
  <c r="AJ178" i="15"/>
  <c r="AK178" i="15"/>
  <c r="AM178" i="15"/>
  <c r="AO178" i="15"/>
  <c r="AB179" i="15"/>
  <c r="AC179" i="15"/>
  <c r="AD179" i="15"/>
  <c r="AE179" i="15"/>
  <c r="AF179" i="15"/>
  <c r="AG179" i="15"/>
  <c r="AH179" i="15"/>
  <c r="AI179" i="15"/>
  <c r="AJ179" i="15"/>
  <c r="AK179" i="15"/>
  <c r="AM179" i="15"/>
  <c r="AO179" i="15"/>
  <c r="AB180" i="15"/>
  <c r="AC180" i="15"/>
  <c r="AD180" i="15"/>
  <c r="AE180" i="15"/>
  <c r="AF180" i="15"/>
  <c r="AG180" i="15"/>
  <c r="AH180" i="15"/>
  <c r="AI180" i="15"/>
  <c r="AJ180" i="15"/>
  <c r="AK180" i="15"/>
  <c r="AM180" i="15"/>
  <c r="AO180" i="15"/>
  <c r="AB181" i="15"/>
  <c r="AC181" i="15"/>
  <c r="AD181" i="15"/>
  <c r="AE181" i="15"/>
  <c r="AF181" i="15"/>
  <c r="AG181" i="15"/>
  <c r="AH181" i="15"/>
  <c r="AI181" i="15"/>
  <c r="AJ181" i="15"/>
  <c r="AK181" i="15"/>
  <c r="AM181" i="15"/>
  <c r="AO181" i="15"/>
  <c r="AB182" i="15"/>
  <c r="AC182" i="15"/>
  <c r="AD182" i="15"/>
  <c r="AE182" i="15"/>
  <c r="AF182" i="15"/>
  <c r="AG182" i="15"/>
  <c r="AH182" i="15"/>
  <c r="AI182" i="15"/>
  <c r="AJ182" i="15"/>
  <c r="AK182" i="15"/>
  <c r="AM182" i="15"/>
  <c r="AO182" i="15"/>
  <c r="AB183" i="15"/>
  <c r="AC183" i="15"/>
  <c r="AD183" i="15"/>
  <c r="AE183" i="15"/>
  <c r="AF183" i="15"/>
  <c r="AG183" i="15"/>
  <c r="AH183" i="15"/>
  <c r="AI183" i="15"/>
  <c r="AJ183" i="15"/>
  <c r="AK183" i="15"/>
  <c r="AM183" i="15"/>
  <c r="AO183" i="15"/>
  <c r="AB184" i="15"/>
  <c r="AC184" i="15"/>
  <c r="AD184" i="15"/>
  <c r="AE184" i="15"/>
  <c r="AF184" i="15"/>
  <c r="AG184" i="15"/>
  <c r="AH184" i="15"/>
  <c r="AI184" i="15"/>
  <c r="AJ184" i="15"/>
  <c r="AK184" i="15"/>
  <c r="AM184" i="15"/>
  <c r="AO184" i="15"/>
  <c r="AB185" i="15"/>
  <c r="AC185" i="15"/>
  <c r="AD185" i="15"/>
  <c r="AE185" i="15"/>
  <c r="AF185" i="15"/>
  <c r="AG185" i="15"/>
  <c r="AH185" i="15"/>
  <c r="AI185" i="15"/>
  <c r="AJ185" i="15"/>
  <c r="AK185" i="15"/>
  <c r="AM185" i="15"/>
  <c r="AO185" i="15"/>
  <c r="AB186" i="15"/>
  <c r="AC186" i="15"/>
  <c r="AD186" i="15"/>
  <c r="AE186" i="15"/>
  <c r="AF186" i="15"/>
  <c r="AG186" i="15"/>
  <c r="AH186" i="15"/>
  <c r="AI186" i="15"/>
  <c r="AJ186" i="15"/>
  <c r="AK186" i="15"/>
  <c r="AM186" i="15"/>
  <c r="AO186" i="15"/>
  <c r="AB187" i="15"/>
  <c r="AC187" i="15"/>
  <c r="AD187" i="15"/>
  <c r="AE187" i="15"/>
  <c r="AF187" i="15"/>
  <c r="AG187" i="15"/>
  <c r="AH187" i="15"/>
  <c r="AI187" i="15"/>
  <c r="AJ187" i="15"/>
  <c r="AK187" i="15"/>
  <c r="AM187" i="15"/>
  <c r="AO187" i="15"/>
  <c r="AB188" i="15"/>
  <c r="AC188" i="15"/>
  <c r="AD188" i="15"/>
  <c r="AE188" i="15"/>
  <c r="AF188" i="15"/>
  <c r="AG188" i="15"/>
  <c r="AH188" i="15"/>
  <c r="AI188" i="15"/>
  <c r="AJ188" i="15"/>
  <c r="AK188" i="15"/>
  <c r="AM188" i="15"/>
  <c r="AO188" i="15"/>
  <c r="AB189" i="15"/>
  <c r="AC189" i="15"/>
  <c r="AD189" i="15"/>
  <c r="AE189" i="15"/>
  <c r="AF189" i="15"/>
  <c r="AG189" i="15"/>
  <c r="AH189" i="15"/>
  <c r="AI189" i="15"/>
  <c r="AJ189" i="15"/>
  <c r="AK189" i="15"/>
  <c r="AM189" i="15"/>
  <c r="AO189" i="15"/>
  <c r="AB190" i="15"/>
  <c r="AC190" i="15"/>
  <c r="AD190" i="15"/>
  <c r="AE190" i="15"/>
  <c r="AF190" i="15"/>
  <c r="AG190" i="15"/>
  <c r="AH190" i="15"/>
  <c r="AI190" i="15"/>
  <c r="AJ190" i="15"/>
  <c r="AK190" i="15"/>
  <c r="AM190" i="15"/>
  <c r="AO190" i="15"/>
  <c r="AB191" i="15"/>
  <c r="AC191" i="15"/>
  <c r="AD191" i="15"/>
  <c r="AE191" i="15"/>
  <c r="AF191" i="15"/>
  <c r="AG191" i="15"/>
  <c r="AH191" i="15"/>
  <c r="AI191" i="15"/>
  <c r="AJ191" i="15"/>
  <c r="AK191" i="15"/>
  <c r="AM191" i="15"/>
  <c r="AO191" i="15"/>
  <c r="AB192" i="15"/>
  <c r="AC192" i="15"/>
  <c r="AD192" i="15"/>
  <c r="AE192" i="15"/>
  <c r="AF192" i="15"/>
  <c r="AG192" i="15"/>
  <c r="AH192" i="15"/>
  <c r="AI192" i="15"/>
  <c r="AJ192" i="15"/>
  <c r="AK192" i="15"/>
  <c r="AM192" i="15"/>
  <c r="AO192" i="15"/>
  <c r="AB193" i="15"/>
  <c r="AC193" i="15"/>
  <c r="AD193" i="15"/>
  <c r="AE193" i="15"/>
  <c r="AF193" i="15"/>
  <c r="AG193" i="15"/>
  <c r="AH193" i="15"/>
  <c r="AI193" i="15"/>
  <c r="AJ193" i="15"/>
  <c r="AK193" i="15"/>
  <c r="AM193" i="15"/>
  <c r="AO193" i="15"/>
  <c r="AB194" i="15"/>
  <c r="AC194" i="15"/>
  <c r="AD194" i="15"/>
  <c r="AE194" i="15"/>
  <c r="AF194" i="15"/>
  <c r="AG194" i="15"/>
  <c r="AH194" i="15"/>
  <c r="AI194" i="15"/>
  <c r="AJ194" i="15"/>
  <c r="AK194" i="15"/>
  <c r="AM194" i="15"/>
  <c r="AO194" i="15"/>
  <c r="AB195" i="15"/>
  <c r="AC195" i="15"/>
  <c r="AD195" i="15"/>
  <c r="AE195" i="15"/>
  <c r="AF195" i="15"/>
  <c r="AG195" i="15"/>
  <c r="AH195" i="15"/>
  <c r="AI195" i="15"/>
  <c r="AJ195" i="15"/>
  <c r="AK195" i="15"/>
  <c r="AM195" i="15"/>
  <c r="AO195" i="15"/>
  <c r="AB196" i="15"/>
  <c r="AC196" i="15"/>
  <c r="AD196" i="15"/>
  <c r="AE196" i="15"/>
  <c r="AF196" i="15"/>
  <c r="AG196" i="15"/>
  <c r="AH196" i="15"/>
  <c r="AI196" i="15"/>
  <c r="AJ196" i="15"/>
  <c r="AK196" i="15"/>
  <c r="AM196" i="15"/>
  <c r="AO196" i="15"/>
  <c r="AB197" i="15"/>
  <c r="AC197" i="15"/>
  <c r="AD197" i="15"/>
  <c r="AE197" i="15"/>
  <c r="AF197" i="15"/>
  <c r="AG197" i="15"/>
  <c r="AH197" i="15"/>
  <c r="AI197" i="15"/>
  <c r="AJ197" i="15"/>
  <c r="AK197" i="15"/>
  <c r="AM197" i="15"/>
  <c r="AO197" i="15"/>
  <c r="AB198" i="15"/>
  <c r="AC198" i="15"/>
  <c r="AD198" i="15"/>
  <c r="AE198" i="15"/>
  <c r="AF198" i="15"/>
  <c r="AG198" i="15"/>
  <c r="AH198" i="15"/>
  <c r="AI198" i="15"/>
  <c r="AJ198" i="15"/>
  <c r="AK198" i="15"/>
  <c r="AM198" i="15"/>
  <c r="AO198" i="15"/>
  <c r="AB199" i="15"/>
  <c r="AC199" i="15"/>
  <c r="AD199" i="15"/>
  <c r="AE199" i="15"/>
  <c r="AF199" i="15"/>
  <c r="AG199" i="15"/>
  <c r="AH199" i="15"/>
  <c r="AI199" i="15"/>
  <c r="AJ199" i="15"/>
  <c r="AK199" i="15"/>
  <c r="AM199" i="15"/>
  <c r="AO199" i="15"/>
  <c r="AB200" i="15"/>
  <c r="AC200" i="15"/>
  <c r="AD200" i="15"/>
  <c r="AE200" i="15"/>
  <c r="AF200" i="15"/>
  <c r="AG200" i="15"/>
  <c r="AH200" i="15"/>
  <c r="AI200" i="15"/>
  <c r="AJ200" i="15"/>
  <c r="AK200" i="15"/>
  <c r="AM200" i="15"/>
  <c r="AO200" i="15"/>
  <c r="AB201" i="15"/>
  <c r="AC201" i="15"/>
  <c r="AD201" i="15"/>
  <c r="AE201" i="15"/>
  <c r="AF201" i="15"/>
  <c r="AG201" i="15"/>
  <c r="AH201" i="15"/>
  <c r="AI201" i="15"/>
  <c r="AJ201" i="15"/>
  <c r="AK201" i="15"/>
  <c r="AM201" i="15"/>
  <c r="AO201" i="15"/>
  <c r="AB202" i="15"/>
  <c r="AC202" i="15"/>
  <c r="AD202" i="15"/>
  <c r="AE202" i="15"/>
  <c r="AF202" i="15"/>
  <c r="AG202" i="15"/>
  <c r="AH202" i="15"/>
  <c r="AI202" i="15"/>
  <c r="AJ202" i="15"/>
  <c r="AK202" i="15"/>
  <c r="AM202" i="15"/>
  <c r="AO202" i="15"/>
  <c r="AB203" i="15"/>
  <c r="AC203" i="15"/>
  <c r="AD203" i="15"/>
  <c r="AE203" i="15"/>
  <c r="AF203" i="15"/>
  <c r="AG203" i="15"/>
  <c r="AH203" i="15"/>
  <c r="AI203" i="15"/>
  <c r="AJ203" i="15"/>
  <c r="AK203" i="15"/>
  <c r="AM203" i="15"/>
  <c r="AO203" i="15"/>
  <c r="AB204" i="15"/>
  <c r="AC204" i="15"/>
  <c r="AD204" i="15"/>
  <c r="AE204" i="15"/>
  <c r="AF204" i="15"/>
  <c r="AG204" i="15"/>
  <c r="AH204" i="15"/>
  <c r="AI204" i="15"/>
  <c r="AJ204" i="15"/>
  <c r="AK204" i="15"/>
  <c r="AM204" i="15"/>
  <c r="AO204" i="15"/>
  <c r="AB205" i="15"/>
  <c r="AC205" i="15"/>
  <c r="AD205" i="15"/>
  <c r="AE205" i="15"/>
  <c r="AF205" i="15"/>
  <c r="AG205" i="15"/>
  <c r="AH205" i="15"/>
  <c r="AI205" i="15"/>
  <c r="AJ205" i="15"/>
  <c r="AK205" i="15"/>
  <c r="AM205" i="15"/>
  <c r="AO205" i="15"/>
  <c r="AB206" i="15"/>
  <c r="AC206" i="15"/>
  <c r="AD206" i="15"/>
  <c r="AE206" i="15"/>
  <c r="AF206" i="15"/>
  <c r="AG206" i="15"/>
  <c r="AH206" i="15"/>
  <c r="AI206" i="15"/>
  <c r="AJ206" i="15"/>
  <c r="AK206" i="15"/>
  <c r="AM206" i="15"/>
  <c r="AO206" i="15"/>
  <c r="AB207" i="15"/>
  <c r="AC207" i="15"/>
  <c r="AD207" i="15"/>
  <c r="AE207" i="15"/>
  <c r="AF207" i="15"/>
  <c r="AG207" i="15"/>
  <c r="AH207" i="15"/>
  <c r="AI207" i="15"/>
  <c r="AJ207" i="15"/>
  <c r="AK207" i="15"/>
  <c r="AM207" i="15"/>
  <c r="AO207" i="15"/>
  <c r="AB208" i="15"/>
  <c r="AC208" i="15"/>
  <c r="AD208" i="15"/>
  <c r="AE208" i="15"/>
  <c r="AF208" i="15"/>
  <c r="AG208" i="15"/>
  <c r="AH208" i="15"/>
  <c r="AI208" i="15"/>
  <c r="AJ208" i="15"/>
  <c r="AK208" i="15"/>
  <c r="AM208" i="15"/>
  <c r="AO208" i="15"/>
  <c r="AB209" i="15"/>
  <c r="AC209" i="15"/>
  <c r="AD209" i="15"/>
  <c r="AE209" i="15"/>
  <c r="AF209" i="15"/>
  <c r="AG209" i="15"/>
  <c r="AH209" i="15"/>
  <c r="AI209" i="15"/>
  <c r="AJ209" i="15"/>
  <c r="AK209" i="15"/>
  <c r="AM209" i="15"/>
  <c r="AO209" i="15"/>
  <c r="AB210" i="15"/>
  <c r="AC210" i="15"/>
  <c r="AD210" i="15"/>
  <c r="AE210" i="15"/>
  <c r="AF210" i="15"/>
  <c r="AG210" i="15"/>
  <c r="AH210" i="15"/>
  <c r="AI210" i="15"/>
  <c r="AJ210" i="15"/>
  <c r="AK210" i="15"/>
  <c r="AM210" i="15"/>
  <c r="AO210" i="15"/>
  <c r="AB211" i="15"/>
  <c r="AC211" i="15"/>
  <c r="AD211" i="15"/>
  <c r="AE211" i="15"/>
  <c r="AF211" i="15"/>
  <c r="AG211" i="15"/>
  <c r="AH211" i="15"/>
  <c r="AI211" i="15"/>
  <c r="AJ211" i="15"/>
  <c r="AK211" i="15"/>
  <c r="AM211" i="15"/>
  <c r="AO211" i="15"/>
  <c r="AB212" i="15"/>
  <c r="AC212" i="15"/>
  <c r="AD212" i="15"/>
  <c r="AE212" i="15"/>
  <c r="AF212" i="15"/>
  <c r="AG212" i="15"/>
  <c r="AH212" i="15"/>
  <c r="AI212" i="15"/>
  <c r="AJ212" i="15"/>
  <c r="AK212" i="15"/>
  <c r="AM212" i="15"/>
  <c r="AO212" i="15"/>
  <c r="AB213" i="15"/>
  <c r="AC213" i="15"/>
  <c r="AD213" i="15"/>
  <c r="AE213" i="15"/>
  <c r="AF213" i="15"/>
  <c r="AG213" i="15"/>
  <c r="AH213" i="15"/>
  <c r="AI213" i="15"/>
  <c r="AJ213" i="15"/>
  <c r="AK213" i="15"/>
  <c r="AM213" i="15"/>
  <c r="AO213" i="15"/>
  <c r="AB214" i="15"/>
  <c r="AC214" i="15"/>
  <c r="AD214" i="15"/>
  <c r="AE214" i="15"/>
  <c r="AF214" i="15"/>
  <c r="AG214" i="15"/>
  <c r="AH214" i="15"/>
  <c r="AI214" i="15"/>
  <c r="AJ214" i="15"/>
  <c r="AK214" i="15"/>
  <c r="AM214" i="15"/>
  <c r="AO214" i="15"/>
  <c r="AB215" i="15"/>
  <c r="AC215" i="15"/>
  <c r="AD215" i="15"/>
  <c r="AE215" i="15"/>
  <c r="AF215" i="15"/>
  <c r="AG215" i="15"/>
  <c r="AH215" i="15"/>
  <c r="AI215" i="15"/>
  <c r="AJ215" i="15"/>
  <c r="AK215" i="15"/>
  <c r="AM215" i="15"/>
  <c r="AO215" i="15"/>
  <c r="AB216" i="15"/>
  <c r="AC216" i="15"/>
  <c r="AD216" i="15"/>
  <c r="AE216" i="15"/>
  <c r="AF216" i="15"/>
  <c r="AG216" i="15"/>
  <c r="AH216" i="15"/>
  <c r="AI216" i="15"/>
  <c r="AJ216" i="15"/>
  <c r="AK216" i="15"/>
  <c r="AM216" i="15"/>
  <c r="AO216" i="15"/>
  <c r="AB217" i="15"/>
  <c r="AC217" i="15"/>
  <c r="AD217" i="15"/>
  <c r="AE217" i="15"/>
  <c r="AF217" i="15"/>
  <c r="AG217" i="15"/>
  <c r="AH217" i="15"/>
  <c r="AI217" i="15"/>
  <c r="AJ217" i="15"/>
  <c r="AK217" i="15"/>
  <c r="AM217" i="15"/>
  <c r="AO217" i="15"/>
  <c r="AB218" i="15"/>
  <c r="AC218" i="15"/>
  <c r="AD218" i="15"/>
  <c r="AE218" i="15"/>
  <c r="AF218" i="15"/>
  <c r="AG218" i="15"/>
  <c r="AH218" i="15"/>
  <c r="AI218" i="15"/>
  <c r="AJ218" i="15"/>
  <c r="AK218" i="15"/>
  <c r="AM218" i="15"/>
  <c r="AO218" i="15"/>
  <c r="AB219" i="15"/>
  <c r="AC219" i="15"/>
  <c r="AD219" i="15"/>
  <c r="AE219" i="15"/>
  <c r="AF219" i="15"/>
  <c r="AG219" i="15"/>
  <c r="AH219" i="15"/>
  <c r="AI219" i="15"/>
  <c r="AJ219" i="15"/>
  <c r="AK219" i="15"/>
  <c r="AM219" i="15"/>
  <c r="AO219" i="15"/>
  <c r="AB220" i="15"/>
  <c r="AC220" i="15"/>
  <c r="AD220" i="15"/>
  <c r="AE220" i="15"/>
  <c r="AF220" i="15"/>
  <c r="AG220" i="15"/>
  <c r="AH220" i="15"/>
  <c r="AI220" i="15"/>
  <c r="AJ220" i="15"/>
  <c r="AK220" i="15"/>
  <c r="AM220" i="15"/>
  <c r="AO220" i="15"/>
  <c r="AB221" i="15"/>
  <c r="AC221" i="15"/>
  <c r="AD221" i="15"/>
  <c r="AE221" i="15"/>
  <c r="AF221" i="15"/>
  <c r="AG221" i="15"/>
  <c r="AH221" i="15"/>
  <c r="AI221" i="15"/>
  <c r="AJ221" i="15"/>
  <c r="AK221" i="15"/>
  <c r="AM221" i="15"/>
  <c r="AO221" i="15"/>
  <c r="AB222" i="15"/>
  <c r="AC222" i="15"/>
  <c r="AD222" i="15"/>
  <c r="AE222" i="15"/>
  <c r="AF222" i="15"/>
  <c r="AG222" i="15"/>
  <c r="AH222" i="15"/>
  <c r="AI222" i="15"/>
  <c r="AJ222" i="15"/>
  <c r="AK222" i="15"/>
  <c r="AM222" i="15"/>
  <c r="AO222" i="15"/>
  <c r="AB223" i="15"/>
  <c r="AC223" i="15"/>
  <c r="AD223" i="15"/>
  <c r="AE223" i="15"/>
  <c r="AF223" i="15"/>
  <c r="AG223" i="15"/>
  <c r="AH223" i="15"/>
  <c r="AI223" i="15"/>
  <c r="AJ223" i="15"/>
  <c r="AK223" i="15"/>
  <c r="AM223" i="15"/>
  <c r="AO223" i="15"/>
  <c r="AB224" i="15"/>
  <c r="AC224" i="15"/>
  <c r="AD224" i="15"/>
  <c r="AE224" i="15"/>
  <c r="AF224" i="15"/>
  <c r="AG224" i="15"/>
  <c r="AH224" i="15"/>
  <c r="AI224" i="15"/>
  <c r="AJ224" i="15"/>
  <c r="AK224" i="15"/>
  <c r="AM224" i="15"/>
  <c r="AO224" i="15"/>
  <c r="AB225" i="15"/>
  <c r="AC225" i="15"/>
  <c r="AD225" i="15"/>
  <c r="AE225" i="15"/>
  <c r="AF225" i="15"/>
  <c r="AG225" i="15"/>
  <c r="AH225" i="15"/>
  <c r="AI225" i="15"/>
  <c r="AJ225" i="15"/>
  <c r="AK225" i="15"/>
  <c r="AM225" i="15"/>
  <c r="AO225" i="15"/>
  <c r="AB226" i="15"/>
  <c r="AC226" i="15"/>
  <c r="AD226" i="15"/>
  <c r="AE226" i="15"/>
  <c r="AF226" i="15"/>
  <c r="AG226" i="15"/>
  <c r="AH226" i="15"/>
  <c r="AI226" i="15"/>
  <c r="AJ226" i="15"/>
  <c r="AK226" i="15"/>
  <c r="AM226" i="15"/>
  <c r="AO226" i="15"/>
  <c r="AB227" i="15"/>
  <c r="AC227" i="15"/>
  <c r="AD227" i="15"/>
  <c r="AE227" i="15"/>
  <c r="AF227" i="15"/>
  <c r="AG227" i="15"/>
  <c r="AH227" i="15"/>
  <c r="AI227" i="15"/>
  <c r="AJ227" i="15"/>
  <c r="AK227" i="15"/>
  <c r="AM227" i="15"/>
  <c r="AO227" i="15"/>
  <c r="AB228" i="15"/>
  <c r="AC228" i="15"/>
  <c r="AD228" i="15"/>
  <c r="AE228" i="15"/>
  <c r="AF228" i="15"/>
  <c r="AG228" i="15"/>
  <c r="AH228" i="15"/>
  <c r="AI228" i="15"/>
  <c r="AJ228" i="15"/>
  <c r="AK228" i="15"/>
  <c r="AM228" i="15"/>
  <c r="AO228" i="15"/>
  <c r="AB229" i="15"/>
  <c r="AC229" i="15"/>
  <c r="AD229" i="15"/>
  <c r="AE229" i="15"/>
  <c r="AF229" i="15"/>
  <c r="AG229" i="15"/>
  <c r="AH229" i="15"/>
  <c r="AI229" i="15"/>
  <c r="AJ229" i="15"/>
  <c r="AK229" i="15"/>
  <c r="AM229" i="15"/>
  <c r="AO229" i="15"/>
  <c r="AB230" i="15"/>
  <c r="AC230" i="15"/>
  <c r="AD230" i="15"/>
  <c r="AE230" i="15"/>
  <c r="AF230" i="15"/>
  <c r="AG230" i="15"/>
  <c r="AH230" i="15"/>
  <c r="AI230" i="15"/>
  <c r="AJ230" i="15"/>
  <c r="AK230" i="15"/>
  <c r="AM230" i="15"/>
  <c r="AO230" i="15"/>
  <c r="AB231" i="15"/>
  <c r="AC231" i="15"/>
  <c r="AD231" i="15"/>
  <c r="AE231" i="15"/>
  <c r="AF231" i="15"/>
  <c r="AG231" i="15"/>
  <c r="AH231" i="15"/>
  <c r="AI231" i="15"/>
  <c r="AJ231" i="15"/>
  <c r="AK231" i="15"/>
  <c r="AM231" i="15"/>
  <c r="AO231" i="15"/>
  <c r="AB232" i="15"/>
  <c r="AC232" i="15"/>
  <c r="AD232" i="15"/>
  <c r="AE232" i="15"/>
  <c r="AF232" i="15"/>
  <c r="AG232" i="15"/>
  <c r="AH232" i="15"/>
  <c r="AI232" i="15"/>
  <c r="AJ232" i="15"/>
  <c r="AK232" i="15"/>
  <c r="AM232" i="15"/>
  <c r="AO232" i="15"/>
  <c r="AB233" i="15"/>
  <c r="AC233" i="15"/>
  <c r="AD233" i="15"/>
  <c r="AE233" i="15"/>
  <c r="AF233" i="15"/>
  <c r="AG233" i="15"/>
  <c r="AH233" i="15"/>
  <c r="AI233" i="15"/>
  <c r="AJ233" i="15"/>
  <c r="AK233" i="15"/>
  <c r="AM233" i="15"/>
  <c r="AO233" i="15"/>
  <c r="AB234" i="15"/>
  <c r="AC234" i="15"/>
  <c r="AD234" i="15"/>
  <c r="AE234" i="15"/>
  <c r="AF234" i="15"/>
  <c r="AG234" i="15"/>
  <c r="AH234" i="15"/>
  <c r="AI234" i="15"/>
  <c r="AJ234" i="15"/>
  <c r="AK234" i="15"/>
  <c r="AM234" i="15"/>
  <c r="AO234" i="15"/>
  <c r="AB235" i="15"/>
  <c r="AC235" i="15"/>
  <c r="AD235" i="15"/>
  <c r="AE235" i="15"/>
  <c r="AF235" i="15"/>
  <c r="AG235" i="15"/>
  <c r="AH235" i="15"/>
  <c r="AI235" i="15"/>
  <c r="AJ235" i="15"/>
  <c r="AK235" i="15"/>
  <c r="AM235" i="15"/>
  <c r="AO235" i="15"/>
  <c r="AB236" i="15"/>
  <c r="AC236" i="15"/>
  <c r="AD236" i="15"/>
  <c r="AE236" i="15"/>
  <c r="AF236" i="15"/>
  <c r="AG236" i="15"/>
  <c r="AH236" i="15"/>
  <c r="AI236" i="15"/>
  <c r="AJ236" i="15"/>
  <c r="AK236" i="15"/>
  <c r="AM236" i="15"/>
  <c r="AO236" i="15"/>
  <c r="AB237" i="15"/>
  <c r="AC237" i="15"/>
  <c r="AD237" i="15"/>
  <c r="AE237" i="15"/>
  <c r="AF237" i="15"/>
  <c r="AG237" i="15"/>
  <c r="AH237" i="15"/>
  <c r="AI237" i="15"/>
  <c r="AJ237" i="15"/>
  <c r="AK237" i="15"/>
  <c r="AM237" i="15"/>
  <c r="AO237" i="15"/>
  <c r="AB238" i="15"/>
  <c r="AC238" i="15"/>
  <c r="AD238" i="15"/>
  <c r="AE238" i="15"/>
  <c r="AF238" i="15"/>
  <c r="AG238" i="15"/>
  <c r="AH238" i="15"/>
  <c r="AI238" i="15"/>
  <c r="AJ238" i="15"/>
  <c r="AK238" i="15"/>
  <c r="AM238" i="15"/>
  <c r="AO238" i="15"/>
  <c r="AB239" i="15"/>
  <c r="AC239" i="15"/>
  <c r="AD239" i="15"/>
  <c r="AE239" i="15"/>
  <c r="AF239" i="15"/>
  <c r="AG239" i="15"/>
  <c r="AH239" i="15"/>
  <c r="AI239" i="15"/>
  <c r="AJ239" i="15"/>
  <c r="AK239" i="15"/>
  <c r="AM239" i="15"/>
  <c r="AO239" i="15"/>
  <c r="AB240" i="15"/>
  <c r="AC240" i="15"/>
  <c r="AD240" i="15"/>
  <c r="AE240" i="15"/>
  <c r="AF240" i="15"/>
  <c r="AG240" i="15"/>
  <c r="AH240" i="15"/>
  <c r="AI240" i="15"/>
  <c r="AJ240" i="15"/>
  <c r="AK240" i="15"/>
  <c r="AM240" i="15"/>
  <c r="AO240" i="15"/>
  <c r="AB241" i="15"/>
  <c r="AC241" i="15"/>
  <c r="AD241" i="15"/>
  <c r="AE241" i="15"/>
  <c r="AF241" i="15"/>
  <c r="AG241" i="15"/>
  <c r="AH241" i="15"/>
  <c r="AI241" i="15"/>
  <c r="AJ241" i="15"/>
  <c r="AK241" i="15"/>
  <c r="AM241" i="15"/>
  <c r="AO241" i="15"/>
  <c r="AB242" i="15"/>
  <c r="AC242" i="15"/>
  <c r="AD242" i="15"/>
  <c r="AE242" i="15"/>
  <c r="AF242" i="15"/>
  <c r="AG242" i="15"/>
  <c r="AH242" i="15"/>
  <c r="AI242" i="15"/>
  <c r="AJ242" i="15"/>
  <c r="AK242" i="15"/>
  <c r="AM242" i="15"/>
  <c r="AO242" i="15"/>
  <c r="AB243" i="15"/>
  <c r="AC243" i="15"/>
  <c r="AD243" i="15"/>
  <c r="AE243" i="15"/>
  <c r="AF243" i="15"/>
  <c r="AG243" i="15"/>
  <c r="AH243" i="15"/>
  <c r="AI243" i="15"/>
  <c r="AJ243" i="15"/>
  <c r="AK243" i="15"/>
  <c r="AM243" i="15"/>
  <c r="AO243" i="15"/>
  <c r="AB244" i="15"/>
  <c r="AC244" i="15"/>
  <c r="AD244" i="15"/>
  <c r="AE244" i="15"/>
  <c r="AF244" i="15"/>
  <c r="AG244" i="15"/>
  <c r="AH244" i="15"/>
  <c r="AI244" i="15"/>
  <c r="AJ244" i="15"/>
  <c r="AK244" i="15"/>
  <c r="AM244" i="15"/>
  <c r="AO244" i="15"/>
  <c r="AB245" i="15"/>
  <c r="AC245" i="15"/>
  <c r="AD245" i="15"/>
  <c r="AE245" i="15"/>
  <c r="AF245" i="15"/>
  <c r="AG245" i="15"/>
  <c r="AH245" i="15"/>
  <c r="AI245" i="15"/>
  <c r="AJ245" i="15"/>
  <c r="AK245" i="15"/>
  <c r="AM245" i="15"/>
  <c r="AO245" i="15"/>
  <c r="AB246" i="15"/>
  <c r="AC246" i="15"/>
  <c r="AD246" i="15"/>
  <c r="AE246" i="15"/>
  <c r="AF246" i="15"/>
  <c r="AG246" i="15"/>
  <c r="AH246" i="15"/>
  <c r="AI246" i="15"/>
  <c r="AJ246" i="15"/>
  <c r="AK246" i="15"/>
  <c r="AM246" i="15"/>
  <c r="AO246" i="15"/>
  <c r="AB247" i="15"/>
  <c r="AC247" i="15"/>
  <c r="AD247" i="15"/>
  <c r="AE247" i="15"/>
  <c r="AF247" i="15"/>
  <c r="AG247" i="15"/>
  <c r="AH247" i="15"/>
  <c r="AI247" i="15"/>
  <c r="AJ247" i="15"/>
  <c r="AK247" i="15"/>
  <c r="AM247" i="15"/>
  <c r="AO247" i="15"/>
  <c r="AB248" i="15"/>
  <c r="AC248" i="15"/>
  <c r="AD248" i="15"/>
  <c r="AE248" i="15"/>
  <c r="AF248" i="15"/>
  <c r="AG248" i="15"/>
  <c r="AH248" i="15"/>
  <c r="AI248" i="15"/>
  <c r="AJ248" i="15"/>
  <c r="AK248" i="15"/>
  <c r="AM248" i="15"/>
  <c r="AO248" i="15"/>
  <c r="AB249" i="15"/>
  <c r="AC249" i="15"/>
  <c r="AD249" i="15"/>
  <c r="AE249" i="15"/>
  <c r="AF249" i="15"/>
  <c r="AG249" i="15"/>
  <c r="AH249" i="15"/>
  <c r="AI249" i="15"/>
  <c r="AJ249" i="15"/>
  <c r="AK249" i="15"/>
  <c r="AM249" i="15"/>
  <c r="AB250" i="15"/>
  <c r="AC250" i="15"/>
  <c r="AD250" i="15"/>
  <c r="AE250" i="15"/>
  <c r="AF250" i="15"/>
  <c r="AG250" i="15"/>
  <c r="AH250" i="15"/>
  <c r="AI250" i="15"/>
  <c r="AJ250" i="15"/>
  <c r="AK250" i="15"/>
  <c r="AM250" i="15"/>
  <c r="B2" i="13"/>
  <c r="H4" i="13"/>
  <c r="H5" i="13"/>
  <c r="H6" i="13"/>
  <c r="H7" i="13"/>
  <c r="CI10" i="13"/>
  <c r="CJ10" i="13"/>
  <c r="CK10" i="13"/>
  <c r="Y11" i="13"/>
  <c r="Z11" i="13"/>
  <c r="AA11" i="13"/>
  <c r="AB11" i="13"/>
  <c r="AC11" i="13"/>
  <c r="AD11" i="13"/>
  <c r="AE11" i="13"/>
  <c r="AF11" i="13"/>
  <c r="AG11" i="13"/>
  <c r="AH11" i="13"/>
  <c r="AI11" i="13"/>
  <c r="A12" i="13"/>
  <c r="B12" i="13"/>
  <c r="B12" i="13" a="1"/>
  <c r="C12" i="13"/>
  <c r="D12" i="13"/>
  <c r="E12" i="13"/>
  <c r="F12" i="13"/>
  <c r="G12" i="13"/>
  <c r="H12" i="13"/>
  <c r="I12" i="13"/>
  <c r="J12" i="13"/>
  <c r="J12" i="13" a="1"/>
  <c r="K12" i="13"/>
  <c r="L12" i="13"/>
  <c r="N12" i="13"/>
  <c r="Q12" i="13"/>
  <c r="S12" i="13"/>
  <c r="T12" i="13"/>
  <c r="U12" i="13"/>
  <c r="V12" i="13"/>
  <c r="W12" i="13"/>
  <c r="W12" i="13" a="1"/>
  <c r="X12" i="13"/>
  <c r="X12" i="13" a="1"/>
  <c r="AJ12" i="13"/>
  <c r="BY12" i="13"/>
  <c r="BZ12" i="13"/>
  <c r="CB12" i="13"/>
  <c r="CC12" i="13"/>
  <c r="CD12" i="13"/>
  <c r="CE12" i="13"/>
  <c r="CF12" i="13"/>
  <c r="CG12" i="13"/>
  <c r="CH12" i="13"/>
  <c r="CI12" i="13"/>
  <c r="CJ12" i="13"/>
  <c r="CK12" i="13"/>
  <c r="CL12" i="13"/>
  <c r="DI12" i="13"/>
  <c r="DJ12" i="13"/>
  <c r="DK12" i="13"/>
  <c r="DL12" i="13"/>
  <c r="A13" i="13"/>
  <c r="B13" i="13"/>
  <c r="C13" i="13"/>
  <c r="D13" i="13"/>
  <c r="E13" i="13"/>
  <c r="F13" i="13"/>
  <c r="G13" i="13"/>
  <c r="H13" i="13"/>
  <c r="I13" i="13"/>
  <c r="J13" i="13"/>
  <c r="K13" i="13"/>
  <c r="L13" i="13"/>
  <c r="N13" i="13"/>
  <c r="Q13" i="13"/>
  <c r="S13" i="13"/>
  <c r="T13" i="13"/>
  <c r="U13" i="13"/>
  <c r="V13" i="13"/>
  <c r="W13" i="13"/>
  <c r="W13" i="13" a="1"/>
  <c r="X13" i="13"/>
  <c r="X13" i="13" a="1"/>
  <c r="Y13" i="13"/>
  <c r="AJ13" i="13"/>
  <c r="BY13" i="13"/>
  <c r="BZ13" i="13"/>
  <c r="CB13" i="13"/>
  <c r="CC13" i="13"/>
  <c r="CD13" i="13"/>
  <c r="CE13" i="13"/>
  <c r="CF13" i="13"/>
  <c r="CG13" i="13"/>
  <c r="CH13" i="13"/>
  <c r="CI13" i="13"/>
  <c r="CJ13" i="13"/>
  <c r="CK13" i="13"/>
  <c r="CL13" i="13"/>
  <c r="DI13" i="13"/>
  <c r="DJ13" i="13"/>
  <c r="DK13" i="13"/>
  <c r="DL13" i="13"/>
  <c r="A14" i="13"/>
  <c r="B14" i="13"/>
  <c r="C14" i="13"/>
  <c r="D14" i="13"/>
  <c r="E14" i="13"/>
  <c r="F14" i="13"/>
  <c r="G14" i="13"/>
  <c r="H14" i="13"/>
  <c r="I14" i="13"/>
  <c r="J14" i="13"/>
  <c r="K14" i="13"/>
  <c r="L14" i="13"/>
  <c r="N14" i="13"/>
  <c r="Q14" i="13"/>
  <c r="S14" i="13"/>
  <c r="T14" i="13"/>
  <c r="U14" i="13"/>
  <c r="V14" i="13"/>
  <c r="W14" i="13"/>
  <c r="W14" i="13" a="1"/>
  <c r="X14" i="13"/>
  <c r="X14" i="13" a="1"/>
  <c r="Y14" i="13"/>
  <c r="Z14" i="13"/>
  <c r="AJ14" i="13"/>
  <c r="BY14" i="13"/>
  <c r="BZ14" i="13"/>
  <c r="CB14" i="13"/>
  <c r="CC14" i="13"/>
  <c r="CD14" i="13"/>
  <c r="CE14" i="13"/>
  <c r="CF14" i="13"/>
  <c r="CG14" i="13"/>
  <c r="CH14" i="13"/>
  <c r="CI14" i="13"/>
  <c r="CJ14" i="13"/>
  <c r="CK14" i="13"/>
  <c r="CL14" i="13"/>
  <c r="DI14" i="13"/>
  <c r="DJ14" i="13"/>
  <c r="DK14" i="13"/>
  <c r="DL14" i="13"/>
  <c r="A15" i="13"/>
  <c r="B15" i="13"/>
  <c r="C15" i="13"/>
  <c r="D15" i="13"/>
  <c r="E15" i="13"/>
  <c r="F15" i="13"/>
  <c r="G15" i="13"/>
  <c r="H15" i="13"/>
  <c r="I15" i="13"/>
  <c r="J15" i="13"/>
  <c r="K15" i="13"/>
  <c r="L15" i="13"/>
  <c r="N15" i="13"/>
  <c r="Q15" i="13"/>
  <c r="S15" i="13"/>
  <c r="T15" i="13"/>
  <c r="U15" i="13"/>
  <c r="V15" i="13"/>
  <c r="W15" i="13"/>
  <c r="W15" i="13" a="1"/>
  <c r="X15" i="13"/>
  <c r="X15" i="13" a="1"/>
  <c r="Y15" i="13"/>
  <c r="Z15" i="13"/>
  <c r="AA15" i="13"/>
  <c r="AJ15" i="13"/>
  <c r="BY15" i="13"/>
  <c r="BZ15" i="13"/>
  <c r="CB15" i="13"/>
  <c r="CC15" i="13"/>
  <c r="CD15" i="13"/>
  <c r="CE15" i="13"/>
  <c r="CF15" i="13"/>
  <c r="CG15" i="13"/>
  <c r="CH15" i="13"/>
  <c r="CI15" i="13"/>
  <c r="CJ15" i="13"/>
  <c r="CK15" i="13"/>
  <c r="CL15" i="13"/>
  <c r="DI15" i="13"/>
  <c r="DJ15" i="13"/>
  <c r="DK15" i="13"/>
  <c r="DL15" i="13"/>
  <c r="A16" i="13"/>
  <c r="B16" i="13"/>
  <c r="C16" i="13"/>
  <c r="D16" i="13"/>
  <c r="E16" i="13"/>
  <c r="F16" i="13"/>
  <c r="G16" i="13"/>
  <c r="H16" i="13"/>
  <c r="I16" i="13"/>
  <c r="J16" i="13"/>
  <c r="K16" i="13"/>
  <c r="L16" i="13"/>
  <c r="N16" i="13"/>
  <c r="Q16" i="13"/>
  <c r="S16" i="13"/>
  <c r="T16" i="13"/>
  <c r="U16" i="13"/>
  <c r="V16" i="13"/>
  <c r="W16" i="13"/>
  <c r="W16" i="13" a="1"/>
  <c r="X16" i="13"/>
  <c r="X16" i="13" a="1"/>
  <c r="Y16" i="13"/>
  <c r="Z16" i="13"/>
  <c r="AA16" i="13"/>
  <c r="AB16" i="13"/>
  <c r="AJ16" i="13"/>
  <c r="BY16" i="13"/>
  <c r="BZ16" i="13"/>
  <c r="CB16" i="13"/>
  <c r="CC16" i="13"/>
  <c r="CD16" i="13"/>
  <c r="CE16" i="13"/>
  <c r="CF16" i="13"/>
  <c r="CG16" i="13"/>
  <c r="CH16" i="13"/>
  <c r="CI16" i="13"/>
  <c r="CJ16" i="13"/>
  <c r="CK16" i="13"/>
  <c r="CL16" i="13"/>
  <c r="DI16" i="13"/>
  <c r="DJ16" i="13"/>
  <c r="DK16" i="13"/>
  <c r="DL16" i="13"/>
  <c r="A17" i="13"/>
  <c r="B17" i="13"/>
  <c r="C17" i="13"/>
  <c r="D17" i="13"/>
  <c r="E17" i="13"/>
  <c r="F17" i="13"/>
  <c r="G17" i="13"/>
  <c r="H17" i="13"/>
  <c r="I17" i="13"/>
  <c r="J17" i="13"/>
  <c r="K17" i="13"/>
  <c r="L17" i="13"/>
  <c r="N17" i="13"/>
  <c r="Q17" i="13"/>
  <c r="S17" i="13"/>
  <c r="T17" i="13"/>
  <c r="U17" i="13"/>
  <c r="V17" i="13"/>
  <c r="W17" i="13"/>
  <c r="W17" i="13" a="1"/>
  <c r="X17" i="13"/>
  <c r="X17" i="13" a="1"/>
  <c r="Y17" i="13"/>
  <c r="Z17" i="13"/>
  <c r="AA17" i="13"/>
  <c r="AB17" i="13"/>
  <c r="AC17" i="13"/>
  <c r="AJ17" i="13"/>
  <c r="BY17" i="13"/>
  <c r="BZ17" i="13"/>
  <c r="CB17" i="13"/>
  <c r="CC17" i="13"/>
  <c r="CD17" i="13"/>
  <c r="CE17" i="13"/>
  <c r="CF17" i="13"/>
  <c r="CG17" i="13"/>
  <c r="CH17" i="13"/>
  <c r="CI17" i="13"/>
  <c r="CJ17" i="13"/>
  <c r="CK17" i="13"/>
  <c r="CL17" i="13"/>
  <c r="DI17" i="13"/>
  <c r="DJ17" i="13"/>
  <c r="DK17" i="13"/>
  <c r="DL17" i="13"/>
  <c r="A18" i="13"/>
  <c r="B18" i="13"/>
  <c r="C18" i="13"/>
  <c r="D18" i="13"/>
  <c r="E18" i="13"/>
  <c r="F18" i="13"/>
  <c r="G18" i="13"/>
  <c r="H18" i="13"/>
  <c r="I18" i="13"/>
  <c r="J18" i="13"/>
  <c r="K18" i="13"/>
  <c r="L18" i="13"/>
  <c r="N18" i="13"/>
  <c r="Q18" i="13"/>
  <c r="S18" i="13"/>
  <c r="T18" i="13"/>
  <c r="U18" i="13"/>
  <c r="V18" i="13"/>
  <c r="W18" i="13"/>
  <c r="W18" i="13" a="1"/>
  <c r="X18" i="13"/>
  <c r="X18" i="13" a="1"/>
  <c r="Y18" i="13"/>
  <c r="Z18" i="13"/>
  <c r="AA18" i="13"/>
  <c r="AB18" i="13"/>
  <c r="AC18" i="13"/>
  <c r="AD18" i="13"/>
  <c r="AJ18" i="13"/>
  <c r="BY18" i="13"/>
  <c r="BZ18" i="13"/>
  <c r="CB18" i="13"/>
  <c r="CC18" i="13"/>
  <c r="CD18" i="13"/>
  <c r="CE18" i="13"/>
  <c r="CF18" i="13"/>
  <c r="CG18" i="13"/>
  <c r="CH18" i="13"/>
  <c r="CI18" i="13"/>
  <c r="CJ18" i="13"/>
  <c r="CK18" i="13"/>
  <c r="CL18" i="13"/>
  <c r="DI18" i="13"/>
  <c r="DJ18" i="13"/>
  <c r="DK18" i="13"/>
  <c r="DL18" i="13"/>
  <c r="A19" i="13"/>
  <c r="B19" i="13"/>
  <c r="C19" i="13"/>
  <c r="D19" i="13"/>
  <c r="E19" i="13"/>
  <c r="F19" i="13"/>
  <c r="G19" i="13"/>
  <c r="H19" i="13"/>
  <c r="I19" i="13"/>
  <c r="J19" i="13"/>
  <c r="K19" i="13"/>
  <c r="L19" i="13"/>
  <c r="N19" i="13"/>
  <c r="Q19" i="13"/>
  <c r="S19" i="13"/>
  <c r="T19" i="13"/>
  <c r="U19" i="13"/>
  <c r="V19" i="13"/>
  <c r="W19" i="13"/>
  <c r="W19" i="13" a="1"/>
  <c r="X19" i="13"/>
  <c r="X19" i="13" a="1"/>
  <c r="Y19" i="13"/>
  <c r="Z19" i="13"/>
  <c r="AA19" i="13"/>
  <c r="AB19" i="13"/>
  <c r="AC19" i="13"/>
  <c r="AD19" i="13"/>
  <c r="AE19" i="13"/>
  <c r="AJ19" i="13"/>
  <c r="BY19" i="13"/>
  <c r="BZ19" i="13"/>
  <c r="CB19" i="13"/>
  <c r="CC19" i="13"/>
  <c r="CD19" i="13"/>
  <c r="CE19" i="13"/>
  <c r="CF19" i="13"/>
  <c r="CG19" i="13"/>
  <c r="CH19" i="13"/>
  <c r="CI19" i="13"/>
  <c r="CJ19" i="13"/>
  <c r="CK19" i="13"/>
  <c r="CL19" i="13"/>
  <c r="DI19" i="13"/>
  <c r="DJ19" i="13"/>
  <c r="DK19" i="13"/>
  <c r="DL19" i="13"/>
  <c r="A20" i="13"/>
  <c r="B20" i="13"/>
  <c r="C20" i="13"/>
  <c r="D20" i="13"/>
  <c r="E20" i="13"/>
  <c r="F20" i="13"/>
  <c r="G20" i="13"/>
  <c r="H20" i="13"/>
  <c r="I20" i="13"/>
  <c r="J20" i="13"/>
  <c r="K20" i="13"/>
  <c r="L20" i="13"/>
  <c r="N20" i="13"/>
  <c r="Q20" i="13"/>
  <c r="S20" i="13"/>
  <c r="T20" i="13"/>
  <c r="V20" i="13"/>
  <c r="W20" i="13"/>
  <c r="W20" i="13" a="1"/>
  <c r="X20" i="13"/>
  <c r="X20" i="13" a="1"/>
  <c r="Y20" i="13"/>
  <c r="Z20" i="13"/>
  <c r="AA20" i="13"/>
  <c r="AB20" i="13"/>
  <c r="AC20" i="13"/>
  <c r="AD20" i="13"/>
  <c r="AE20" i="13"/>
  <c r="AF20" i="13"/>
  <c r="AJ20" i="13"/>
  <c r="BY20" i="13"/>
  <c r="BZ20" i="13"/>
  <c r="CB20" i="13"/>
  <c r="CC20" i="13"/>
  <c r="CD20" i="13"/>
  <c r="CE20" i="13"/>
  <c r="CF20" i="13"/>
  <c r="CG20" i="13"/>
  <c r="CH20" i="13"/>
  <c r="CI20" i="13"/>
  <c r="CJ20" i="13"/>
  <c r="CK20" i="13"/>
  <c r="CL20" i="13"/>
  <c r="DI20" i="13"/>
  <c r="DJ20" i="13"/>
  <c r="DK20" i="13"/>
  <c r="DL20" i="13"/>
  <c r="A21" i="13"/>
  <c r="B21" i="13"/>
  <c r="C21" i="13"/>
  <c r="D21" i="13"/>
  <c r="E21" i="13"/>
  <c r="F21" i="13"/>
  <c r="G21" i="13"/>
  <c r="H21" i="13"/>
  <c r="I21" i="13"/>
  <c r="J21" i="13"/>
  <c r="K21" i="13"/>
  <c r="L21" i="13"/>
  <c r="N21" i="13"/>
  <c r="Q21" i="13"/>
  <c r="S21" i="13"/>
  <c r="T21" i="13"/>
  <c r="V21" i="13"/>
  <c r="W21" i="13"/>
  <c r="W21" i="13" a="1"/>
  <c r="X21" i="13"/>
  <c r="X21" i="13" a="1"/>
  <c r="Y21" i="13"/>
  <c r="Z21" i="13"/>
  <c r="AA21" i="13"/>
  <c r="AB21" i="13"/>
  <c r="AC21" i="13"/>
  <c r="AD21" i="13"/>
  <c r="AE21" i="13"/>
  <c r="AF21" i="13"/>
  <c r="AG21" i="13"/>
  <c r="AJ21" i="13"/>
  <c r="BY21" i="13"/>
  <c r="BZ21" i="13"/>
  <c r="CB21" i="13"/>
  <c r="CC21" i="13"/>
  <c r="CD21" i="13"/>
  <c r="CE21" i="13"/>
  <c r="CF21" i="13"/>
  <c r="CG21" i="13"/>
  <c r="CH21" i="13"/>
  <c r="CI21" i="13"/>
  <c r="CJ21" i="13"/>
  <c r="CK21" i="13"/>
  <c r="CL21" i="13"/>
  <c r="DI21" i="13"/>
  <c r="DJ21" i="13"/>
  <c r="DK21" i="13"/>
  <c r="DL21" i="13"/>
  <c r="A22" i="13"/>
  <c r="B22" i="13"/>
  <c r="C22" i="13"/>
  <c r="D22" i="13"/>
  <c r="E22" i="13"/>
  <c r="F22" i="13"/>
  <c r="G22" i="13"/>
  <c r="H22" i="13"/>
  <c r="I22" i="13"/>
  <c r="J22" i="13"/>
  <c r="K22" i="13"/>
  <c r="L22" i="13"/>
  <c r="N22" i="13"/>
  <c r="Q22" i="13"/>
  <c r="S22" i="13"/>
  <c r="T22" i="13"/>
  <c r="V22" i="13"/>
  <c r="W22" i="13"/>
  <c r="W22" i="13" a="1"/>
  <c r="X22" i="13"/>
  <c r="X22" i="13" a="1"/>
  <c r="Y22" i="13"/>
  <c r="Z22" i="13"/>
  <c r="AA22" i="13"/>
  <c r="AB22" i="13"/>
  <c r="AC22" i="13"/>
  <c r="AD22" i="13"/>
  <c r="AE22" i="13"/>
  <c r="AF22" i="13"/>
  <c r="AG22" i="13"/>
  <c r="AH22" i="13"/>
  <c r="AJ22" i="13"/>
  <c r="BY22" i="13"/>
  <c r="BZ22" i="13"/>
  <c r="CB22" i="13"/>
  <c r="CC22" i="13"/>
  <c r="CD22" i="13"/>
  <c r="CE22" i="13"/>
  <c r="CF22" i="13"/>
  <c r="CG22" i="13"/>
  <c r="CH22" i="13"/>
  <c r="CI22" i="13"/>
  <c r="CJ22" i="13"/>
  <c r="CK22" i="13"/>
  <c r="CL22" i="13"/>
  <c r="DI22" i="13"/>
  <c r="DJ22" i="13"/>
  <c r="DK22" i="13"/>
  <c r="DL22" i="13"/>
  <c r="A23" i="13"/>
  <c r="B23" i="13"/>
  <c r="C23" i="13"/>
  <c r="D23" i="13"/>
  <c r="E23" i="13"/>
  <c r="F23" i="13"/>
  <c r="G23" i="13"/>
  <c r="H23" i="13"/>
  <c r="I23" i="13"/>
  <c r="J23" i="13"/>
  <c r="K23" i="13"/>
  <c r="L23" i="13"/>
  <c r="N23" i="13"/>
  <c r="Q23" i="13"/>
  <c r="S23" i="13"/>
  <c r="AJ23" i="13"/>
  <c r="BY23" i="13"/>
  <c r="BZ23" i="13"/>
  <c r="CB23" i="13"/>
  <c r="CC23" i="13"/>
  <c r="CD23" i="13"/>
  <c r="CE23" i="13"/>
  <c r="CF23" i="13"/>
  <c r="CG23" i="13"/>
  <c r="CH23" i="13"/>
  <c r="CI23" i="13"/>
  <c r="CJ23" i="13"/>
  <c r="CK23" i="13"/>
  <c r="CL23" i="13"/>
  <c r="DI23" i="13"/>
  <c r="DJ23" i="13"/>
  <c r="DK23" i="13"/>
  <c r="DL23" i="13"/>
  <c r="A24" i="13"/>
  <c r="B24" i="13"/>
  <c r="C24" i="13"/>
  <c r="D24" i="13"/>
  <c r="E24" i="13"/>
  <c r="F24" i="13"/>
  <c r="G24" i="13"/>
  <c r="H24" i="13"/>
  <c r="I24" i="13"/>
  <c r="J24" i="13"/>
  <c r="K24" i="13"/>
  <c r="L24" i="13"/>
  <c r="N24" i="13"/>
  <c r="Q24" i="13"/>
  <c r="S24" i="13"/>
  <c r="AJ24" i="13"/>
  <c r="BY24" i="13"/>
  <c r="BZ24" i="13"/>
  <c r="CB24" i="13"/>
  <c r="CC24" i="13"/>
  <c r="CD24" i="13"/>
  <c r="CE24" i="13"/>
  <c r="CF24" i="13"/>
  <c r="CG24" i="13"/>
  <c r="CH24" i="13"/>
  <c r="CI24" i="13"/>
  <c r="CJ24" i="13"/>
  <c r="CK24" i="13"/>
  <c r="CL24" i="13"/>
  <c r="DI24" i="13"/>
  <c r="DJ24" i="13"/>
  <c r="DK24" i="13"/>
  <c r="DL24" i="13"/>
  <c r="A25" i="13"/>
  <c r="B25" i="13"/>
  <c r="C25" i="13"/>
  <c r="D25" i="13"/>
  <c r="E25" i="13"/>
  <c r="F25" i="13"/>
  <c r="G25" i="13"/>
  <c r="H25" i="13"/>
  <c r="I25" i="13"/>
  <c r="J25" i="13"/>
  <c r="K25" i="13"/>
  <c r="L25" i="13"/>
  <c r="N25" i="13"/>
  <c r="Q25" i="13"/>
  <c r="S25" i="13"/>
  <c r="AJ25" i="13"/>
  <c r="BY25" i="13"/>
  <c r="BZ25" i="13"/>
  <c r="CB25" i="13"/>
  <c r="CC25" i="13"/>
  <c r="CD25" i="13"/>
  <c r="CE25" i="13"/>
  <c r="CF25" i="13"/>
  <c r="CG25" i="13"/>
  <c r="CH25" i="13"/>
  <c r="CI25" i="13"/>
  <c r="CJ25" i="13"/>
  <c r="CK25" i="13"/>
  <c r="CL25" i="13"/>
  <c r="DI25" i="13"/>
  <c r="DJ25" i="13"/>
  <c r="DK25" i="13"/>
  <c r="DL25" i="13"/>
  <c r="A26" i="13"/>
  <c r="B26" i="13"/>
  <c r="C26" i="13"/>
  <c r="D26" i="13"/>
  <c r="E26" i="13"/>
  <c r="F26" i="13"/>
  <c r="G26" i="13"/>
  <c r="H26" i="13"/>
  <c r="I26" i="13"/>
  <c r="J26" i="13"/>
  <c r="K26" i="13"/>
  <c r="L26" i="13"/>
  <c r="N26" i="13"/>
  <c r="Q26" i="13"/>
  <c r="S26" i="13"/>
  <c r="AJ26" i="13"/>
  <c r="BY26" i="13"/>
  <c r="BZ26" i="13"/>
  <c r="CB26" i="13"/>
  <c r="CC26" i="13"/>
  <c r="CD26" i="13"/>
  <c r="CE26" i="13"/>
  <c r="CF26" i="13"/>
  <c r="CG26" i="13"/>
  <c r="CH26" i="13"/>
  <c r="CI26" i="13"/>
  <c r="CJ26" i="13"/>
  <c r="CK26" i="13"/>
  <c r="CL26" i="13"/>
  <c r="DI26" i="13"/>
  <c r="DJ26" i="13"/>
  <c r="DK26" i="13"/>
  <c r="DL26" i="13"/>
  <c r="A27" i="13"/>
  <c r="B27" i="13"/>
  <c r="C27" i="13"/>
  <c r="D27" i="13"/>
  <c r="E27" i="13"/>
  <c r="F27" i="13"/>
  <c r="G27" i="13"/>
  <c r="H27" i="13"/>
  <c r="I27" i="13"/>
  <c r="J27" i="13"/>
  <c r="K27" i="13"/>
  <c r="L27" i="13"/>
  <c r="N27" i="13"/>
  <c r="Q27" i="13"/>
  <c r="S27" i="13"/>
  <c r="T27" i="13"/>
  <c r="U27" i="13"/>
  <c r="AJ27" i="13"/>
  <c r="BY27" i="13"/>
  <c r="BZ27" i="13"/>
  <c r="CB27" i="13"/>
  <c r="CC27" i="13"/>
  <c r="CD27" i="13"/>
  <c r="CE27" i="13"/>
  <c r="CF27" i="13"/>
  <c r="CG27" i="13"/>
  <c r="CH27" i="13"/>
  <c r="CI27" i="13"/>
  <c r="CJ27" i="13"/>
  <c r="CK27" i="13"/>
  <c r="CL27" i="13"/>
  <c r="DI27" i="13"/>
  <c r="DJ27" i="13"/>
  <c r="DK27" i="13"/>
  <c r="DL27" i="13"/>
  <c r="A28" i="13"/>
  <c r="B28" i="13"/>
  <c r="C28" i="13"/>
  <c r="D28" i="13"/>
  <c r="E28" i="13"/>
  <c r="F28" i="13"/>
  <c r="G28" i="13"/>
  <c r="H28" i="13"/>
  <c r="I28" i="13"/>
  <c r="J28" i="13"/>
  <c r="K28" i="13"/>
  <c r="L28" i="13"/>
  <c r="N28" i="13"/>
  <c r="Q28" i="13"/>
  <c r="S28" i="13"/>
  <c r="T28" i="13"/>
  <c r="U28" i="13"/>
  <c r="AJ28" i="13"/>
  <c r="BY28" i="13"/>
  <c r="BZ28" i="13"/>
  <c r="CB28" i="13"/>
  <c r="CC28" i="13"/>
  <c r="CD28" i="13"/>
  <c r="CE28" i="13"/>
  <c r="CF28" i="13"/>
  <c r="CG28" i="13"/>
  <c r="CH28" i="13"/>
  <c r="CI28" i="13"/>
  <c r="CJ28" i="13"/>
  <c r="CK28" i="13"/>
  <c r="CL28" i="13"/>
  <c r="DI28" i="13"/>
  <c r="DJ28" i="13"/>
  <c r="DK28" i="13"/>
  <c r="DL28" i="13"/>
  <c r="A29" i="13"/>
  <c r="B29" i="13"/>
  <c r="C29" i="13"/>
  <c r="D29" i="13"/>
  <c r="E29" i="13"/>
  <c r="F29" i="13"/>
  <c r="G29" i="13"/>
  <c r="H29" i="13"/>
  <c r="I29" i="13"/>
  <c r="J29" i="13"/>
  <c r="K29" i="13"/>
  <c r="L29" i="13"/>
  <c r="N29" i="13"/>
  <c r="Q29" i="13"/>
  <c r="S29" i="13"/>
  <c r="T29" i="13"/>
  <c r="U29" i="13"/>
  <c r="AJ29" i="13"/>
  <c r="BY29" i="13"/>
  <c r="BZ29" i="13"/>
  <c r="CB29" i="13"/>
  <c r="CC29" i="13"/>
  <c r="CD29" i="13"/>
  <c r="CE29" i="13"/>
  <c r="CF29" i="13"/>
  <c r="CG29" i="13"/>
  <c r="CH29" i="13"/>
  <c r="CI29" i="13"/>
  <c r="CJ29" i="13"/>
  <c r="CK29" i="13"/>
  <c r="CL29" i="13"/>
  <c r="DI29" i="13"/>
  <c r="DJ29" i="13"/>
  <c r="DK29" i="13"/>
  <c r="DL29" i="13"/>
  <c r="A30" i="13"/>
  <c r="B30" i="13"/>
  <c r="C30" i="13"/>
  <c r="D30" i="13"/>
  <c r="E30" i="13"/>
  <c r="F30" i="13"/>
  <c r="G30" i="13"/>
  <c r="H30" i="13"/>
  <c r="I30" i="13"/>
  <c r="J30" i="13"/>
  <c r="K30" i="13"/>
  <c r="L30" i="13"/>
  <c r="N30" i="13"/>
  <c r="Q30" i="13"/>
  <c r="S30" i="13"/>
  <c r="T30" i="13"/>
  <c r="U30" i="13"/>
  <c r="AJ30" i="13"/>
  <c r="BY30" i="13"/>
  <c r="BZ30" i="13"/>
  <c r="CB30" i="13"/>
  <c r="CC30" i="13"/>
  <c r="CD30" i="13"/>
  <c r="CE30" i="13"/>
  <c r="CF30" i="13"/>
  <c r="CG30" i="13"/>
  <c r="CH30" i="13"/>
  <c r="CI30" i="13"/>
  <c r="CJ30" i="13"/>
  <c r="CK30" i="13"/>
  <c r="CL30" i="13"/>
  <c r="DI30" i="13"/>
  <c r="DJ30" i="13"/>
  <c r="DK30" i="13"/>
  <c r="DL30" i="13"/>
  <c r="A31" i="13"/>
  <c r="B31" i="13"/>
  <c r="C31" i="13"/>
  <c r="D31" i="13"/>
  <c r="E31" i="13"/>
  <c r="F31" i="13"/>
  <c r="G31" i="13"/>
  <c r="H31" i="13"/>
  <c r="I31" i="13"/>
  <c r="J31" i="13"/>
  <c r="K31" i="13"/>
  <c r="L31" i="13"/>
  <c r="N31" i="13"/>
  <c r="Q31" i="13"/>
  <c r="S31" i="13"/>
  <c r="T31" i="13"/>
  <c r="U31" i="13"/>
  <c r="AJ31" i="13"/>
  <c r="BY31" i="13"/>
  <c r="BZ31" i="13"/>
  <c r="CB31" i="13"/>
  <c r="CC31" i="13"/>
  <c r="CD31" i="13"/>
  <c r="CE31" i="13"/>
  <c r="CF31" i="13"/>
  <c r="CG31" i="13"/>
  <c r="CH31" i="13"/>
  <c r="CI31" i="13"/>
  <c r="CJ31" i="13"/>
  <c r="CK31" i="13"/>
  <c r="CL31" i="13"/>
  <c r="DI31" i="13"/>
  <c r="DJ31" i="13"/>
  <c r="DK31" i="13"/>
  <c r="DL31" i="13"/>
  <c r="A32" i="13"/>
  <c r="B32" i="13"/>
  <c r="C32" i="13"/>
  <c r="D32" i="13"/>
  <c r="E32" i="13"/>
  <c r="F32" i="13"/>
  <c r="G32" i="13"/>
  <c r="H32" i="13"/>
  <c r="I32" i="13"/>
  <c r="J32" i="13"/>
  <c r="K32" i="13"/>
  <c r="L32" i="13"/>
  <c r="N32" i="13"/>
  <c r="Q32" i="13"/>
  <c r="S32" i="13"/>
  <c r="T32" i="13"/>
  <c r="U32" i="13"/>
  <c r="AJ32" i="13"/>
  <c r="BY32" i="13"/>
  <c r="BZ32" i="13"/>
  <c r="CB32" i="13"/>
  <c r="CC32" i="13"/>
  <c r="CD32" i="13"/>
  <c r="CE32" i="13"/>
  <c r="CF32" i="13"/>
  <c r="CG32" i="13"/>
  <c r="CH32" i="13"/>
  <c r="CI32" i="13"/>
  <c r="CJ32" i="13"/>
  <c r="CK32" i="13"/>
  <c r="CL32" i="13"/>
  <c r="DI32" i="13"/>
  <c r="DJ32" i="13"/>
  <c r="DK32" i="13"/>
  <c r="DL32" i="13"/>
  <c r="A33" i="13"/>
  <c r="B33" i="13"/>
  <c r="C33" i="13"/>
  <c r="D33" i="13"/>
  <c r="E33" i="13"/>
  <c r="F33" i="13"/>
  <c r="G33" i="13"/>
  <c r="H33" i="13"/>
  <c r="I33" i="13"/>
  <c r="J33" i="13"/>
  <c r="K33" i="13"/>
  <c r="L33" i="13"/>
  <c r="N33" i="13"/>
  <c r="Q33" i="13"/>
  <c r="S33" i="13"/>
  <c r="T33" i="13"/>
  <c r="U33" i="13"/>
  <c r="AJ33" i="13"/>
  <c r="BY33" i="13"/>
  <c r="BZ33" i="13"/>
  <c r="CB33" i="13"/>
  <c r="CC33" i="13"/>
  <c r="CD33" i="13"/>
  <c r="CE33" i="13"/>
  <c r="CF33" i="13"/>
  <c r="CG33" i="13"/>
  <c r="CH33" i="13"/>
  <c r="CI33" i="13"/>
  <c r="CJ33" i="13"/>
  <c r="CK33" i="13"/>
  <c r="CL33" i="13"/>
  <c r="DI33" i="13"/>
  <c r="DJ33" i="13"/>
  <c r="DK33" i="13"/>
  <c r="DL33" i="13"/>
  <c r="A34" i="13"/>
  <c r="B34" i="13"/>
  <c r="C34" i="13"/>
  <c r="D34" i="13"/>
  <c r="E34" i="13"/>
  <c r="F34" i="13"/>
  <c r="G34" i="13"/>
  <c r="H34" i="13"/>
  <c r="I34" i="13"/>
  <c r="J34" i="13"/>
  <c r="K34" i="13"/>
  <c r="L34" i="13"/>
  <c r="T34" i="13"/>
  <c r="U34" i="13"/>
  <c r="AJ34" i="13"/>
  <c r="BY34" i="13"/>
  <c r="BZ34" i="13"/>
  <c r="CB34" i="13"/>
  <c r="CC34" i="13"/>
  <c r="CD34" i="13"/>
  <c r="CE34" i="13"/>
  <c r="CF34" i="13"/>
  <c r="CG34" i="13"/>
  <c r="CH34" i="13"/>
  <c r="CI34" i="13"/>
  <c r="CJ34" i="13"/>
  <c r="CK34" i="13"/>
  <c r="CL34" i="13"/>
  <c r="DI34" i="13"/>
  <c r="DJ34" i="13"/>
  <c r="DK34" i="13"/>
  <c r="DL34" i="13"/>
  <c r="A35" i="13"/>
  <c r="B35" i="13"/>
  <c r="C35" i="13"/>
  <c r="D35" i="13"/>
  <c r="E35" i="13"/>
  <c r="F35" i="13"/>
  <c r="G35" i="13"/>
  <c r="H35" i="13"/>
  <c r="I35" i="13"/>
  <c r="J35" i="13"/>
  <c r="K35" i="13"/>
  <c r="L35" i="13"/>
  <c r="T35" i="13"/>
  <c r="AJ35" i="13"/>
  <c r="BY35" i="13"/>
  <c r="BZ35" i="13"/>
  <c r="CB35" i="13"/>
  <c r="CC35" i="13"/>
  <c r="CD35" i="13"/>
  <c r="CE35" i="13"/>
  <c r="CF35" i="13"/>
  <c r="CG35" i="13"/>
  <c r="CH35" i="13"/>
  <c r="CI35" i="13"/>
  <c r="CJ35" i="13"/>
  <c r="CK35" i="13"/>
  <c r="CL35" i="13"/>
  <c r="DI35" i="13"/>
  <c r="DJ35" i="13"/>
  <c r="DK35" i="13"/>
  <c r="DL35" i="13"/>
  <c r="A36" i="13"/>
  <c r="B36" i="13"/>
  <c r="C36" i="13"/>
  <c r="D36" i="13"/>
  <c r="E36" i="13"/>
  <c r="F36" i="13"/>
  <c r="G36" i="13"/>
  <c r="H36" i="13"/>
  <c r="I36" i="13"/>
  <c r="J36" i="13"/>
  <c r="K36" i="13"/>
  <c r="L36" i="13"/>
  <c r="T36" i="13"/>
  <c r="AJ36" i="13"/>
  <c r="BY36" i="13"/>
  <c r="BZ36" i="13"/>
  <c r="CB36" i="13"/>
  <c r="CC36" i="13"/>
  <c r="CD36" i="13"/>
  <c r="CE36" i="13"/>
  <c r="CF36" i="13"/>
  <c r="CG36" i="13"/>
  <c r="CH36" i="13"/>
  <c r="CI36" i="13"/>
  <c r="CJ36" i="13"/>
  <c r="CK36" i="13"/>
  <c r="CL36" i="13"/>
  <c r="DI36" i="13"/>
  <c r="DJ36" i="13"/>
  <c r="DK36" i="13"/>
  <c r="DL36" i="13"/>
  <c r="A37" i="13"/>
  <c r="B37" i="13"/>
  <c r="C37" i="13"/>
  <c r="D37" i="13"/>
  <c r="E37" i="13"/>
  <c r="F37" i="13"/>
  <c r="G37" i="13"/>
  <c r="H37" i="13"/>
  <c r="I37" i="13"/>
  <c r="J37" i="13"/>
  <c r="K37" i="13"/>
  <c r="L37" i="13"/>
  <c r="T37" i="13"/>
  <c r="AJ37" i="13"/>
  <c r="BY37" i="13"/>
  <c r="BZ37" i="13"/>
  <c r="CB37" i="13"/>
  <c r="CC37" i="13"/>
  <c r="CD37" i="13"/>
  <c r="CE37" i="13"/>
  <c r="CF37" i="13"/>
  <c r="CG37" i="13"/>
  <c r="CH37" i="13"/>
  <c r="CI37" i="13"/>
  <c r="CJ37" i="13"/>
  <c r="CK37" i="13"/>
  <c r="CL37" i="13"/>
  <c r="DI37" i="13"/>
  <c r="DJ37" i="13"/>
  <c r="DK37" i="13"/>
  <c r="DL37" i="13"/>
  <c r="A38" i="13"/>
  <c r="B38" i="13"/>
  <c r="C38" i="13"/>
  <c r="D38" i="13"/>
  <c r="E38" i="13"/>
  <c r="F38" i="13"/>
  <c r="G38" i="13"/>
  <c r="H38" i="13"/>
  <c r="I38" i="13"/>
  <c r="J38" i="13"/>
  <c r="K38" i="13"/>
  <c r="L38" i="13"/>
  <c r="AJ38" i="13"/>
  <c r="BY38" i="13"/>
  <c r="BZ38" i="13"/>
  <c r="CB38" i="13"/>
  <c r="CC38" i="13"/>
  <c r="CD38" i="13"/>
  <c r="CE38" i="13"/>
  <c r="CF38" i="13"/>
  <c r="CG38" i="13"/>
  <c r="CH38" i="13"/>
  <c r="CI38" i="13"/>
  <c r="CJ38" i="13"/>
  <c r="CK38" i="13"/>
  <c r="CL38" i="13"/>
  <c r="DI38" i="13"/>
  <c r="DJ38" i="13"/>
  <c r="DK38" i="13"/>
  <c r="DL38" i="13"/>
  <c r="A39" i="13"/>
  <c r="B39" i="13"/>
  <c r="C39" i="13"/>
  <c r="D39" i="13"/>
  <c r="E39" i="13"/>
  <c r="F39" i="13"/>
  <c r="G39" i="13"/>
  <c r="H39" i="13"/>
  <c r="I39" i="13"/>
  <c r="J39" i="13"/>
  <c r="K39" i="13"/>
  <c r="L39" i="13"/>
  <c r="AJ39" i="13"/>
  <c r="BY39" i="13"/>
  <c r="BZ39" i="13"/>
  <c r="CB39" i="13"/>
  <c r="CC39" i="13"/>
  <c r="CD39" i="13"/>
  <c r="CE39" i="13"/>
  <c r="CF39" i="13"/>
  <c r="CG39" i="13"/>
  <c r="CH39" i="13"/>
  <c r="CI39" i="13"/>
  <c r="CJ39" i="13"/>
  <c r="CK39" i="13"/>
  <c r="CL39" i="13"/>
  <c r="DI39" i="13"/>
  <c r="DJ39" i="13"/>
  <c r="DK39" i="13"/>
  <c r="DL39" i="13"/>
  <c r="A40" i="13"/>
  <c r="B40" i="13"/>
  <c r="C40" i="13"/>
  <c r="D40" i="13"/>
  <c r="E40" i="13"/>
  <c r="F40" i="13"/>
  <c r="G40" i="13"/>
  <c r="H40" i="13"/>
  <c r="I40" i="13"/>
  <c r="J40" i="13"/>
  <c r="K40" i="13"/>
  <c r="L40" i="13"/>
  <c r="AJ40" i="13"/>
  <c r="BY40" i="13"/>
  <c r="BZ40" i="13"/>
  <c r="CB40" i="13"/>
  <c r="CC40" i="13"/>
  <c r="CD40" i="13"/>
  <c r="CE40" i="13"/>
  <c r="CF40" i="13"/>
  <c r="CG40" i="13"/>
  <c r="CH40" i="13"/>
  <c r="CI40" i="13"/>
  <c r="CJ40" i="13"/>
  <c r="CK40" i="13"/>
  <c r="CL40" i="13"/>
  <c r="DI40" i="13"/>
  <c r="DJ40" i="13"/>
  <c r="DK40" i="13"/>
  <c r="DL40" i="13"/>
  <c r="A41" i="13"/>
  <c r="B41" i="13"/>
  <c r="C41" i="13"/>
  <c r="D41" i="13"/>
  <c r="E41" i="13"/>
  <c r="F41" i="13"/>
  <c r="G41" i="13"/>
  <c r="H41" i="13"/>
  <c r="I41" i="13"/>
  <c r="J41" i="13"/>
  <c r="K41" i="13"/>
  <c r="L41" i="13"/>
  <c r="AJ41" i="13"/>
  <c r="BY41" i="13"/>
  <c r="BZ41" i="13"/>
  <c r="CB41" i="13"/>
  <c r="CC41" i="13"/>
  <c r="CD41" i="13"/>
  <c r="CE41" i="13"/>
  <c r="CF41" i="13"/>
  <c r="CG41" i="13"/>
  <c r="CH41" i="13"/>
  <c r="CI41" i="13"/>
  <c r="CJ41" i="13"/>
  <c r="CK41" i="13"/>
  <c r="CL41" i="13"/>
  <c r="DI41" i="13"/>
  <c r="DJ41" i="13"/>
  <c r="DK41" i="13"/>
  <c r="DL41" i="13"/>
  <c r="A42" i="13"/>
  <c r="B42" i="13"/>
  <c r="C42" i="13"/>
  <c r="D42" i="13"/>
  <c r="E42" i="13"/>
  <c r="F42" i="13"/>
  <c r="G42" i="13"/>
  <c r="H42" i="13"/>
  <c r="I42" i="13"/>
  <c r="J42" i="13"/>
  <c r="K42" i="13"/>
  <c r="L42" i="13"/>
  <c r="AJ42" i="13"/>
  <c r="BY42" i="13"/>
  <c r="BZ42" i="13"/>
  <c r="CB42" i="13"/>
  <c r="CC42" i="13"/>
  <c r="CD42" i="13"/>
  <c r="CE42" i="13"/>
  <c r="CF42" i="13"/>
  <c r="CG42" i="13"/>
  <c r="CH42" i="13"/>
  <c r="CI42" i="13"/>
  <c r="CJ42" i="13"/>
  <c r="CK42" i="13"/>
  <c r="CL42" i="13"/>
  <c r="DI42" i="13"/>
  <c r="DJ42" i="13"/>
  <c r="DK42" i="13"/>
  <c r="DL42" i="13"/>
  <c r="A43" i="13"/>
  <c r="B43" i="13"/>
  <c r="C43" i="13"/>
  <c r="D43" i="13"/>
  <c r="E43" i="13"/>
  <c r="F43" i="13"/>
  <c r="G43" i="13"/>
  <c r="H43" i="13"/>
  <c r="I43" i="13"/>
  <c r="J43" i="13"/>
  <c r="K43" i="13"/>
  <c r="L43" i="13"/>
  <c r="AJ43" i="13"/>
  <c r="BY43" i="13"/>
  <c r="BZ43" i="13"/>
  <c r="CB43" i="13"/>
  <c r="CC43" i="13"/>
  <c r="CD43" i="13"/>
  <c r="CE43" i="13"/>
  <c r="CF43" i="13"/>
  <c r="CG43" i="13"/>
  <c r="CH43" i="13"/>
  <c r="CI43" i="13"/>
  <c r="CJ43" i="13"/>
  <c r="CK43" i="13"/>
  <c r="CL43" i="13"/>
  <c r="DI43" i="13"/>
  <c r="DJ43" i="13"/>
  <c r="DK43" i="13"/>
  <c r="DL43" i="13"/>
  <c r="A44" i="13"/>
  <c r="B44" i="13"/>
  <c r="C44" i="13"/>
  <c r="D44" i="13"/>
  <c r="E44" i="13"/>
  <c r="F44" i="13"/>
  <c r="G44" i="13"/>
  <c r="H44" i="13"/>
  <c r="I44" i="13"/>
  <c r="J44" i="13"/>
  <c r="K44" i="13"/>
  <c r="L44" i="13"/>
  <c r="AJ44" i="13"/>
  <c r="BY44" i="13"/>
  <c r="BZ44" i="13"/>
  <c r="CB44" i="13"/>
  <c r="CC44" i="13"/>
  <c r="CD44" i="13"/>
  <c r="CE44" i="13"/>
  <c r="CF44" i="13"/>
  <c r="CG44" i="13"/>
  <c r="CH44" i="13"/>
  <c r="CI44" i="13"/>
  <c r="CJ44" i="13"/>
  <c r="CK44" i="13"/>
  <c r="CL44" i="13"/>
  <c r="DI44" i="13"/>
  <c r="DJ44" i="13"/>
  <c r="DK44" i="13"/>
  <c r="DL44" i="13"/>
  <c r="A45" i="13"/>
  <c r="B45" i="13"/>
  <c r="C45" i="13"/>
  <c r="D45" i="13"/>
  <c r="E45" i="13"/>
  <c r="F45" i="13"/>
  <c r="G45" i="13"/>
  <c r="H45" i="13"/>
  <c r="I45" i="13"/>
  <c r="J45" i="13"/>
  <c r="K45" i="13"/>
  <c r="L45" i="13"/>
  <c r="AJ45" i="13"/>
  <c r="BY45" i="13"/>
  <c r="BZ45" i="13"/>
  <c r="CB45" i="13"/>
  <c r="CC45" i="13"/>
  <c r="CD45" i="13"/>
  <c r="CE45" i="13"/>
  <c r="CF45" i="13"/>
  <c r="CG45" i="13"/>
  <c r="CH45" i="13"/>
  <c r="CI45" i="13"/>
  <c r="CJ45" i="13"/>
  <c r="CK45" i="13"/>
  <c r="CL45" i="13"/>
  <c r="DI45" i="13"/>
  <c r="DJ45" i="13"/>
  <c r="DK45" i="13"/>
  <c r="DL45" i="13"/>
  <c r="A46" i="13"/>
  <c r="B46" i="13"/>
  <c r="C46" i="13"/>
  <c r="D46" i="13"/>
  <c r="E46" i="13"/>
  <c r="F46" i="13"/>
  <c r="G46" i="13"/>
  <c r="H46" i="13"/>
  <c r="I46" i="13"/>
  <c r="J46" i="13"/>
  <c r="K46" i="13"/>
  <c r="L46" i="13"/>
  <c r="AJ46" i="13"/>
  <c r="BY46" i="13"/>
  <c r="BZ46" i="13"/>
  <c r="CB46" i="13"/>
  <c r="CC46" i="13"/>
  <c r="CD46" i="13"/>
  <c r="CE46" i="13"/>
  <c r="CF46" i="13"/>
  <c r="CG46" i="13"/>
  <c r="CH46" i="13"/>
  <c r="CI46" i="13"/>
  <c r="CJ46" i="13"/>
  <c r="CK46" i="13"/>
  <c r="CL46" i="13"/>
  <c r="DI46" i="13"/>
  <c r="DJ46" i="13"/>
  <c r="DK46" i="13"/>
  <c r="DL46" i="13"/>
  <c r="A47" i="13"/>
  <c r="B47" i="13"/>
  <c r="C47" i="13"/>
  <c r="D47" i="13"/>
  <c r="E47" i="13"/>
  <c r="F47" i="13"/>
  <c r="G47" i="13"/>
  <c r="H47" i="13"/>
  <c r="I47" i="13"/>
  <c r="J47" i="13"/>
  <c r="K47" i="13"/>
  <c r="L47" i="13"/>
  <c r="AJ47" i="13"/>
  <c r="BY47" i="13"/>
  <c r="BZ47" i="13"/>
  <c r="CB47" i="13"/>
  <c r="CC47" i="13"/>
  <c r="CD47" i="13"/>
  <c r="CE47" i="13"/>
  <c r="CF47" i="13"/>
  <c r="CG47" i="13"/>
  <c r="CH47" i="13"/>
  <c r="CI47" i="13"/>
  <c r="CJ47" i="13"/>
  <c r="CK47" i="13"/>
  <c r="CL47" i="13"/>
  <c r="DI47" i="13"/>
  <c r="DJ47" i="13"/>
  <c r="DK47" i="13"/>
  <c r="DL47" i="13"/>
  <c r="A48" i="13"/>
  <c r="B48" i="13"/>
  <c r="C48" i="13"/>
  <c r="D48" i="13"/>
  <c r="E48" i="13"/>
  <c r="F48" i="13"/>
  <c r="G48" i="13"/>
  <c r="H48" i="13"/>
  <c r="I48" i="13"/>
  <c r="J48" i="13"/>
  <c r="K48" i="13"/>
  <c r="L48" i="13"/>
  <c r="AJ48" i="13"/>
  <c r="BY48" i="13"/>
  <c r="BZ48" i="13"/>
  <c r="CB48" i="13"/>
  <c r="CC48" i="13"/>
  <c r="CD48" i="13"/>
  <c r="CD48" i="13" a="1"/>
  <c r="CN48" i="13"/>
  <c r="CO48" i="13"/>
  <c r="CP48" i="13"/>
  <c r="CQ48" i="13"/>
  <c r="CR48" i="13"/>
  <c r="DI48" i="13"/>
  <c r="DJ48" i="13"/>
  <c r="DK48" i="13"/>
  <c r="DL48" i="13"/>
  <c r="A49" i="13"/>
  <c r="B49" i="13"/>
  <c r="C49" i="13"/>
  <c r="D49" i="13"/>
  <c r="E49" i="13"/>
  <c r="F49" i="13"/>
  <c r="G49" i="13"/>
  <c r="H49" i="13"/>
  <c r="I49" i="13"/>
  <c r="J49" i="13"/>
  <c r="K49" i="13"/>
  <c r="L49" i="13"/>
  <c r="AJ49" i="13"/>
  <c r="BY49" i="13"/>
  <c r="BZ49" i="13"/>
  <c r="CB49" i="13"/>
  <c r="CC49" i="13"/>
  <c r="CD49" i="13"/>
  <c r="CD49" i="13" a="1"/>
  <c r="CN49" i="13"/>
  <c r="CO49" i="13"/>
  <c r="CP49" i="13"/>
  <c r="CQ49" i="13"/>
  <c r="CR49" i="13"/>
  <c r="DI49" i="13"/>
  <c r="DJ49" i="13"/>
  <c r="DK49" i="13"/>
  <c r="DL49" i="13"/>
  <c r="A50" i="13"/>
  <c r="B50" i="13"/>
  <c r="C50" i="13"/>
  <c r="D50" i="13"/>
  <c r="E50" i="13"/>
  <c r="F50" i="13"/>
  <c r="G50" i="13"/>
  <c r="H50" i="13"/>
  <c r="I50" i="13"/>
  <c r="J50" i="13"/>
  <c r="K50" i="13"/>
  <c r="L50" i="13"/>
  <c r="AJ50" i="13"/>
  <c r="BY50" i="13"/>
  <c r="BZ50" i="13"/>
  <c r="CB50" i="13"/>
  <c r="CC50" i="13"/>
  <c r="CD50" i="13"/>
  <c r="CD50" i="13" a="1"/>
  <c r="CN50" i="13"/>
  <c r="CO50" i="13"/>
  <c r="CP50" i="13"/>
  <c r="CQ50" i="13"/>
  <c r="CR50" i="13"/>
  <c r="DI50" i="13"/>
  <c r="DJ50" i="13"/>
  <c r="DK50" i="13"/>
  <c r="DL50" i="13"/>
  <c r="CL51" i="13"/>
  <c r="DI51" i="13"/>
  <c r="DJ51" i="13"/>
  <c r="DK51" i="13"/>
  <c r="DL51" i="13"/>
  <c r="DI52" i="13"/>
  <c r="DJ52" i="13"/>
  <c r="DK52" i="13"/>
  <c r="DL52" i="13"/>
  <c r="DI53" i="13"/>
  <c r="DJ53" i="13"/>
  <c r="DK53" i="13"/>
  <c r="DL53" i="13"/>
  <c r="CI54" i="13"/>
  <c r="CJ54" i="13"/>
  <c r="CK54" i="13"/>
  <c r="DI54" i="13"/>
  <c r="DJ54" i="13"/>
  <c r="DK54" i="13"/>
  <c r="DL54" i="13"/>
  <c r="Y55" i="13"/>
  <c r="Z55" i="13"/>
  <c r="AA55" i="13"/>
  <c r="AB55" i="13"/>
  <c r="AC55" i="13"/>
  <c r="AD55" i="13"/>
  <c r="AE55" i="13"/>
  <c r="AF55" i="13"/>
  <c r="AG55" i="13"/>
  <c r="AH55" i="13"/>
  <c r="AI55" i="13"/>
  <c r="DI55" i="13"/>
  <c r="DJ55" i="13"/>
  <c r="DK55" i="13"/>
  <c r="DL55" i="13"/>
  <c r="A56" i="13"/>
  <c r="B56" i="13"/>
  <c r="B56" i="13" a="1"/>
  <c r="C56" i="13"/>
  <c r="D56" i="13"/>
  <c r="E56" i="13"/>
  <c r="F56" i="13"/>
  <c r="G56" i="13"/>
  <c r="H56" i="13"/>
  <c r="I56" i="13"/>
  <c r="J56" i="13"/>
  <c r="J56" i="13" a="1"/>
  <c r="K56" i="13"/>
  <c r="L56" i="13"/>
  <c r="N56" i="13"/>
  <c r="Q56" i="13"/>
  <c r="S56" i="13"/>
  <c r="T56" i="13"/>
  <c r="U56" i="13"/>
  <c r="V56" i="13"/>
  <c r="W56" i="13"/>
  <c r="W56" i="13" a="1"/>
  <c r="X56" i="13"/>
  <c r="X56" i="13" a="1"/>
  <c r="AJ56" i="13"/>
  <c r="BY56" i="13"/>
  <c r="BZ56" i="13"/>
  <c r="CB56" i="13"/>
  <c r="CC56" i="13"/>
  <c r="CD56" i="13"/>
  <c r="CE56" i="13"/>
  <c r="CF56" i="13"/>
  <c r="CG56" i="13"/>
  <c r="CH56" i="13"/>
  <c r="CI56" i="13"/>
  <c r="CJ56" i="13"/>
  <c r="CK56" i="13"/>
  <c r="CL56" i="13"/>
  <c r="CN56" i="13"/>
  <c r="DI56" i="13"/>
  <c r="DJ56" i="13"/>
  <c r="DK56" i="13"/>
  <c r="DL56" i="13"/>
  <c r="A57" i="13"/>
  <c r="B57" i="13"/>
  <c r="C57" i="13"/>
  <c r="D57" i="13"/>
  <c r="E57" i="13"/>
  <c r="F57" i="13"/>
  <c r="G57" i="13"/>
  <c r="H57" i="13"/>
  <c r="I57" i="13"/>
  <c r="J57" i="13"/>
  <c r="K57" i="13"/>
  <c r="L57" i="13"/>
  <c r="N57" i="13"/>
  <c r="Q57" i="13"/>
  <c r="S57" i="13"/>
  <c r="T57" i="13"/>
  <c r="U57" i="13"/>
  <c r="V57" i="13"/>
  <c r="W57" i="13"/>
  <c r="W57" i="13" a="1"/>
  <c r="X57" i="13"/>
  <c r="X57" i="13" a="1"/>
  <c r="Y57" i="13"/>
  <c r="AJ57" i="13"/>
  <c r="BY57" i="13"/>
  <c r="BZ57" i="13"/>
  <c r="CB57" i="13"/>
  <c r="CC57" i="13"/>
  <c r="CD57" i="13"/>
  <c r="CE57" i="13"/>
  <c r="CF57" i="13"/>
  <c r="CG57" i="13"/>
  <c r="CH57" i="13"/>
  <c r="CI57" i="13"/>
  <c r="CJ57" i="13"/>
  <c r="CK57" i="13"/>
  <c r="CL57" i="13"/>
  <c r="CN57" i="13"/>
  <c r="DI57" i="13"/>
  <c r="DJ57" i="13"/>
  <c r="DK57" i="13"/>
  <c r="DL57" i="13"/>
  <c r="A58" i="13"/>
  <c r="B58" i="13"/>
  <c r="C58" i="13"/>
  <c r="D58" i="13"/>
  <c r="E58" i="13"/>
  <c r="F58" i="13"/>
  <c r="G58" i="13"/>
  <c r="H58" i="13"/>
  <c r="I58" i="13"/>
  <c r="J58" i="13"/>
  <c r="K58" i="13"/>
  <c r="L58" i="13"/>
  <c r="N58" i="13"/>
  <c r="Q58" i="13"/>
  <c r="S58" i="13"/>
  <c r="T58" i="13"/>
  <c r="U58" i="13"/>
  <c r="V58" i="13"/>
  <c r="W58" i="13"/>
  <c r="W58" i="13" a="1"/>
  <c r="X58" i="13"/>
  <c r="X58" i="13" a="1"/>
  <c r="Y58" i="13"/>
  <c r="Z58" i="13"/>
  <c r="AJ58" i="13"/>
  <c r="BY58" i="13"/>
  <c r="BZ58" i="13"/>
  <c r="CB58" i="13"/>
  <c r="CC58" i="13"/>
  <c r="CD58" i="13"/>
  <c r="CE58" i="13"/>
  <c r="CF58" i="13"/>
  <c r="CG58" i="13"/>
  <c r="CH58" i="13"/>
  <c r="CI58" i="13"/>
  <c r="CJ58" i="13"/>
  <c r="CK58" i="13"/>
  <c r="CL58" i="13"/>
  <c r="CN58" i="13"/>
  <c r="DI58" i="13"/>
  <c r="DJ58" i="13"/>
  <c r="DK58" i="13"/>
  <c r="DL58" i="13"/>
  <c r="A59" i="13"/>
  <c r="B59" i="13"/>
  <c r="C59" i="13"/>
  <c r="D59" i="13"/>
  <c r="E59" i="13"/>
  <c r="F59" i="13"/>
  <c r="G59" i="13"/>
  <c r="H59" i="13"/>
  <c r="I59" i="13"/>
  <c r="J59" i="13"/>
  <c r="K59" i="13"/>
  <c r="L59" i="13"/>
  <c r="N59" i="13"/>
  <c r="Q59" i="13"/>
  <c r="S59" i="13"/>
  <c r="T59" i="13"/>
  <c r="U59" i="13"/>
  <c r="V59" i="13"/>
  <c r="W59" i="13"/>
  <c r="W59" i="13" a="1"/>
  <c r="X59" i="13"/>
  <c r="X59" i="13" a="1"/>
  <c r="Y59" i="13"/>
  <c r="Z59" i="13"/>
  <c r="AA59" i="13"/>
  <c r="AJ59" i="13"/>
  <c r="BY59" i="13"/>
  <c r="BZ59" i="13"/>
  <c r="CB59" i="13"/>
  <c r="CC59" i="13"/>
  <c r="CD59" i="13"/>
  <c r="CE59" i="13"/>
  <c r="CF59" i="13"/>
  <c r="CG59" i="13"/>
  <c r="CH59" i="13"/>
  <c r="CI59" i="13"/>
  <c r="CJ59" i="13"/>
  <c r="CK59" i="13"/>
  <c r="CL59" i="13"/>
  <c r="CN59" i="13"/>
  <c r="DI59" i="13"/>
  <c r="DJ59" i="13"/>
  <c r="DK59" i="13"/>
  <c r="DL59" i="13"/>
  <c r="A60" i="13"/>
  <c r="B60" i="13"/>
  <c r="C60" i="13"/>
  <c r="D60" i="13"/>
  <c r="E60" i="13"/>
  <c r="F60" i="13"/>
  <c r="G60" i="13"/>
  <c r="H60" i="13"/>
  <c r="I60" i="13"/>
  <c r="J60" i="13"/>
  <c r="K60" i="13"/>
  <c r="L60" i="13"/>
  <c r="N60" i="13"/>
  <c r="Q60" i="13"/>
  <c r="S60" i="13"/>
  <c r="T60" i="13"/>
  <c r="U60" i="13"/>
  <c r="V60" i="13"/>
  <c r="W60" i="13"/>
  <c r="W60" i="13" a="1"/>
  <c r="X60" i="13"/>
  <c r="X60" i="13" a="1"/>
  <c r="Y60" i="13"/>
  <c r="Z60" i="13"/>
  <c r="AA60" i="13"/>
  <c r="AB60" i="13"/>
  <c r="AJ60" i="13"/>
  <c r="BY60" i="13"/>
  <c r="BZ60" i="13"/>
  <c r="CB60" i="13"/>
  <c r="CC60" i="13"/>
  <c r="CD60" i="13"/>
  <c r="CE60" i="13"/>
  <c r="CF60" i="13"/>
  <c r="CG60" i="13"/>
  <c r="CH60" i="13"/>
  <c r="CI60" i="13"/>
  <c r="CJ60" i="13"/>
  <c r="CK60" i="13"/>
  <c r="CL60" i="13"/>
  <c r="CN60" i="13"/>
  <c r="DI60" i="13"/>
  <c r="DJ60" i="13"/>
  <c r="DK60" i="13"/>
  <c r="DL60" i="13"/>
  <c r="A61" i="13"/>
  <c r="B61" i="13"/>
  <c r="C61" i="13"/>
  <c r="D61" i="13"/>
  <c r="E61" i="13"/>
  <c r="F61" i="13"/>
  <c r="G61" i="13"/>
  <c r="H61" i="13"/>
  <c r="I61" i="13"/>
  <c r="J61" i="13"/>
  <c r="K61" i="13"/>
  <c r="L61" i="13"/>
  <c r="N61" i="13"/>
  <c r="Q61" i="13"/>
  <c r="S61" i="13"/>
  <c r="T61" i="13"/>
  <c r="U61" i="13"/>
  <c r="V61" i="13"/>
  <c r="W61" i="13"/>
  <c r="W61" i="13" a="1"/>
  <c r="X61" i="13"/>
  <c r="X61" i="13" a="1"/>
  <c r="Y61" i="13"/>
  <c r="Z61" i="13"/>
  <c r="AA61" i="13"/>
  <c r="AB61" i="13"/>
  <c r="AC61" i="13"/>
  <c r="AJ61" i="13"/>
  <c r="BY61" i="13"/>
  <c r="BZ61" i="13"/>
  <c r="CB61" i="13"/>
  <c r="CC61" i="13"/>
  <c r="CD61" i="13"/>
  <c r="CE61" i="13"/>
  <c r="CF61" i="13"/>
  <c r="CG61" i="13"/>
  <c r="CH61" i="13"/>
  <c r="CI61" i="13"/>
  <c r="CJ61" i="13"/>
  <c r="CK61" i="13"/>
  <c r="CL61" i="13"/>
  <c r="CN61" i="13"/>
  <c r="DI61" i="13"/>
  <c r="DJ61" i="13"/>
  <c r="DK61" i="13"/>
  <c r="DL61" i="13"/>
  <c r="A62" i="13"/>
  <c r="B62" i="13"/>
  <c r="C62" i="13"/>
  <c r="D62" i="13"/>
  <c r="E62" i="13"/>
  <c r="F62" i="13"/>
  <c r="G62" i="13"/>
  <c r="H62" i="13"/>
  <c r="I62" i="13"/>
  <c r="J62" i="13"/>
  <c r="K62" i="13"/>
  <c r="L62" i="13"/>
  <c r="N62" i="13"/>
  <c r="Q62" i="13"/>
  <c r="S62" i="13"/>
  <c r="T62" i="13"/>
  <c r="U62" i="13"/>
  <c r="V62" i="13"/>
  <c r="W62" i="13"/>
  <c r="W62" i="13" a="1"/>
  <c r="X62" i="13"/>
  <c r="X62" i="13" a="1"/>
  <c r="Y62" i="13"/>
  <c r="Z62" i="13"/>
  <c r="AA62" i="13"/>
  <c r="AB62" i="13"/>
  <c r="AC62" i="13"/>
  <c r="AD62" i="13"/>
  <c r="AJ62" i="13"/>
  <c r="BY62" i="13"/>
  <c r="BZ62" i="13"/>
  <c r="CB62" i="13"/>
  <c r="CC62" i="13"/>
  <c r="CD62" i="13"/>
  <c r="CE62" i="13"/>
  <c r="CF62" i="13"/>
  <c r="CG62" i="13"/>
  <c r="CH62" i="13"/>
  <c r="CI62" i="13"/>
  <c r="CJ62" i="13"/>
  <c r="CK62" i="13"/>
  <c r="CL62" i="13"/>
  <c r="CN62" i="13"/>
  <c r="DI62" i="13"/>
  <c r="DJ62" i="13"/>
  <c r="DK62" i="13"/>
  <c r="DL62" i="13"/>
  <c r="A63" i="13"/>
  <c r="B63" i="13"/>
  <c r="C63" i="13"/>
  <c r="D63" i="13"/>
  <c r="E63" i="13"/>
  <c r="F63" i="13"/>
  <c r="G63" i="13"/>
  <c r="H63" i="13"/>
  <c r="I63" i="13"/>
  <c r="J63" i="13"/>
  <c r="K63" i="13"/>
  <c r="L63" i="13"/>
  <c r="N63" i="13"/>
  <c r="Q63" i="13"/>
  <c r="S63" i="13"/>
  <c r="T63" i="13"/>
  <c r="U63" i="13"/>
  <c r="V63" i="13"/>
  <c r="W63" i="13"/>
  <c r="W63" i="13" a="1"/>
  <c r="X63" i="13"/>
  <c r="X63" i="13" a="1"/>
  <c r="Y63" i="13"/>
  <c r="Z63" i="13"/>
  <c r="AA63" i="13"/>
  <c r="AB63" i="13"/>
  <c r="AC63" i="13"/>
  <c r="AD63" i="13"/>
  <c r="AE63" i="13"/>
  <c r="AJ63" i="13"/>
  <c r="BY63" i="13"/>
  <c r="BZ63" i="13"/>
  <c r="CB63" i="13"/>
  <c r="CC63" i="13"/>
  <c r="CD63" i="13"/>
  <c r="CE63" i="13"/>
  <c r="CF63" i="13"/>
  <c r="CG63" i="13"/>
  <c r="CH63" i="13"/>
  <c r="CI63" i="13"/>
  <c r="CJ63" i="13"/>
  <c r="CK63" i="13"/>
  <c r="CL63" i="13"/>
  <c r="CN63" i="13"/>
  <c r="DI63" i="13"/>
  <c r="DJ63" i="13"/>
  <c r="DK63" i="13"/>
  <c r="DL63" i="13"/>
  <c r="A64" i="13"/>
  <c r="B64" i="13"/>
  <c r="C64" i="13"/>
  <c r="D64" i="13"/>
  <c r="E64" i="13"/>
  <c r="F64" i="13"/>
  <c r="G64" i="13"/>
  <c r="H64" i="13"/>
  <c r="I64" i="13"/>
  <c r="J64" i="13"/>
  <c r="K64" i="13"/>
  <c r="L64" i="13"/>
  <c r="N64" i="13"/>
  <c r="Q64" i="13"/>
  <c r="S64" i="13"/>
  <c r="T64" i="13"/>
  <c r="V64" i="13"/>
  <c r="W64" i="13"/>
  <c r="W64" i="13" a="1"/>
  <c r="X64" i="13"/>
  <c r="X64" i="13" a="1"/>
  <c r="Y64" i="13"/>
  <c r="Z64" i="13"/>
  <c r="AA64" i="13"/>
  <c r="AB64" i="13"/>
  <c r="AC64" i="13"/>
  <c r="AD64" i="13"/>
  <c r="AE64" i="13"/>
  <c r="AF64" i="13"/>
  <c r="AJ64" i="13"/>
  <c r="BY64" i="13"/>
  <c r="BZ64" i="13"/>
  <c r="CB64" i="13"/>
  <c r="CC64" i="13"/>
  <c r="CD64" i="13"/>
  <c r="CE64" i="13"/>
  <c r="CF64" i="13"/>
  <c r="CG64" i="13"/>
  <c r="CH64" i="13"/>
  <c r="CI64" i="13"/>
  <c r="CJ64" i="13"/>
  <c r="CK64" i="13"/>
  <c r="CL64" i="13"/>
  <c r="CN64" i="13"/>
  <c r="DI64" i="13"/>
  <c r="DJ64" i="13"/>
  <c r="DK64" i="13"/>
  <c r="DL64" i="13"/>
  <c r="A65" i="13"/>
  <c r="B65" i="13"/>
  <c r="C65" i="13"/>
  <c r="D65" i="13"/>
  <c r="E65" i="13"/>
  <c r="F65" i="13"/>
  <c r="G65" i="13"/>
  <c r="H65" i="13"/>
  <c r="I65" i="13"/>
  <c r="J65" i="13"/>
  <c r="K65" i="13"/>
  <c r="L65" i="13"/>
  <c r="N65" i="13"/>
  <c r="Q65" i="13"/>
  <c r="S65" i="13"/>
  <c r="T65" i="13"/>
  <c r="V65" i="13"/>
  <c r="W65" i="13"/>
  <c r="W65" i="13" a="1"/>
  <c r="X65" i="13"/>
  <c r="X65" i="13" a="1"/>
  <c r="Y65" i="13"/>
  <c r="Z65" i="13"/>
  <c r="AA65" i="13"/>
  <c r="AB65" i="13"/>
  <c r="AC65" i="13"/>
  <c r="AD65" i="13"/>
  <c r="AE65" i="13"/>
  <c r="AF65" i="13"/>
  <c r="AG65" i="13"/>
  <c r="AJ65" i="13"/>
  <c r="BY65" i="13"/>
  <c r="BZ65" i="13"/>
  <c r="CB65" i="13"/>
  <c r="CC65" i="13"/>
  <c r="CD65" i="13"/>
  <c r="CE65" i="13"/>
  <c r="CF65" i="13"/>
  <c r="CG65" i="13"/>
  <c r="CH65" i="13"/>
  <c r="CI65" i="13"/>
  <c r="CJ65" i="13"/>
  <c r="CK65" i="13"/>
  <c r="CL65" i="13"/>
  <c r="CN65" i="13"/>
  <c r="DI65" i="13"/>
  <c r="DJ65" i="13"/>
  <c r="DK65" i="13"/>
  <c r="DL65" i="13"/>
  <c r="A66" i="13"/>
  <c r="B66" i="13"/>
  <c r="C66" i="13"/>
  <c r="D66" i="13"/>
  <c r="E66" i="13"/>
  <c r="F66" i="13"/>
  <c r="G66" i="13"/>
  <c r="H66" i="13"/>
  <c r="I66" i="13"/>
  <c r="J66" i="13"/>
  <c r="K66" i="13"/>
  <c r="L66" i="13"/>
  <c r="N66" i="13"/>
  <c r="Q66" i="13"/>
  <c r="S66" i="13"/>
  <c r="T66" i="13"/>
  <c r="V66" i="13"/>
  <c r="W66" i="13"/>
  <c r="W66" i="13" a="1"/>
  <c r="X66" i="13"/>
  <c r="X66" i="13" a="1"/>
  <c r="Y66" i="13"/>
  <c r="Z66" i="13"/>
  <c r="AA66" i="13"/>
  <c r="AB66" i="13"/>
  <c r="AC66" i="13"/>
  <c r="AD66" i="13"/>
  <c r="AE66" i="13"/>
  <c r="AF66" i="13"/>
  <c r="AG66" i="13"/>
  <c r="AH66" i="13"/>
  <c r="AJ66" i="13"/>
  <c r="BY66" i="13"/>
  <c r="BZ66" i="13"/>
  <c r="CB66" i="13"/>
  <c r="CC66" i="13"/>
  <c r="CD66" i="13"/>
  <c r="CE66" i="13"/>
  <c r="CF66" i="13"/>
  <c r="CG66" i="13"/>
  <c r="CH66" i="13"/>
  <c r="CI66" i="13"/>
  <c r="CJ66" i="13"/>
  <c r="CK66" i="13"/>
  <c r="CL66" i="13"/>
  <c r="CN66" i="13"/>
  <c r="DI66" i="13"/>
  <c r="DJ66" i="13"/>
  <c r="DK66" i="13"/>
  <c r="DL66" i="13"/>
  <c r="A67" i="13"/>
  <c r="B67" i="13"/>
  <c r="C67" i="13"/>
  <c r="D67" i="13"/>
  <c r="E67" i="13"/>
  <c r="F67" i="13"/>
  <c r="G67" i="13"/>
  <c r="H67" i="13"/>
  <c r="I67" i="13"/>
  <c r="J67" i="13"/>
  <c r="K67" i="13"/>
  <c r="L67" i="13"/>
  <c r="N67" i="13"/>
  <c r="Q67" i="13"/>
  <c r="S67" i="13"/>
  <c r="AJ67" i="13"/>
  <c r="BY67" i="13"/>
  <c r="BZ67" i="13"/>
  <c r="CB67" i="13"/>
  <c r="CC67" i="13"/>
  <c r="CD67" i="13"/>
  <c r="CE67" i="13"/>
  <c r="CF67" i="13"/>
  <c r="CG67" i="13"/>
  <c r="CH67" i="13"/>
  <c r="CI67" i="13"/>
  <c r="CJ67" i="13"/>
  <c r="CK67" i="13"/>
  <c r="CL67" i="13"/>
  <c r="CN67" i="13"/>
  <c r="DI67" i="13"/>
  <c r="DJ67" i="13"/>
  <c r="DK67" i="13"/>
  <c r="DL67" i="13"/>
  <c r="A68" i="13"/>
  <c r="B68" i="13"/>
  <c r="C68" i="13"/>
  <c r="D68" i="13"/>
  <c r="E68" i="13"/>
  <c r="F68" i="13"/>
  <c r="G68" i="13"/>
  <c r="H68" i="13"/>
  <c r="I68" i="13"/>
  <c r="J68" i="13"/>
  <c r="K68" i="13"/>
  <c r="L68" i="13"/>
  <c r="N68" i="13"/>
  <c r="Q68" i="13"/>
  <c r="S68" i="13"/>
  <c r="AJ68" i="13"/>
  <c r="BY68" i="13"/>
  <c r="BZ68" i="13"/>
  <c r="CB68" i="13"/>
  <c r="CC68" i="13"/>
  <c r="CD68" i="13"/>
  <c r="CE68" i="13"/>
  <c r="CF68" i="13"/>
  <c r="CG68" i="13"/>
  <c r="CH68" i="13"/>
  <c r="CI68" i="13"/>
  <c r="CJ68" i="13"/>
  <c r="CK68" i="13"/>
  <c r="CL68" i="13"/>
  <c r="CN68" i="13"/>
  <c r="DI68" i="13"/>
  <c r="DJ68" i="13"/>
  <c r="DK68" i="13"/>
  <c r="DL68" i="13"/>
  <c r="A69" i="13"/>
  <c r="B69" i="13"/>
  <c r="C69" i="13"/>
  <c r="D69" i="13"/>
  <c r="E69" i="13"/>
  <c r="F69" i="13"/>
  <c r="G69" i="13"/>
  <c r="H69" i="13"/>
  <c r="I69" i="13"/>
  <c r="J69" i="13"/>
  <c r="K69" i="13"/>
  <c r="L69" i="13"/>
  <c r="N69" i="13"/>
  <c r="Q69" i="13"/>
  <c r="S69" i="13"/>
  <c r="AJ69" i="13"/>
  <c r="BY69" i="13"/>
  <c r="BZ69" i="13"/>
  <c r="CB69" i="13"/>
  <c r="CC69" i="13"/>
  <c r="CD69" i="13"/>
  <c r="CE69" i="13"/>
  <c r="CF69" i="13"/>
  <c r="CG69" i="13"/>
  <c r="CH69" i="13"/>
  <c r="CI69" i="13"/>
  <c r="CJ69" i="13"/>
  <c r="CK69" i="13"/>
  <c r="CL69" i="13"/>
  <c r="CN69" i="13"/>
  <c r="DI69" i="13"/>
  <c r="DJ69" i="13"/>
  <c r="DK69" i="13"/>
  <c r="DL69" i="13"/>
  <c r="A70" i="13"/>
  <c r="B70" i="13"/>
  <c r="C70" i="13"/>
  <c r="D70" i="13"/>
  <c r="E70" i="13"/>
  <c r="F70" i="13"/>
  <c r="G70" i="13"/>
  <c r="H70" i="13"/>
  <c r="I70" i="13"/>
  <c r="J70" i="13"/>
  <c r="K70" i="13"/>
  <c r="L70" i="13"/>
  <c r="N70" i="13"/>
  <c r="Q70" i="13"/>
  <c r="S70" i="13"/>
  <c r="AJ70" i="13"/>
  <c r="BY70" i="13"/>
  <c r="BZ70" i="13"/>
  <c r="CB70" i="13"/>
  <c r="CC70" i="13"/>
  <c r="CD70" i="13"/>
  <c r="CE70" i="13"/>
  <c r="CF70" i="13"/>
  <c r="CG70" i="13"/>
  <c r="CH70" i="13"/>
  <c r="CI70" i="13"/>
  <c r="CJ70" i="13"/>
  <c r="CK70" i="13"/>
  <c r="CL70" i="13"/>
  <c r="CN70" i="13"/>
  <c r="DI70" i="13"/>
  <c r="DJ70" i="13"/>
  <c r="DK70" i="13"/>
  <c r="DL70" i="13"/>
  <c r="A71" i="13"/>
  <c r="B71" i="13"/>
  <c r="C71" i="13"/>
  <c r="D71" i="13"/>
  <c r="E71" i="13"/>
  <c r="F71" i="13"/>
  <c r="G71" i="13"/>
  <c r="H71" i="13"/>
  <c r="I71" i="13"/>
  <c r="J71" i="13"/>
  <c r="K71" i="13"/>
  <c r="L71" i="13"/>
  <c r="N71" i="13"/>
  <c r="Q71" i="13"/>
  <c r="S71" i="13"/>
  <c r="T71" i="13"/>
  <c r="U71" i="13"/>
  <c r="AJ71" i="13"/>
  <c r="BY71" i="13"/>
  <c r="BZ71" i="13"/>
  <c r="CB71" i="13"/>
  <c r="CC71" i="13"/>
  <c r="CD71" i="13"/>
  <c r="CE71" i="13"/>
  <c r="CF71" i="13"/>
  <c r="CG71" i="13"/>
  <c r="CH71" i="13"/>
  <c r="CI71" i="13"/>
  <c r="CJ71" i="13"/>
  <c r="CK71" i="13"/>
  <c r="CL71" i="13"/>
  <c r="CN71" i="13"/>
  <c r="DI71" i="13"/>
  <c r="DJ71" i="13"/>
  <c r="DK71" i="13"/>
  <c r="DL71" i="13"/>
  <c r="A72" i="13"/>
  <c r="B72" i="13"/>
  <c r="C72" i="13"/>
  <c r="D72" i="13"/>
  <c r="E72" i="13"/>
  <c r="F72" i="13"/>
  <c r="G72" i="13"/>
  <c r="H72" i="13"/>
  <c r="I72" i="13"/>
  <c r="J72" i="13"/>
  <c r="K72" i="13"/>
  <c r="L72" i="13"/>
  <c r="N72" i="13"/>
  <c r="Q72" i="13"/>
  <c r="S72" i="13"/>
  <c r="T72" i="13"/>
  <c r="U72" i="13"/>
  <c r="AJ72" i="13"/>
  <c r="BY72" i="13"/>
  <c r="BZ72" i="13"/>
  <c r="CB72" i="13"/>
  <c r="CC72" i="13"/>
  <c r="CD72" i="13"/>
  <c r="CE72" i="13"/>
  <c r="CF72" i="13"/>
  <c r="CG72" i="13"/>
  <c r="CH72" i="13"/>
  <c r="CI72" i="13"/>
  <c r="CJ72" i="13"/>
  <c r="CK72" i="13"/>
  <c r="CL72" i="13"/>
  <c r="CN72" i="13"/>
  <c r="DI72" i="13"/>
  <c r="DJ72" i="13"/>
  <c r="DK72" i="13"/>
  <c r="DL72" i="13"/>
  <c r="A73" i="13"/>
  <c r="B73" i="13"/>
  <c r="C73" i="13"/>
  <c r="D73" i="13"/>
  <c r="E73" i="13"/>
  <c r="F73" i="13"/>
  <c r="G73" i="13"/>
  <c r="H73" i="13"/>
  <c r="I73" i="13"/>
  <c r="J73" i="13"/>
  <c r="K73" i="13"/>
  <c r="L73" i="13"/>
  <c r="N73" i="13"/>
  <c r="Q73" i="13"/>
  <c r="S73" i="13"/>
  <c r="T73" i="13"/>
  <c r="U73" i="13"/>
  <c r="AJ73" i="13"/>
  <c r="BY73" i="13"/>
  <c r="BZ73" i="13"/>
  <c r="CB73" i="13"/>
  <c r="CC73" i="13"/>
  <c r="CD73" i="13"/>
  <c r="CE73" i="13"/>
  <c r="CF73" i="13"/>
  <c r="CG73" i="13"/>
  <c r="CH73" i="13"/>
  <c r="CI73" i="13"/>
  <c r="CJ73" i="13"/>
  <c r="CK73" i="13"/>
  <c r="CL73" i="13"/>
  <c r="CN73" i="13"/>
  <c r="DI73" i="13"/>
  <c r="DJ73" i="13"/>
  <c r="DK73" i="13"/>
  <c r="DL73" i="13"/>
  <c r="A74" i="13"/>
  <c r="B74" i="13"/>
  <c r="C74" i="13"/>
  <c r="D74" i="13"/>
  <c r="E74" i="13"/>
  <c r="F74" i="13"/>
  <c r="G74" i="13"/>
  <c r="H74" i="13"/>
  <c r="I74" i="13"/>
  <c r="J74" i="13"/>
  <c r="K74" i="13"/>
  <c r="L74" i="13"/>
  <c r="N74" i="13"/>
  <c r="Q74" i="13"/>
  <c r="S74" i="13"/>
  <c r="T74" i="13"/>
  <c r="U74" i="13"/>
  <c r="AJ74" i="13"/>
  <c r="BY74" i="13"/>
  <c r="BZ74" i="13"/>
  <c r="CB74" i="13"/>
  <c r="CC74" i="13"/>
  <c r="CD74" i="13"/>
  <c r="CE74" i="13"/>
  <c r="CF74" i="13"/>
  <c r="CG74" i="13"/>
  <c r="CH74" i="13"/>
  <c r="CI74" i="13"/>
  <c r="CJ74" i="13"/>
  <c r="CK74" i="13"/>
  <c r="CL74" i="13"/>
  <c r="CN74" i="13"/>
  <c r="DI74" i="13"/>
  <c r="DJ74" i="13"/>
  <c r="DK74" i="13"/>
  <c r="DL74" i="13"/>
  <c r="A75" i="13"/>
  <c r="B75" i="13"/>
  <c r="C75" i="13"/>
  <c r="D75" i="13"/>
  <c r="E75" i="13"/>
  <c r="F75" i="13"/>
  <c r="G75" i="13"/>
  <c r="H75" i="13"/>
  <c r="I75" i="13"/>
  <c r="J75" i="13"/>
  <c r="K75" i="13"/>
  <c r="L75" i="13"/>
  <c r="N75" i="13"/>
  <c r="Q75" i="13"/>
  <c r="S75" i="13"/>
  <c r="T75" i="13"/>
  <c r="U75" i="13"/>
  <c r="AJ75" i="13"/>
  <c r="BY75" i="13"/>
  <c r="BZ75" i="13"/>
  <c r="CB75" i="13"/>
  <c r="CC75" i="13"/>
  <c r="CD75" i="13"/>
  <c r="CE75" i="13"/>
  <c r="CF75" i="13"/>
  <c r="CG75" i="13"/>
  <c r="CH75" i="13"/>
  <c r="CI75" i="13"/>
  <c r="CJ75" i="13"/>
  <c r="CK75" i="13"/>
  <c r="CL75" i="13"/>
  <c r="CN75" i="13"/>
  <c r="DI75" i="13"/>
  <c r="DJ75" i="13"/>
  <c r="DK75" i="13"/>
  <c r="DL75" i="13"/>
  <c r="A76" i="13"/>
  <c r="B76" i="13"/>
  <c r="C76" i="13"/>
  <c r="D76" i="13"/>
  <c r="E76" i="13"/>
  <c r="F76" i="13"/>
  <c r="G76" i="13"/>
  <c r="H76" i="13"/>
  <c r="I76" i="13"/>
  <c r="J76" i="13"/>
  <c r="K76" i="13"/>
  <c r="L76" i="13"/>
  <c r="N76" i="13"/>
  <c r="Q76" i="13"/>
  <c r="S76" i="13"/>
  <c r="T76" i="13"/>
  <c r="U76" i="13"/>
  <c r="AJ76" i="13"/>
  <c r="BY76" i="13"/>
  <c r="BZ76" i="13"/>
  <c r="CB76" i="13"/>
  <c r="CC76" i="13"/>
  <c r="CD76" i="13"/>
  <c r="CE76" i="13"/>
  <c r="CF76" i="13"/>
  <c r="CG76" i="13"/>
  <c r="CH76" i="13"/>
  <c r="CI76" i="13"/>
  <c r="CJ76" i="13"/>
  <c r="CK76" i="13"/>
  <c r="CL76" i="13"/>
  <c r="CN76" i="13"/>
  <c r="DI76" i="13"/>
  <c r="DJ76" i="13"/>
  <c r="DK76" i="13"/>
  <c r="DL76" i="13"/>
  <c r="A77" i="13"/>
  <c r="B77" i="13"/>
  <c r="C77" i="13"/>
  <c r="D77" i="13"/>
  <c r="E77" i="13"/>
  <c r="F77" i="13"/>
  <c r="G77" i="13"/>
  <c r="H77" i="13"/>
  <c r="I77" i="13"/>
  <c r="J77" i="13"/>
  <c r="K77" i="13"/>
  <c r="L77" i="13"/>
  <c r="N77" i="13"/>
  <c r="Q77" i="13"/>
  <c r="S77" i="13"/>
  <c r="T77" i="13"/>
  <c r="U77" i="13"/>
  <c r="AJ77" i="13"/>
  <c r="BY77" i="13"/>
  <c r="BZ77" i="13"/>
  <c r="CB77" i="13"/>
  <c r="CC77" i="13"/>
  <c r="CD77" i="13"/>
  <c r="CE77" i="13"/>
  <c r="CF77" i="13"/>
  <c r="CG77" i="13"/>
  <c r="CH77" i="13"/>
  <c r="CI77" i="13"/>
  <c r="CJ77" i="13"/>
  <c r="CK77" i="13"/>
  <c r="CL77" i="13"/>
  <c r="CN77" i="13"/>
  <c r="DI77" i="13"/>
  <c r="DJ77" i="13"/>
  <c r="DK77" i="13"/>
  <c r="DL77" i="13"/>
  <c r="A78" i="13"/>
  <c r="B78" i="13"/>
  <c r="C78" i="13"/>
  <c r="D78" i="13"/>
  <c r="E78" i="13"/>
  <c r="F78" i="13"/>
  <c r="G78" i="13"/>
  <c r="H78" i="13"/>
  <c r="I78" i="13"/>
  <c r="J78" i="13"/>
  <c r="K78" i="13"/>
  <c r="L78" i="13"/>
  <c r="T78" i="13"/>
  <c r="U78" i="13"/>
  <c r="AJ78" i="13"/>
  <c r="BY78" i="13"/>
  <c r="BZ78" i="13"/>
  <c r="CB78" i="13"/>
  <c r="CC78" i="13"/>
  <c r="CD78" i="13"/>
  <c r="CE78" i="13"/>
  <c r="CF78" i="13"/>
  <c r="CG78" i="13"/>
  <c r="CH78" i="13"/>
  <c r="CI78" i="13"/>
  <c r="CJ78" i="13"/>
  <c r="CK78" i="13"/>
  <c r="CL78" i="13"/>
  <c r="CN78" i="13"/>
  <c r="A79" i="13"/>
  <c r="B79" i="13"/>
  <c r="C79" i="13"/>
  <c r="D79" i="13"/>
  <c r="E79" i="13"/>
  <c r="F79" i="13"/>
  <c r="G79" i="13"/>
  <c r="H79" i="13"/>
  <c r="I79" i="13"/>
  <c r="J79" i="13"/>
  <c r="K79" i="13"/>
  <c r="L79" i="13"/>
  <c r="T79" i="13"/>
  <c r="AJ79" i="13"/>
  <c r="BY79" i="13"/>
  <c r="BZ79" i="13"/>
  <c r="CB79" i="13"/>
  <c r="CC79" i="13"/>
  <c r="CD79" i="13"/>
  <c r="CE79" i="13"/>
  <c r="CF79" i="13"/>
  <c r="CG79" i="13"/>
  <c r="CH79" i="13"/>
  <c r="CI79" i="13"/>
  <c r="CJ79" i="13"/>
  <c r="CK79" i="13"/>
  <c r="CL79" i="13"/>
  <c r="CN79" i="13"/>
  <c r="A80" i="13"/>
  <c r="B80" i="13"/>
  <c r="C80" i="13"/>
  <c r="D80" i="13"/>
  <c r="E80" i="13"/>
  <c r="F80" i="13"/>
  <c r="G80" i="13"/>
  <c r="H80" i="13"/>
  <c r="I80" i="13"/>
  <c r="J80" i="13"/>
  <c r="K80" i="13"/>
  <c r="L80" i="13"/>
  <c r="T80" i="13"/>
  <c r="AJ80" i="13"/>
  <c r="BY80" i="13"/>
  <c r="BZ80" i="13"/>
  <c r="CB80" i="13"/>
  <c r="CC80" i="13"/>
  <c r="CD80" i="13"/>
  <c r="CE80" i="13"/>
  <c r="CF80" i="13"/>
  <c r="CG80" i="13"/>
  <c r="CH80" i="13"/>
  <c r="CI80" i="13"/>
  <c r="CJ80" i="13"/>
  <c r="CK80" i="13"/>
  <c r="CL80" i="13"/>
  <c r="CN80" i="13"/>
  <c r="DJ80" i="13"/>
  <c r="DK80" i="13"/>
  <c r="DL80" i="13"/>
  <c r="A81" i="13"/>
  <c r="B81" i="13"/>
  <c r="C81" i="13"/>
  <c r="D81" i="13"/>
  <c r="E81" i="13"/>
  <c r="F81" i="13"/>
  <c r="G81" i="13"/>
  <c r="H81" i="13"/>
  <c r="I81" i="13"/>
  <c r="J81" i="13"/>
  <c r="K81" i="13"/>
  <c r="L81" i="13"/>
  <c r="O81" i="13"/>
  <c r="P81" i="13"/>
  <c r="T81" i="13"/>
  <c r="AJ81" i="13"/>
  <c r="BY81" i="13"/>
  <c r="BZ81" i="13"/>
  <c r="CB81" i="13"/>
  <c r="CC81" i="13"/>
  <c r="CD81" i="13"/>
  <c r="CE81" i="13"/>
  <c r="CF81" i="13"/>
  <c r="CG81" i="13"/>
  <c r="CH81" i="13"/>
  <c r="CI81" i="13"/>
  <c r="CJ81" i="13"/>
  <c r="CK81" i="13"/>
  <c r="CL81" i="13"/>
  <c r="CN81" i="13"/>
  <c r="DJ81" i="13"/>
  <c r="DK81" i="13"/>
  <c r="DL81" i="13"/>
  <c r="A82" i="13"/>
  <c r="B82" i="13"/>
  <c r="C82" i="13"/>
  <c r="D82" i="13"/>
  <c r="E82" i="13"/>
  <c r="F82" i="13"/>
  <c r="G82" i="13"/>
  <c r="H82" i="13"/>
  <c r="I82" i="13"/>
  <c r="J82" i="13"/>
  <c r="K82" i="13"/>
  <c r="L82" i="13"/>
  <c r="AJ82" i="13"/>
  <c r="BY82" i="13"/>
  <c r="BZ82" i="13"/>
  <c r="CB82" i="13"/>
  <c r="CC82" i="13"/>
  <c r="CD82" i="13"/>
  <c r="CE82" i="13"/>
  <c r="CF82" i="13"/>
  <c r="CG82" i="13"/>
  <c r="CH82" i="13"/>
  <c r="CI82" i="13"/>
  <c r="CJ82" i="13"/>
  <c r="CK82" i="13"/>
  <c r="CL82" i="13"/>
  <c r="CN82" i="13"/>
  <c r="DJ82" i="13"/>
  <c r="DK82" i="13"/>
  <c r="DL82" i="13"/>
  <c r="A83" i="13"/>
  <c r="B83" i="13"/>
  <c r="C83" i="13"/>
  <c r="D83" i="13"/>
  <c r="E83" i="13"/>
  <c r="F83" i="13"/>
  <c r="G83" i="13"/>
  <c r="H83" i="13"/>
  <c r="I83" i="13"/>
  <c r="J83" i="13"/>
  <c r="K83" i="13"/>
  <c r="L83" i="13"/>
  <c r="AJ83" i="13"/>
  <c r="BY83" i="13"/>
  <c r="BZ83" i="13"/>
  <c r="CB83" i="13"/>
  <c r="CC83" i="13"/>
  <c r="CD83" i="13"/>
  <c r="CE83" i="13"/>
  <c r="CF83" i="13"/>
  <c r="CG83" i="13"/>
  <c r="CH83" i="13"/>
  <c r="CI83" i="13"/>
  <c r="CJ83" i="13"/>
  <c r="CK83" i="13"/>
  <c r="CL83" i="13"/>
  <c r="CN83" i="13"/>
  <c r="DJ83" i="13"/>
  <c r="DK83" i="13"/>
  <c r="DL83" i="13"/>
  <c r="A84" i="13"/>
  <c r="B84" i="13"/>
  <c r="C84" i="13"/>
  <c r="D84" i="13"/>
  <c r="E84" i="13"/>
  <c r="F84" i="13"/>
  <c r="G84" i="13"/>
  <c r="H84" i="13"/>
  <c r="I84" i="13"/>
  <c r="J84" i="13"/>
  <c r="K84" i="13"/>
  <c r="L84" i="13"/>
  <c r="AJ84" i="13"/>
  <c r="BY84" i="13"/>
  <c r="BZ84" i="13"/>
  <c r="CB84" i="13"/>
  <c r="CC84" i="13"/>
  <c r="CD84" i="13"/>
  <c r="CE84" i="13"/>
  <c r="CF84" i="13"/>
  <c r="CG84" i="13"/>
  <c r="CH84" i="13"/>
  <c r="CI84" i="13"/>
  <c r="CJ84" i="13"/>
  <c r="CK84" i="13"/>
  <c r="CL84" i="13"/>
  <c r="CN84" i="13"/>
  <c r="DJ84" i="13"/>
  <c r="DK84" i="13"/>
  <c r="DL84" i="13"/>
  <c r="A85" i="13"/>
  <c r="B85" i="13"/>
  <c r="C85" i="13"/>
  <c r="D85" i="13"/>
  <c r="E85" i="13"/>
  <c r="F85" i="13"/>
  <c r="G85" i="13"/>
  <c r="H85" i="13"/>
  <c r="I85" i="13"/>
  <c r="J85" i="13"/>
  <c r="K85" i="13"/>
  <c r="L85" i="13"/>
  <c r="O85" i="13"/>
  <c r="P85" i="13"/>
  <c r="AJ85" i="13"/>
  <c r="BY85" i="13"/>
  <c r="BZ85" i="13"/>
  <c r="CB85" i="13"/>
  <c r="CC85" i="13"/>
  <c r="CD85" i="13"/>
  <c r="CE85" i="13"/>
  <c r="CF85" i="13"/>
  <c r="CG85" i="13"/>
  <c r="CH85" i="13"/>
  <c r="CI85" i="13"/>
  <c r="CJ85" i="13"/>
  <c r="CK85" i="13"/>
  <c r="CL85" i="13"/>
  <c r="CN85" i="13"/>
  <c r="DJ85" i="13"/>
  <c r="DK85" i="13"/>
  <c r="DL85" i="13"/>
  <c r="A86" i="13"/>
  <c r="B86" i="13"/>
  <c r="C86" i="13"/>
  <c r="D86" i="13"/>
  <c r="E86" i="13"/>
  <c r="F86" i="13"/>
  <c r="G86" i="13"/>
  <c r="H86" i="13"/>
  <c r="I86" i="13"/>
  <c r="J86" i="13"/>
  <c r="K86" i="13"/>
  <c r="L86" i="13"/>
  <c r="AJ86" i="13"/>
  <c r="BY86" i="13"/>
  <c r="BZ86" i="13"/>
  <c r="CB86" i="13"/>
  <c r="CC86" i="13"/>
  <c r="CD86" i="13"/>
  <c r="CE86" i="13"/>
  <c r="CF86" i="13"/>
  <c r="CG86" i="13"/>
  <c r="CH86" i="13"/>
  <c r="CI86" i="13"/>
  <c r="CJ86" i="13"/>
  <c r="CK86" i="13"/>
  <c r="CL86" i="13"/>
  <c r="CN86" i="13"/>
  <c r="DJ86" i="13"/>
  <c r="DK86" i="13"/>
  <c r="DL86" i="13"/>
  <c r="A87" i="13"/>
  <c r="B87" i="13"/>
  <c r="C87" i="13"/>
  <c r="D87" i="13"/>
  <c r="E87" i="13"/>
  <c r="F87" i="13"/>
  <c r="G87" i="13"/>
  <c r="H87" i="13"/>
  <c r="I87" i="13"/>
  <c r="J87" i="13"/>
  <c r="K87" i="13"/>
  <c r="L87" i="13"/>
  <c r="AJ87" i="13"/>
  <c r="BY87" i="13"/>
  <c r="BZ87" i="13"/>
  <c r="CB87" i="13"/>
  <c r="CC87" i="13"/>
  <c r="CD87" i="13"/>
  <c r="CE87" i="13"/>
  <c r="CF87" i="13"/>
  <c r="CG87" i="13"/>
  <c r="CH87" i="13"/>
  <c r="CI87" i="13"/>
  <c r="CJ87" i="13"/>
  <c r="CK87" i="13"/>
  <c r="CL87" i="13"/>
  <c r="CN87" i="13"/>
  <c r="DJ87" i="13"/>
  <c r="DK87" i="13"/>
  <c r="DL87" i="13"/>
  <c r="A88" i="13"/>
  <c r="B88" i="13"/>
  <c r="C88" i="13"/>
  <c r="D88" i="13"/>
  <c r="E88" i="13"/>
  <c r="F88" i="13"/>
  <c r="G88" i="13"/>
  <c r="H88" i="13"/>
  <c r="I88" i="13"/>
  <c r="J88" i="13"/>
  <c r="K88" i="13"/>
  <c r="L88" i="13"/>
  <c r="AJ88" i="13"/>
  <c r="BY88" i="13"/>
  <c r="BZ88" i="13"/>
  <c r="CB88" i="13"/>
  <c r="CC88" i="13"/>
  <c r="CD88" i="13"/>
  <c r="CE88" i="13"/>
  <c r="CF88" i="13"/>
  <c r="CG88" i="13"/>
  <c r="CH88" i="13"/>
  <c r="CI88" i="13"/>
  <c r="CJ88" i="13"/>
  <c r="CK88" i="13"/>
  <c r="CL88" i="13"/>
  <c r="CN88" i="13"/>
  <c r="DJ88" i="13"/>
  <c r="DK88" i="13"/>
  <c r="DL88" i="13"/>
  <c r="A89" i="13"/>
  <c r="B89" i="13"/>
  <c r="C89" i="13"/>
  <c r="D89" i="13"/>
  <c r="E89" i="13"/>
  <c r="F89" i="13"/>
  <c r="G89" i="13"/>
  <c r="H89" i="13"/>
  <c r="I89" i="13"/>
  <c r="J89" i="13"/>
  <c r="K89" i="13"/>
  <c r="L89" i="13"/>
  <c r="AJ89" i="13"/>
  <c r="BY89" i="13"/>
  <c r="BZ89" i="13"/>
  <c r="CB89" i="13"/>
  <c r="CC89" i="13"/>
  <c r="CD89" i="13"/>
  <c r="CE89" i="13"/>
  <c r="CF89" i="13"/>
  <c r="CG89" i="13"/>
  <c r="CH89" i="13"/>
  <c r="CI89" i="13"/>
  <c r="CJ89" i="13"/>
  <c r="CK89" i="13"/>
  <c r="CL89" i="13"/>
  <c r="CN89" i="13"/>
  <c r="DJ89" i="13"/>
  <c r="DK89" i="13"/>
  <c r="DL89" i="13"/>
  <c r="A90" i="13"/>
  <c r="B90" i="13"/>
  <c r="C90" i="13"/>
  <c r="D90" i="13"/>
  <c r="E90" i="13"/>
  <c r="F90" i="13"/>
  <c r="G90" i="13"/>
  <c r="H90" i="13"/>
  <c r="I90" i="13"/>
  <c r="J90" i="13"/>
  <c r="K90" i="13"/>
  <c r="L90" i="13"/>
  <c r="AJ90" i="13"/>
  <c r="BY90" i="13"/>
  <c r="BZ90" i="13"/>
  <c r="CB90" i="13"/>
  <c r="CC90" i="13"/>
  <c r="CD90" i="13"/>
  <c r="CE90" i="13"/>
  <c r="CF90" i="13"/>
  <c r="CG90" i="13"/>
  <c r="CH90" i="13"/>
  <c r="CI90" i="13"/>
  <c r="CJ90" i="13"/>
  <c r="CK90" i="13"/>
  <c r="CL90" i="13"/>
  <c r="CN90" i="13"/>
  <c r="DJ90" i="13"/>
  <c r="DK90" i="13"/>
  <c r="DL90" i="13"/>
  <c r="A91" i="13"/>
  <c r="B91" i="13"/>
  <c r="C91" i="13"/>
  <c r="D91" i="13"/>
  <c r="E91" i="13"/>
  <c r="F91" i="13"/>
  <c r="G91" i="13"/>
  <c r="H91" i="13"/>
  <c r="I91" i="13"/>
  <c r="J91" i="13"/>
  <c r="K91" i="13"/>
  <c r="L91" i="13"/>
  <c r="AJ91" i="13"/>
  <c r="BY91" i="13"/>
  <c r="BZ91" i="13"/>
  <c r="CB91" i="13"/>
  <c r="CC91" i="13"/>
  <c r="CD91" i="13"/>
  <c r="CE91" i="13"/>
  <c r="CF91" i="13"/>
  <c r="CG91" i="13"/>
  <c r="CH91" i="13"/>
  <c r="CI91" i="13"/>
  <c r="CJ91" i="13"/>
  <c r="CK91" i="13"/>
  <c r="CL91" i="13"/>
  <c r="CN91" i="13"/>
  <c r="DJ91" i="13"/>
  <c r="DK91" i="13"/>
  <c r="DL91" i="13"/>
  <c r="A92" i="13"/>
  <c r="B92" i="13"/>
  <c r="C92" i="13"/>
  <c r="D92" i="13"/>
  <c r="E92" i="13"/>
  <c r="F92" i="13"/>
  <c r="G92" i="13"/>
  <c r="H92" i="13"/>
  <c r="I92" i="13"/>
  <c r="J92" i="13"/>
  <c r="K92" i="13"/>
  <c r="L92" i="13"/>
  <c r="AJ92" i="13"/>
  <c r="BY92" i="13"/>
  <c r="BZ92" i="13"/>
  <c r="CB92" i="13"/>
  <c r="CC92" i="13"/>
  <c r="CN92" i="13"/>
  <c r="CO92" i="13"/>
  <c r="CP92" i="13"/>
  <c r="CQ92" i="13"/>
  <c r="CR92" i="13"/>
  <c r="DJ92" i="13"/>
  <c r="DK92" i="13"/>
  <c r="DL92" i="13"/>
  <c r="A93" i="13"/>
  <c r="B93" i="13"/>
  <c r="C93" i="13"/>
  <c r="D93" i="13"/>
  <c r="E93" i="13"/>
  <c r="F93" i="13"/>
  <c r="G93" i="13"/>
  <c r="H93" i="13"/>
  <c r="I93" i="13"/>
  <c r="J93" i="13"/>
  <c r="K93" i="13"/>
  <c r="L93" i="13"/>
  <c r="AJ93" i="13"/>
  <c r="BY93" i="13"/>
  <c r="BZ93" i="13"/>
  <c r="CB93" i="13"/>
  <c r="CC93" i="13"/>
  <c r="CN93" i="13"/>
  <c r="CO93" i="13"/>
  <c r="CP93" i="13"/>
  <c r="CQ93" i="13"/>
  <c r="CR93" i="13"/>
  <c r="DJ93" i="13"/>
  <c r="DK93" i="13"/>
  <c r="DL93" i="13"/>
  <c r="A94" i="13"/>
  <c r="B94" i="13"/>
  <c r="C94" i="13"/>
  <c r="D94" i="13"/>
  <c r="E94" i="13"/>
  <c r="F94" i="13"/>
  <c r="G94" i="13"/>
  <c r="H94" i="13"/>
  <c r="I94" i="13"/>
  <c r="J94" i="13"/>
  <c r="K94" i="13"/>
  <c r="L94" i="13"/>
  <c r="AJ94" i="13"/>
  <c r="BY94" i="13"/>
  <c r="BZ94" i="13"/>
  <c r="CB94" i="13"/>
  <c r="CC94" i="13"/>
  <c r="CN94" i="13"/>
  <c r="CO94" i="13"/>
  <c r="CP94" i="13"/>
  <c r="CQ94" i="13"/>
  <c r="CR94" i="13"/>
  <c r="DJ94" i="13"/>
  <c r="DK94" i="13"/>
  <c r="DL94" i="13"/>
  <c r="DJ95" i="13"/>
  <c r="DK95" i="13"/>
  <c r="DL95" i="13"/>
  <c r="DJ96" i="13"/>
  <c r="DK96" i="13"/>
  <c r="DL96" i="13"/>
  <c r="DJ97" i="13"/>
  <c r="DK97" i="13"/>
  <c r="DL97" i="13"/>
  <c r="B98" i="13"/>
  <c r="D98" i="13"/>
  <c r="F98" i="13"/>
  <c r="H98" i="13"/>
  <c r="J98" i="13"/>
  <c r="L98" i="13"/>
  <c r="N98" i="13"/>
  <c r="DJ98" i="13"/>
  <c r="DK98" i="13"/>
  <c r="DL98" i="13"/>
  <c r="DJ99" i="13"/>
  <c r="DK99" i="13"/>
  <c r="DL99" i="13"/>
  <c r="B100" i="13"/>
  <c r="B100" i="13" a="1"/>
  <c r="C100" i="13"/>
  <c r="C100" i="13" a="1"/>
  <c r="D100" i="13"/>
  <c r="D100" i="13" a="1"/>
  <c r="E100" i="13"/>
  <c r="E100" i="13" a="1"/>
  <c r="F100" i="13"/>
  <c r="F100" i="13" a="1"/>
  <c r="G100" i="13"/>
  <c r="G100" i="13" a="1"/>
  <c r="H100" i="13"/>
  <c r="H100" i="13" a="1"/>
  <c r="I100" i="13"/>
  <c r="I100" i="13" a="1"/>
  <c r="J100" i="13"/>
  <c r="J100" i="13" a="1"/>
  <c r="K100" i="13"/>
  <c r="K100" i="13" a="1"/>
  <c r="L100" i="13"/>
  <c r="L100" i="13" a="1"/>
  <c r="M100" i="13"/>
  <c r="M100" i="13" a="1"/>
  <c r="N100" i="13"/>
  <c r="N100" i="13" a="1"/>
  <c r="O100" i="13"/>
  <c r="O100" i="13" a="1"/>
  <c r="P100" i="13"/>
  <c r="P100" i="13" a="1"/>
  <c r="Q100" i="13"/>
  <c r="Q100" i="13" a="1"/>
  <c r="DJ100" i="13"/>
  <c r="DK100" i="13"/>
  <c r="DL100" i="13"/>
  <c r="B101" i="13"/>
  <c r="B101" i="13" a="1"/>
  <c r="C101" i="13"/>
  <c r="C101" i="13" a="1"/>
  <c r="D101" i="13"/>
  <c r="D101" i="13" a="1"/>
  <c r="E101" i="13"/>
  <c r="E101" i="13" a="1"/>
  <c r="F101" i="13"/>
  <c r="F101" i="13" a="1"/>
  <c r="G101" i="13"/>
  <c r="G101" i="13" a="1"/>
  <c r="H101" i="13"/>
  <c r="H101" i="13" a="1"/>
  <c r="I101" i="13"/>
  <c r="I101" i="13" a="1"/>
  <c r="J101" i="13"/>
  <c r="J101" i="13" a="1"/>
  <c r="K101" i="13"/>
  <c r="K101" i="13" a="1"/>
  <c r="L101" i="13"/>
  <c r="L101" i="13" a="1"/>
  <c r="M101" i="13"/>
  <c r="M101" i="13" a="1"/>
  <c r="N101" i="13"/>
  <c r="N101" i="13" a="1"/>
  <c r="O101" i="13"/>
  <c r="O101" i="13" a="1"/>
  <c r="P101" i="13"/>
  <c r="P101" i="13" a="1"/>
  <c r="Q101" i="13"/>
  <c r="Q101" i="13" a="1"/>
  <c r="DJ101" i="13"/>
  <c r="DK101" i="13"/>
  <c r="DL101" i="13"/>
  <c r="B102" i="13"/>
  <c r="B102" i="13" a="1"/>
  <c r="C102" i="13"/>
  <c r="C102" i="13" a="1"/>
  <c r="D102" i="13"/>
  <c r="D102" i="13" a="1"/>
  <c r="E102" i="13"/>
  <c r="E102" i="13" a="1"/>
  <c r="F102" i="13"/>
  <c r="F102" i="13" a="1"/>
  <c r="G102" i="13"/>
  <c r="G102" i="13" a="1"/>
  <c r="H102" i="13"/>
  <c r="H102" i="13" a="1"/>
  <c r="I102" i="13"/>
  <c r="I102" i="13" a="1"/>
  <c r="J102" i="13"/>
  <c r="J102" i="13" a="1"/>
  <c r="K102" i="13"/>
  <c r="K102" i="13" a="1"/>
  <c r="L102" i="13"/>
  <c r="L102" i="13" a="1"/>
  <c r="M102" i="13"/>
  <c r="M102" i="13" a="1"/>
  <c r="N102" i="13"/>
  <c r="N102" i="13" a="1"/>
  <c r="O102" i="13"/>
  <c r="O102" i="13" a="1"/>
  <c r="P102" i="13"/>
  <c r="P102" i="13" a="1"/>
  <c r="Q102" i="13"/>
  <c r="Q102" i="13" a="1"/>
  <c r="DJ102" i="13"/>
  <c r="DK102" i="13"/>
  <c r="DL102" i="13"/>
  <c r="B103" i="13"/>
  <c r="B103" i="13" a="1"/>
  <c r="C103" i="13"/>
  <c r="C103" i="13" a="1"/>
  <c r="D103" i="13"/>
  <c r="D103" i="13" a="1"/>
  <c r="E103" i="13"/>
  <c r="E103" i="13" a="1"/>
  <c r="F103" i="13"/>
  <c r="F103" i="13" a="1"/>
  <c r="G103" i="13"/>
  <c r="G103" i="13" a="1"/>
  <c r="H103" i="13"/>
  <c r="H103" i="13" a="1"/>
  <c r="I103" i="13"/>
  <c r="I103" i="13" a="1"/>
  <c r="J103" i="13"/>
  <c r="J103" i="13" a="1"/>
  <c r="K103" i="13"/>
  <c r="K103" i="13" a="1"/>
  <c r="L103" i="13"/>
  <c r="L103" i="13" a="1"/>
  <c r="M103" i="13"/>
  <c r="M103" i="13" a="1"/>
  <c r="N103" i="13"/>
  <c r="N103" i="13" a="1"/>
  <c r="O103" i="13"/>
  <c r="O103" i="13" a="1"/>
  <c r="P103" i="13"/>
  <c r="P103" i="13" a="1"/>
  <c r="Q103" i="13"/>
  <c r="Q103" i="13" a="1"/>
  <c r="DJ103" i="13"/>
  <c r="DK103" i="13"/>
  <c r="DL103" i="13"/>
  <c r="B104" i="13"/>
  <c r="B104" i="13" a="1"/>
  <c r="C104" i="13"/>
  <c r="C104" i="13" a="1"/>
  <c r="D104" i="13"/>
  <c r="D104" i="13" a="1"/>
  <c r="E104" i="13"/>
  <c r="E104" i="13" a="1"/>
  <c r="F104" i="13"/>
  <c r="F104" i="13" a="1"/>
  <c r="G104" i="13"/>
  <c r="G104" i="13" a="1"/>
  <c r="H104" i="13"/>
  <c r="H104" i="13" a="1"/>
  <c r="I104" i="13"/>
  <c r="I104" i="13" a="1"/>
  <c r="J104" i="13"/>
  <c r="J104" i="13" a="1"/>
  <c r="K104" i="13"/>
  <c r="K104" i="13" a="1"/>
  <c r="L104" i="13"/>
  <c r="L104" i="13" a="1"/>
  <c r="M104" i="13"/>
  <c r="M104" i="13" a="1"/>
  <c r="N104" i="13"/>
  <c r="N104" i="13" a="1"/>
  <c r="O104" i="13"/>
  <c r="O104" i="13" a="1"/>
  <c r="P104" i="13"/>
  <c r="P104" i="13" a="1"/>
  <c r="Q104" i="13"/>
  <c r="Q104" i="13" a="1"/>
  <c r="DJ104" i="13"/>
  <c r="DK104" i="13"/>
  <c r="DL104" i="13"/>
  <c r="B105" i="13"/>
  <c r="B105" i="13" a="1"/>
  <c r="C105" i="13"/>
  <c r="C105" i="13" a="1"/>
  <c r="D105" i="13"/>
  <c r="D105" i="13" a="1"/>
  <c r="E105" i="13"/>
  <c r="E105" i="13" a="1"/>
  <c r="F105" i="13"/>
  <c r="F105" i="13" a="1"/>
  <c r="G105" i="13"/>
  <c r="G105" i="13" a="1"/>
  <c r="H105" i="13"/>
  <c r="H105" i="13" a="1"/>
  <c r="I105" i="13"/>
  <c r="I105" i="13" a="1"/>
  <c r="J105" i="13"/>
  <c r="J105" i="13" a="1"/>
  <c r="K105" i="13"/>
  <c r="K105" i="13" a="1"/>
  <c r="L105" i="13"/>
  <c r="L105" i="13" a="1"/>
  <c r="M105" i="13"/>
  <c r="M105" i="13" a="1"/>
  <c r="N105" i="13"/>
  <c r="N105" i="13" a="1"/>
  <c r="O105" i="13"/>
  <c r="O105" i="13" a="1"/>
  <c r="P105" i="13"/>
  <c r="P105" i="13" a="1"/>
  <c r="Q105" i="13"/>
  <c r="Q105" i="13" a="1"/>
  <c r="DJ105" i="13"/>
  <c r="DK105" i="13"/>
  <c r="DL105" i="13"/>
  <c r="B106" i="13"/>
  <c r="B106" i="13" a="1"/>
  <c r="C106" i="13"/>
  <c r="C106" i="13" a="1"/>
  <c r="D106" i="13"/>
  <c r="D106" i="13" a="1"/>
  <c r="E106" i="13"/>
  <c r="E106" i="13" a="1"/>
  <c r="F106" i="13"/>
  <c r="F106" i="13" a="1"/>
  <c r="G106" i="13"/>
  <c r="G106" i="13" a="1"/>
  <c r="H106" i="13"/>
  <c r="H106" i="13" a="1"/>
  <c r="I106" i="13"/>
  <c r="I106" i="13" a="1"/>
  <c r="J106" i="13"/>
  <c r="J106" i="13" a="1"/>
  <c r="K106" i="13"/>
  <c r="K106" i="13" a="1"/>
  <c r="L106" i="13"/>
  <c r="L106" i="13" a="1"/>
  <c r="M106" i="13"/>
  <c r="M106" i="13" a="1"/>
  <c r="N106" i="13"/>
  <c r="N106" i="13" a="1"/>
  <c r="O106" i="13"/>
  <c r="O106" i="13" a="1"/>
  <c r="P106" i="13"/>
  <c r="P106" i="13" a="1"/>
  <c r="Q106" i="13"/>
  <c r="Q106" i="13" a="1"/>
  <c r="DJ106" i="13"/>
  <c r="DK106" i="13"/>
  <c r="DL106" i="13"/>
  <c r="B107" i="13"/>
  <c r="B107" i="13" a="1"/>
  <c r="C107" i="13"/>
  <c r="C107" i="13" a="1"/>
  <c r="D107" i="13"/>
  <c r="D107" i="13" a="1"/>
  <c r="E107" i="13"/>
  <c r="E107" i="13" a="1"/>
  <c r="F107" i="13"/>
  <c r="F107" i="13" a="1"/>
  <c r="G107" i="13"/>
  <c r="G107" i="13" a="1"/>
  <c r="H107" i="13"/>
  <c r="H107" i="13" a="1"/>
  <c r="I107" i="13"/>
  <c r="I107" i="13" a="1"/>
  <c r="J107" i="13"/>
  <c r="J107" i="13" a="1"/>
  <c r="K107" i="13"/>
  <c r="K107" i="13" a="1"/>
  <c r="L107" i="13"/>
  <c r="L107" i="13" a="1"/>
  <c r="M107" i="13"/>
  <c r="M107" i="13" a="1"/>
  <c r="N107" i="13"/>
  <c r="N107" i="13" a="1"/>
  <c r="O107" i="13"/>
  <c r="O107" i="13" a="1"/>
  <c r="P107" i="13"/>
  <c r="P107" i="13" a="1"/>
  <c r="Q107" i="13"/>
  <c r="Q107" i="13" a="1"/>
  <c r="DJ107" i="13"/>
  <c r="DK107" i="13"/>
  <c r="DL107" i="13"/>
  <c r="B108" i="13"/>
  <c r="B108" i="13" a="1"/>
  <c r="C108" i="13"/>
  <c r="C108" i="13" a="1"/>
  <c r="D108" i="13"/>
  <c r="D108" i="13" a="1"/>
  <c r="E108" i="13"/>
  <c r="E108" i="13" a="1"/>
  <c r="F108" i="13"/>
  <c r="F108" i="13" a="1"/>
  <c r="G108" i="13"/>
  <c r="G108" i="13" a="1"/>
  <c r="H108" i="13"/>
  <c r="H108" i="13" a="1"/>
  <c r="I108" i="13"/>
  <c r="I108" i="13" a="1"/>
  <c r="J108" i="13"/>
  <c r="J108" i="13" a="1"/>
  <c r="K108" i="13"/>
  <c r="K108" i="13" a="1"/>
  <c r="L108" i="13"/>
  <c r="L108" i="13" a="1"/>
  <c r="M108" i="13"/>
  <c r="M108" i="13" a="1"/>
  <c r="N108" i="13"/>
  <c r="N108" i="13" a="1"/>
  <c r="O108" i="13"/>
  <c r="O108" i="13" a="1"/>
  <c r="P108" i="13"/>
  <c r="P108" i="13" a="1"/>
  <c r="Q108" i="13"/>
  <c r="Q108" i="13" a="1"/>
  <c r="DJ108" i="13"/>
  <c r="DK108" i="13"/>
  <c r="DL108" i="13"/>
  <c r="B109" i="13"/>
  <c r="B109" i="13" a="1"/>
  <c r="C109" i="13"/>
  <c r="C109" i="13" a="1"/>
  <c r="D109" i="13"/>
  <c r="D109" i="13" a="1"/>
  <c r="E109" i="13"/>
  <c r="E109" i="13" a="1"/>
  <c r="F109" i="13"/>
  <c r="F109" i="13" a="1"/>
  <c r="G109" i="13"/>
  <c r="G109" i="13" a="1"/>
  <c r="H109" i="13"/>
  <c r="H109" i="13" a="1"/>
  <c r="I109" i="13"/>
  <c r="I109" i="13" a="1"/>
  <c r="J109" i="13"/>
  <c r="J109" i="13" a="1"/>
  <c r="K109" i="13"/>
  <c r="K109" i="13" a="1"/>
  <c r="L109" i="13"/>
  <c r="L109" i="13" a="1"/>
  <c r="M109" i="13"/>
  <c r="M109" i="13" a="1"/>
  <c r="N109" i="13"/>
  <c r="N109" i="13" a="1"/>
  <c r="O109" i="13"/>
  <c r="O109" i="13" a="1"/>
  <c r="P109" i="13"/>
  <c r="P109" i="13" a="1"/>
  <c r="Q109" i="13"/>
  <c r="Q109" i="13" a="1"/>
  <c r="DJ109" i="13"/>
  <c r="DK109" i="13"/>
  <c r="DL109" i="13"/>
  <c r="B110" i="13"/>
  <c r="B110" i="13" a="1"/>
  <c r="C110" i="13"/>
  <c r="C110" i="13" a="1"/>
  <c r="D110" i="13"/>
  <c r="D110" i="13" a="1"/>
  <c r="E110" i="13"/>
  <c r="E110" i="13" a="1"/>
  <c r="F110" i="13"/>
  <c r="F110" i="13" a="1"/>
  <c r="G110" i="13"/>
  <c r="G110" i="13" a="1"/>
  <c r="H110" i="13"/>
  <c r="H110" i="13" a="1"/>
  <c r="I110" i="13"/>
  <c r="I110" i="13" a="1"/>
  <c r="J110" i="13"/>
  <c r="J110" i="13" a="1"/>
  <c r="K110" i="13"/>
  <c r="K110" i="13" a="1"/>
  <c r="L110" i="13"/>
  <c r="L110" i="13" a="1"/>
  <c r="M110" i="13"/>
  <c r="M110" i="13" a="1"/>
  <c r="N110" i="13"/>
  <c r="N110" i="13" a="1"/>
  <c r="O110" i="13"/>
  <c r="O110" i="13" a="1"/>
  <c r="P110" i="13"/>
  <c r="P110" i="13" a="1"/>
  <c r="Q110" i="13"/>
  <c r="Q110" i="13" a="1"/>
  <c r="DJ110" i="13"/>
  <c r="DK110" i="13"/>
  <c r="DL110" i="13"/>
  <c r="B111" i="13"/>
  <c r="B111" i="13" a="1"/>
  <c r="C111" i="13"/>
  <c r="C111" i="13" a="1"/>
  <c r="D111" i="13"/>
  <c r="D111" i="13" a="1"/>
  <c r="E111" i="13"/>
  <c r="E111" i="13" a="1"/>
  <c r="F111" i="13"/>
  <c r="F111" i="13" a="1"/>
  <c r="G111" i="13"/>
  <c r="G111" i="13" a="1"/>
  <c r="H111" i="13"/>
  <c r="H111" i="13" a="1"/>
  <c r="I111" i="13"/>
  <c r="I111" i="13" a="1"/>
  <c r="J111" i="13"/>
  <c r="J111" i="13" a="1"/>
  <c r="K111" i="13"/>
  <c r="K111" i="13" a="1"/>
  <c r="L111" i="13"/>
  <c r="L111" i="13" a="1"/>
  <c r="M111" i="13"/>
  <c r="M111" i="13" a="1"/>
  <c r="N111" i="13"/>
  <c r="N111" i="13" a="1"/>
  <c r="O111" i="13"/>
  <c r="O111" i="13" a="1"/>
  <c r="P111" i="13"/>
  <c r="P111" i="13" a="1"/>
  <c r="Q111" i="13"/>
  <c r="Q111" i="13" a="1"/>
  <c r="DJ111" i="13"/>
  <c r="DK111" i="13"/>
  <c r="DL111" i="13"/>
  <c r="B112" i="13"/>
  <c r="C112" i="13"/>
  <c r="D112" i="13"/>
  <c r="E112" i="13"/>
  <c r="F112" i="13"/>
  <c r="G112" i="13"/>
  <c r="H112" i="13"/>
  <c r="I112" i="13"/>
  <c r="J112" i="13"/>
  <c r="K112" i="13"/>
  <c r="L112" i="13"/>
  <c r="M112" i="13"/>
  <c r="N112" i="13"/>
  <c r="O112" i="13"/>
  <c r="P112" i="13"/>
  <c r="Q112" i="13"/>
  <c r="DJ112" i="13"/>
  <c r="DK112" i="13"/>
  <c r="DL112" i="13"/>
  <c r="DJ113" i="13"/>
  <c r="DK113" i="13"/>
  <c r="DL113" i="13"/>
  <c r="C114" i="13"/>
  <c r="E114" i="13"/>
  <c r="G114" i="13"/>
  <c r="I114" i="13"/>
  <c r="K114" i="13"/>
  <c r="M114" i="13"/>
  <c r="O114" i="13"/>
  <c r="Q114" i="13"/>
  <c r="DJ114" i="13"/>
  <c r="DK114" i="13"/>
  <c r="DL114" i="13"/>
  <c r="DJ115" i="13"/>
  <c r="DK115" i="13"/>
  <c r="DL115" i="13"/>
  <c r="DJ116" i="13"/>
  <c r="DK116" i="13"/>
  <c r="DL116" i="13"/>
  <c r="DJ117" i="13"/>
  <c r="DK117" i="13"/>
  <c r="DL117" i="13"/>
  <c r="DJ118" i="13"/>
  <c r="DK118" i="13"/>
  <c r="DL118" i="13"/>
</calcChain>
</file>

<file path=xl/sharedStrings.xml><?xml version="1.0" encoding="utf-8"?>
<sst xmlns="http://schemas.openxmlformats.org/spreadsheetml/2006/main" count="738" uniqueCount="178">
  <si>
    <t>Curve Shift</t>
  </si>
  <si>
    <t>New Deals</t>
  </si>
  <si>
    <t>Prior Pos.</t>
  </si>
  <si>
    <t>Day's</t>
  </si>
  <si>
    <t>Current Pos.</t>
  </si>
  <si>
    <t xml:space="preserve">Curve </t>
  </si>
  <si>
    <t xml:space="preserve">New </t>
  </si>
  <si>
    <t>Date</t>
  </si>
  <si>
    <t>PVMWh</t>
  </si>
  <si>
    <t>MW</t>
  </si>
  <si>
    <t>Trade</t>
  </si>
  <si>
    <t>Shift ($)</t>
  </si>
  <si>
    <t>Deals ($)</t>
  </si>
  <si>
    <t>P&amp;L ($)</t>
  </si>
  <si>
    <t>TOTAL PEAK AND OFF-PEAK P&amp;L</t>
  </si>
  <si>
    <t>Trading Date:</t>
  </si>
  <si>
    <t xml:space="preserve"> </t>
  </si>
  <si>
    <t>Calendar</t>
  </si>
  <si>
    <t>Prior</t>
  </si>
  <si>
    <t xml:space="preserve">Current </t>
  </si>
  <si>
    <t>Bid-Ask</t>
  </si>
  <si>
    <t>Mid Change</t>
  </si>
  <si>
    <t>Current Mid</t>
  </si>
  <si>
    <t>Price Tree</t>
  </si>
  <si>
    <t>Implied</t>
  </si>
  <si>
    <t>Leg</t>
  </si>
  <si>
    <t>Net</t>
  </si>
  <si>
    <t>Average</t>
  </si>
  <si>
    <t>Absolute</t>
  </si>
  <si>
    <t>Discount Factor</t>
  </si>
  <si>
    <t xml:space="preserve">Change in </t>
  </si>
  <si>
    <t xml:space="preserve">Absolute </t>
  </si>
  <si>
    <t>Price</t>
  </si>
  <si>
    <t>Change</t>
  </si>
  <si>
    <t>Bid</t>
  </si>
  <si>
    <t>Ask</t>
  </si>
  <si>
    <t>(Row-Column)</t>
  </si>
  <si>
    <t>Volume</t>
  </si>
  <si>
    <t>Volume (MW)</t>
  </si>
  <si>
    <t>Hours</t>
  </si>
  <si>
    <t>New Deal P&amp;L</t>
  </si>
  <si>
    <t>Volume (MWh)</t>
  </si>
  <si>
    <t xml:space="preserve">   </t>
  </si>
  <si>
    <t>Total (Abs MWh):</t>
  </si>
  <si>
    <t>TOTAL PEAK POSITION (PVMWh)</t>
  </si>
  <si>
    <t>Total Book</t>
  </si>
  <si>
    <t>Total</t>
  </si>
  <si>
    <t>INTEREST RATE CURVE</t>
  </si>
  <si>
    <t>EGSPROD32</t>
  </si>
  <si>
    <t>MODEL_PC</t>
  </si>
  <si>
    <t>R</t>
  </si>
  <si>
    <t>Year</t>
  </si>
  <si>
    <t>Month</t>
  </si>
  <si>
    <t>DF</t>
  </si>
  <si>
    <t>NQ99</t>
  </si>
  <si>
    <t>N/Q 99</t>
  </si>
  <si>
    <t>Calc Q4 1999</t>
  </si>
  <si>
    <t>Mrkt Q4 1999</t>
  </si>
  <si>
    <t>Calc Cal 00</t>
  </si>
  <si>
    <t>Mrkt Cal 00</t>
  </si>
  <si>
    <t>9/0 spread</t>
  </si>
  <si>
    <t>Prior Day Nymex Curves for Gas</t>
  </si>
  <si>
    <t>Current Day Nymex Curves for Gas</t>
  </si>
  <si>
    <t>Database</t>
  </si>
  <si>
    <t>Login</t>
  </si>
  <si>
    <t>Password</t>
  </si>
  <si>
    <t>Prior NYMEX</t>
  </si>
  <si>
    <t>Prior Vol</t>
  </si>
  <si>
    <t>Current NYMEX</t>
  </si>
  <si>
    <t>Current Vol</t>
  </si>
  <si>
    <t>Effective Date</t>
  </si>
  <si>
    <t>Prompt Month</t>
  </si>
  <si>
    <t>Curve Code</t>
  </si>
  <si>
    <t>NG</t>
  </si>
  <si>
    <t>Curve Type</t>
  </si>
  <si>
    <t>PR</t>
  </si>
  <si>
    <t>VO</t>
  </si>
  <si>
    <t>Book Code 1</t>
  </si>
  <si>
    <t>P</t>
  </si>
  <si>
    <t>Vol</t>
  </si>
  <si>
    <t>INT</t>
  </si>
  <si>
    <t>CAD</t>
  </si>
  <si>
    <t>Week</t>
  </si>
  <si>
    <t>Sat</t>
  </si>
  <si>
    <t>Sun</t>
  </si>
  <si>
    <t>Hol</t>
  </si>
  <si>
    <t>-Hol</t>
  </si>
  <si>
    <t>Curves for AECO</t>
  </si>
  <si>
    <t>Prior FX</t>
  </si>
  <si>
    <t>CAD/USD</t>
  </si>
  <si>
    <t>FX</t>
  </si>
  <si>
    <t>F</t>
  </si>
  <si>
    <t>Prior Aeco Curve (C$)</t>
  </si>
  <si>
    <t>Prior Aeco (US$)</t>
  </si>
  <si>
    <t>ALBERTA HOLIDAYS</t>
  </si>
  <si>
    <t>NERC HOLIDAS</t>
  </si>
  <si>
    <t>HOLIDAYS</t>
  </si>
  <si>
    <t>TOGGLE (0=AB,1=NERC)</t>
  </si>
  <si>
    <t>ALBERTA</t>
  </si>
  <si>
    <t>ALBERTA POWER - 7 * 24</t>
  </si>
  <si>
    <t>ALBERTA POWER - 6 * 16</t>
  </si>
  <si>
    <t>Peak+Sat</t>
  </si>
  <si>
    <t>Peak</t>
  </si>
  <si>
    <t>6*16 Trading</t>
  </si>
  <si>
    <t>Sat Trading</t>
  </si>
  <si>
    <t>5*16 Trading</t>
  </si>
  <si>
    <t>7* 24 Trading</t>
  </si>
  <si>
    <t>7*8 Trading</t>
  </si>
  <si>
    <t>Sun+Hol Trading</t>
  </si>
  <si>
    <t>7*24 Trading</t>
  </si>
  <si>
    <t>DATE</t>
  </si>
  <si>
    <t>6*16 Power Price</t>
  </si>
  <si>
    <t>AECO Gas Price</t>
  </si>
  <si>
    <t>6*16 Heat Rate</t>
  </si>
  <si>
    <t>7*24 Power Price</t>
  </si>
  <si>
    <t>7*24 Heat Rate</t>
  </si>
  <si>
    <t>All</t>
  </si>
  <si>
    <t>5*16</t>
  </si>
  <si>
    <t>6*16</t>
  </si>
  <si>
    <t>5*16Price</t>
  </si>
  <si>
    <t>SatPrice</t>
  </si>
  <si>
    <t>SunPrice</t>
  </si>
  <si>
    <t>7*8Price</t>
  </si>
  <si>
    <t>6*16Price</t>
  </si>
  <si>
    <t>7*24Price</t>
  </si>
  <si>
    <t>ALBERTA POWER PRICING SUMMARY</t>
  </si>
  <si>
    <t>7*8 Price</t>
  </si>
  <si>
    <t>7*8+24</t>
  </si>
  <si>
    <t>RTC Position</t>
  </si>
  <si>
    <t>NYMEX GAS POSITION</t>
  </si>
  <si>
    <t>POST I.D.</t>
  </si>
  <si>
    <t>Day's Trade</t>
  </si>
  <si>
    <t>PV Contracts</t>
  </si>
  <si>
    <t>Volume (MMBtu)</t>
  </si>
  <si>
    <t>INTNS</t>
  </si>
  <si>
    <t>AA</t>
  </si>
  <si>
    <t>CGPR-AECO/BASIS</t>
  </si>
  <si>
    <t>D</t>
  </si>
  <si>
    <t>Current Aeco (US$)</t>
  </si>
  <si>
    <t>Current FX</t>
  </si>
  <si>
    <t>Current Aeco Curve (C$)</t>
  </si>
  <si>
    <t>Nymex Change</t>
  </si>
  <si>
    <t>Aeco Change</t>
  </si>
  <si>
    <t>Total P&amp;L (US)</t>
  </si>
  <si>
    <t>Total P&amp;L (CDN)</t>
  </si>
  <si>
    <t>CDN P&amp;L</t>
  </si>
  <si>
    <t>P&amp;L-Power</t>
  </si>
  <si>
    <t>P&amp;L-Power&amp;Gas</t>
  </si>
  <si>
    <t>AECO BASIS POSITION</t>
  </si>
  <si>
    <t>Nymex Gas Position</t>
  </si>
  <si>
    <t>AECO Basis Position</t>
  </si>
  <si>
    <t xml:space="preserve">NYMEX </t>
  </si>
  <si>
    <t>AECO BASIS</t>
  </si>
  <si>
    <t>ALL GAS</t>
  </si>
  <si>
    <t>SWAP Calculator</t>
  </si>
  <si>
    <t>Beg Date</t>
  </si>
  <si>
    <t>End Date</t>
  </si>
  <si>
    <t>Price*DF</t>
  </si>
  <si>
    <t>DF-Filt</t>
  </si>
  <si>
    <t>Price*DF-Filt</t>
  </si>
  <si>
    <t>Discount Days</t>
  </si>
  <si>
    <t>CURRENT CURVE</t>
  </si>
  <si>
    <t>PREVIOUS CURVE</t>
  </si>
  <si>
    <t>5 * 16 Curve Changes</t>
  </si>
  <si>
    <t>AECO GAS DAILY POSITION</t>
  </si>
  <si>
    <t>AECO Gas Daily Position</t>
  </si>
  <si>
    <t>AECO GAS DAILY</t>
  </si>
  <si>
    <t>CDN CS</t>
  </si>
  <si>
    <t>CDN ND</t>
  </si>
  <si>
    <t>P&amp;L</t>
  </si>
  <si>
    <t>Power</t>
  </si>
  <si>
    <t>Gas</t>
  </si>
  <si>
    <t>Power+Gas</t>
  </si>
  <si>
    <t>Currency Change</t>
  </si>
  <si>
    <t>Day</t>
  </si>
  <si>
    <t>Hedge (GJ/d)</t>
  </si>
  <si>
    <t>Orig + Reserves Adj.</t>
  </si>
  <si>
    <t>Cash Gas+ Power Adj.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</si>
</sst>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0"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6" formatCode="0_);[Red]\-0_)"/>
    <numFmt numFmtId="174" formatCode="_(* #,##0.000_);_(* \(#,##0.000\);_(* &quot;-&quot;??_);_(@_)"/>
    <numFmt numFmtId="175" formatCode="m/d/yyyy\ h:mm:ss"/>
    <numFmt numFmtId="177" formatCode="_(* #,##0_);_(* \(#,##0\);_(* &quot;-&quot;??_);_(@_)"/>
    <numFmt numFmtId="178" formatCode="0.00_);[Red]\(0.00\)"/>
    <numFmt numFmtId="187" formatCode="dd\-mmm\-yy_)"/>
    <numFmt numFmtId="190" formatCode="0.000"/>
    <numFmt numFmtId="191" formatCode="0.0000"/>
    <numFmt numFmtId="194" formatCode="0_);\(0\)"/>
    <numFmt numFmtId="201" formatCode="mmmm\-yy"/>
    <numFmt numFmtId="203" formatCode="0.000000"/>
    <numFmt numFmtId="207" formatCode="mmmm"/>
    <numFmt numFmtId="208" formatCode="&quot;$&quot;#,##0"/>
    <numFmt numFmtId="209" formatCode="_(&quot;$&quot;* #,##0.000_);_(&quot;$&quot;* \(#,##0.000\);_(&quot;$&quot;* &quot;-&quot;??_);_(@_)"/>
    <numFmt numFmtId="215" formatCode="_(* #,##0.00_);_(* \(#,##0.00\);_(* &quot;-&quot;_);_(@_)"/>
    <numFmt numFmtId="216" formatCode="_(* #,##0.0_);_(* \(#,##0.0\);_(* &quot;-&quot;_);_(@_)"/>
    <numFmt numFmtId="227" formatCode="dd\-mmm\-yyyy"/>
  </numFmts>
  <fonts count="32" x14ac:knownFonts="1">
    <font>
      <sz val="10"/>
      <name val="Arial"/>
    </font>
    <font>
      <b/>
      <sz val="10"/>
      <name val="Arial"/>
    </font>
    <font>
      <sz val="10"/>
      <name val="Arial"/>
    </font>
    <font>
      <sz val="10"/>
      <color indexed="8"/>
      <name val="MS Sans Serif"/>
    </font>
    <font>
      <b/>
      <u/>
      <sz val="16"/>
      <color indexed="10"/>
      <name val="Arial"/>
      <family val="2"/>
    </font>
    <font>
      <b/>
      <sz val="14"/>
      <name val="Arial"/>
      <family val="2"/>
    </font>
    <font>
      <b/>
      <sz val="14"/>
      <color indexed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sz val="12"/>
      <name val="Arial"/>
      <family val="2"/>
    </font>
    <font>
      <b/>
      <sz val="12"/>
      <name val="Arial"/>
    </font>
    <font>
      <b/>
      <sz val="10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b/>
      <sz val="16"/>
      <name val="Arial"/>
      <family val="2"/>
    </font>
    <font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sz val="10"/>
      <color indexed="8"/>
      <name val="MS Sans Serif"/>
    </font>
    <font>
      <sz val="10"/>
      <color indexed="8"/>
      <name val="Courier"/>
      <family val="3"/>
    </font>
    <font>
      <sz val="10"/>
      <color indexed="12"/>
      <name val="Courier"/>
    </font>
    <font>
      <u/>
      <sz val="12"/>
      <color indexed="8"/>
      <name val="Arial"/>
      <family val="2"/>
    </font>
    <font>
      <u/>
      <sz val="10"/>
      <name val="Arial"/>
      <family val="2"/>
    </font>
    <font>
      <b/>
      <sz val="12"/>
      <color indexed="10"/>
      <name val="Arial"/>
      <family val="2"/>
    </font>
    <font>
      <sz val="12"/>
      <name val="Arial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sz val="11"/>
      <name val="Arial"/>
      <family val="2"/>
    </font>
    <font>
      <sz val="10"/>
      <color indexed="9"/>
      <name val="Arial"/>
      <family val="2"/>
    </font>
    <font>
      <sz val="10"/>
      <name val="Courier"/>
    </font>
    <font>
      <b/>
      <u/>
      <sz val="26"/>
      <color indexed="10"/>
      <name val="Arial"/>
      <family val="2"/>
    </font>
    <font>
      <b/>
      <sz val="10"/>
      <color indexed="39"/>
      <name val="Arial"/>
      <family val="2"/>
    </font>
    <font>
      <sz val="1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9"/>
        <bgColor indexed="64"/>
      </patternFill>
    </fill>
    <fill>
      <patternFill patternType="darkUp">
        <bgColor indexed="10"/>
      </patternFill>
    </fill>
    <fill>
      <patternFill patternType="solid">
        <fgColor indexed="8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5">
    <xf numFmtId="0" fontId="0" fillId="0" borderId="0"/>
    <xf numFmtId="43" fontId="2" fillId="0" borderId="0" applyFont="0" applyFill="0" applyBorder="0" applyAlignment="0" applyProtection="0"/>
    <xf numFmtId="44" fontId="2" fillId="0" borderId="0" applyFont="0" applyFill="0" applyBorder="0" applyAlignment="0" applyProtection="0"/>
    <xf numFmtId="0" fontId="2" fillId="0" borderId="0"/>
    <xf numFmtId="0" fontId="3" fillId="0" borderId="0" applyNumberFormat="0" applyFont="0" applyFill="0" applyBorder="0" applyAlignment="0" applyProtection="0"/>
  </cellStyleXfs>
  <cellXfs count="410">
    <xf numFmtId="0" fontId="0" fillId="0" borderId="0" xfId="0"/>
    <xf numFmtId="41" fontId="10" fillId="0" borderId="1" xfId="0" applyNumberFormat="1" applyFont="1" applyBorder="1" applyAlignment="1" applyProtection="1">
      <alignment horizontal="center"/>
      <protection locked="0"/>
    </xf>
    <xf numFmtId="44" fontId="10" fillId="0" borderId="2" xfId="2" applyFont="1" applyBorder="1" applyAlignment="1" applyProtection="1">
      <alignment horizontal="center"/>
      <protection locked="0"/>
    </xf>
    <xf numFmtId="41" fontId="10" fillId="0" borderId="3" xfId="0" applyNumberFormat="1" applyFont="1" applyBorder="1" applyAlignment="1" applyProtection="1">
      <alignment horizontal="center"/>
      <protection locked="0"/>
    </xf>
    <xf numFmtId="44" fontId="10" fillId="0" borderId="4" xfId="2" applyFont="1" applyBorder="1" applyAlignment="1" applyProtection="1">
      <alignment horizontal="center"/>
      <protection locked="0"/>
    </xf>
    <xf numFmtId="41" fontId="10" fillId="0" borderId="5" xfId="0" applyNumberFormat="1" applyFont="1" applyBorder="1" applyAlignment="1" applyProtection="1">
      <alignment horizontal="center"/>
      <protection locked="0"/>
    </xf>
    <xf numFmtId="44" fontId="10" fillId="0" borderId="6" xfId="2" applyFont="1" applyBorder="1" applyAlignment="1" applyProtection="1">
      <alignment horizontal="center"/>
      <protection locked="0"/>
    </xf>
    <xf numFmtId="0" fontId="15" fillId="0" borderId="0" xfId="4" applyNumberFormat="1" applyFont="1" applyFill="1" applyBorder="1" applyAlignment="1" applyProtection="1"/>
    <xf numFmtId="201" fontId="16" fillId="0" borderId="0" xfId="4" applyNumberFormat="1" applyFont="1" applyFill="1" applyBorder="1" applyAlignment="1" applyProtection="1"/>
    <xf numFmtId="0" fontId="17" fillId="0" borderId="0" xfId="4" applyFont="1" applyBorder="1" applyProtection="1"/>
    <xf numFmtId="166" fontId="18" fillId="0" borderId="7" xfId="3" applyNumberFormat="1" applyFont="1" applyBorder="1" applyProtection="1"/>
    <xf numFmtId="0" fontId="18" fillId="0" borderId="7" xfId="3" applyFont="1" applyBorder="1" applyProtection="1"/>
    <xf numFmtId="0" fontId="19" fillId="0" borderId="0" xfId="3" applyFont="1" applyProtection="1"/>
    <xf numFmtId="14" fontId="18" fillId="0" borderId="7" xfId="3" applyNumberFormat="1" applyFont="1" applyBorder="1" applyProtection="1"/>
    <xf numFmtId="187" fontId="18" fillId="0" borderId="7" xfId="3" applyNumberFormat="1" applyFont="1" applyBorder="1" applyProtection="1"/>
    <xf numFmtId="0" fontId="16" fillId="0" borderId="0" xfId="4" applyNumberFormat="1" applyFont="1" applyFill="1" applyBorder="1" applyAlignment="1" applyProtection="1">
      <alignment horizontal="centerContinuous"/>
    </xf>
    <xf numFmtId="0" fontId="20" fillId="0" borderId="0" xfId="4" applyNumberFormat="1" applyFont="1" applyFill="1" applyBorder="1" applyAlignment="1" applyProtection="1">
      <alignment horizontal="centerContinuous"/>
    </xf>
    <xf numFmtId="201" fontId="15" fillId="0" borderId="0" xfId="4" applyNumberFormat="1" applyFont="1" applyFill="1" applyBorder="1" applyAlignment="1" applyProtection="1"/>
    <xf numFmtId="0" fontId="3" fillId="0" borderId="0" xfId="4" applyNumberFormat="1" applyFont="1" applyFill="1" applyBorder="1" applyAlignment="1" applyProtection="1"/>
    <xf numFmtId="0" fontId="3" fillId="0" borderId="0" xfId="4"/>
    <xf numFmtId="191" fontId="3" fillId="0" borderId="0" xfId="4" applyNumberFormat="1" applyFont="1" applyFill="1" applyBorder="1" applyAlignment="1" applyProtection="1"/>
    <xf numFmtId="0" fontId="3" fillId="0" borderId="0" xfId="4" applyAlignment="1" applyProtection="1">
      <alignment horizontal="center"/>
    </xf>
    <xf numFmtId="0" fontId="3" fillId="0" borderId="0" xfId="4" applyProtection="1"/>
    <xf numFmtId="39" fontId="19" fillId="0" borderId="0" xfId="4" applyNumberFormat="1" applyFont="1" applyAlignment="1" applyProtection="1">
      <alignment horizontal="center"/>
      <protection locked="0"/>
    </xf>
    <xf numFmtId="39" fontId="3" fillId="0" borderId="0" xfId="4" applyNumberFormat="1" applyProtection="1"/>
    <xf numFmtId="0" fontId="0" fillId="0" borderId="0" xfId="0" applyProtection="1"/>
    <xf numFmtId="0" fontId="4" fillId="0" borderId="0" xfId="0" applyFont="1" applyProtection="1"/>
    <xf numFmtId="0" fontId="1" fillId="0" borderId="0" xfId="0" applyFont="1" applyProtection="1"/>
    <xf numFmtId="14" fontId="0" fillId="0" borderId="0" xfId="0" applyNumberFormat="1" applyProtection="1"/>
    <xf numFmtId="2" fontId="0" fillId="0" borderId="0" xfId="0" applyNumberFormat="1" applyProtection="1"/>
    <xf numFmtId="0" fontId="0" fillId="0" borderId="0" xfId="0" applyBorder="1" applyProtection="1"/>
    <xf numFmtId="43" fontId="2" fillId="0" borderId="0" xfId="1" applyProtection="1"/>
    <xf numFmtId="0" fontId="1" fillId="0" borderId="0" xfId="0" applyFont="1" applyAlignment="1" applyProtection="1">
      <alignment horizontal="center"/>
    </xf>
    <xf numFmtId="0" fontId="1" fillId="2" borderId="8" xfId="0" applyFont="1" applyFill="1" applyBorder="1" applyProtection="1"/>
    <xf numFmtId="0" fontId="1" fillId="2" borderId="9" xfId="0" applyFont="1" applyFill="1" applyBorder="1" applyAlignment="1" applyProtection="1">
      <alignment horizontal="centerContinuous"/>
    </xf>
    <xf numFmtId="0" fontId="1" fillId="2" borderId="10" xfId="0" applyFont="1" applyFill="1" applyBorder="1" applyAlignment="1" applyProtection="1">
      <alignment horizontal="centerContinuous"/>
    </xf>
    <xf numFmtId="0" fontId="1" fillId="2" borderId="11" xfId="0" applyFont="1" applyFill="1" applyBorder="1" applyAlignment="1" applyProtection="1">
      <alignment horizontal="center"/>
    </xf>
    <xf numFmtId="0" fontId="1" fillId="2" borderId="12" xfId="0" applyFont="1" applyFill="1" applyBorder="1" applyAlignment="1" applyProtection="1">
      <alignment horizontal="center"/>
    </xf>
    <xf numFmtId="194" fontId="1" fillId="0" borderId="0" xfId="0" applyNumberFormat="1" applyFont="1" applyAlignment="1" applyProtection="1">
      <alignment horizontal="center"/>
    </xf>
    <xf numFmtId="0" fontId="1" fillId="0" borderId="0" xfId="0" applyFont="1" applyAlignment="1" applyProtection="1">
      <alignment horizontal="centerContinuous"/>
    </xf>
    <xf numFmtId="0" fontId="1" fillId="2" borderId="13" xfId="0" applyFont="1" applyFill="1" applyBorder="1" applyAlignment="1" applyProtection="1">
      <alignment horizontal="center"/>
    </xf>
    <xf numFmtId="0" fontId="1" fillId="2" borderId="5" xfId="0" applyFont="1" applyFill="1" applyBorder="1" applyAlignment="1" applyProtection="1">
      <alignment horizontal="center"/>
    </xf>
    <xf numFmtId="0" fontId="1" fillId="2" borderId="6" xfId="0" applyFont="1" applyFill="1" applyBorder="1" applyAlignment="1" applyProtection="1">
      <alignment horizontal="center"/>
    </xf>
    <xf numFmtId="0" fontId="1" fillId="2" borderId="14" xfId="0" applyFont="1" applyFill="1" applyBorder="1" applyAlignment="1" applyProtection="1">
      <alignment horizontal="center"/>
    </xf>
    <xf numFmtId="0" fontId="1" fillId="2" borderId="15" xfId="0" applyFont="1" applyFill="1" applyBorder="1" applyAlignment="1" applyProtection="1">
      <alignment horizontal="center"/>
    </xf>
    <xf numFmtId="37" fontId="0" fillId="0" borderId="0" xfId="0" applyNumberFormat="1" applyFill="1" applyBorder="1" applyAlignment="1" applyProtection="1">
      <alignment horizontal="center"/>
    </xf>
    <xf numFmtId="194" fontId="0" fillId="0" borderId="0" xfId="0" applyNumberFormat="1" applyFill="1" applyBorder="1" applyAlignment="1" applyProtection="1">
      <alignment horizontal="center"/>
    </xf>
    <xf numFmtId="17" fontId="1" fillId="2" borderId="16" xfId="0" applyNumberFormat="1" applyFont="1" applyFill="1" applyBorder="1" applyProtection="1"/>
    <xf numFmtId="0" fontId="0" fillId="2" borderId="17" xfId="0" applyFill="1" applyBorder="1" applyAlignment="1" applyProtection="1">
      <alignment horizontal="center"/>
    </xf>
    <xf numFmtId="44" fontId="2" fillId="2" borderId="18" xfId="2" applyFill="1" applyBorder="1" applyAlignment="1" applyProtection="1">
      <alignment horizontal="center"/>
    </xf>
    <xf numFmtId="0" fontId="0" fillId="0" borderId="0" xfId="0" applyAlignment="1" applyProtection="1">
      <alignment horizontal="center"/>
    </xf>
    <xf numFmtId="17" fontId="0" fillId="0" borderId="0" xfId="0" applyNumberFormat="1" applyAlignment="1" applyProtection="1">
      <alignment horizontal="center"/>
    </xf>
    <xf numFmtId="1" fontId="2" fillId="0" borderId="0" xfId="0" applyNumberFormat="1" applyFont="1" applyFill="1" applyBorder="1" applyAlignment="1" applyProtection="1">
      <alignment horizontal="center"/>
    </xf>
    <xf numFmtId="177" fontId="0" fillId="0" borderId="0" xfId="0" applyNumberFormat="1" applyAlignment="1" applyProtection="1">
      <alignment horizontal="center"/>
    </xf>
    <xf numFmtId="17" fontId="0" fillId="0" borderId="0" xfId="0" applyNumberFormat="1" applyProtection="1"/>
    <xf numFmtId="177" fontId="2" fillId="0" borderId="0" xfId="1" applyNumberFormat="1" applyProtection="1"/>
    <xf numFmtId="17" fontId="1" fillId="3" borderId="19" xfId="0" applyNumberFormat="1" applyFont="1" applyFill="1" applyBorder="1" applyProtection="1"/>
    <xf numFmtId="17" fontId="1" fillId="2" borderId="16" xfId="0" applyNumberFormat="1" applyFont="1" applyFill="1" applyBorder="1" applyAlignment="1" applyProtection="1">
      <alignment horizontal="center"/>
    </xf>
    <xf numFmtId="1" fontId="0" fillId="0" borderId="0" xfId="0" applyNumberFormat="1" applyAlignment="1" applyProtection="1">
      <alignment horizontal="center"/>
    </xf>
    <xf numFmtId="0" fontId="1" fillId="2" borderId="16" xfId="0" applyNumberFormat="1" applyFont="1" applyFill="1" applyBorder="1" applyAlignment="1" applyProtection="1">
      <alignment horizontal="center"/>
    </xf>
    <xf numFmtId="0" fontId="0" fillId="0" borderId="0" xfId="0" applyNumberFormat="1" applyAlignment="1" applyProtection="1">
      <alignment horizontal="center"/>
    </xf>
    <xf numFmtId="0" fontId="1" fillId="2" borderId="13" xfId="0" applyNumberFormat="1" applyFont="1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44" fontId="2" fillId="2" borderId="15" xfId="2" applyFill="1" applyBorder="1" applyAlignment="1" applyProtection="1">
      <alignment horizontal="center"/>
    </xf>
    <xf numFmtId="0" fontId="1" fillId="2" borderId="8" xfId="0" applyFont="1" applyFill="1" applyBorder="1" applyAlignment="1" applyProtection="1">
      <alignment horizontal="center"/>
    </xf>
    <xf numFmtId="17" fontId="1" fillId="2" borderId="13" xfId="0" applyNumberFormat="1" applyFont="1" applyFill="1" applyBorder="1" applyProtection="1"/>
    <xf numFmtId="0" fontId="5" fillId="3" borderId="21" xfId="0" applyFont="1" applyFill="1" applyBorder="1" applyProtection="1"/>
    <xf numFmtId="14" fontId="6" fillId="3" borderId="22" xfId="0" applyNumberFormat="1" applyFont="1" applyFill="1" applyBorder="1" applyProtection="1"/>
    <xf numFmtId="0" fontId="21" fillId="0" borderId="0" xfId="0" applyFont="1" applyBorder="1" applyProtection="1"/>
    <xf numFmtId="0" fontId="0" fillId="0" borderId="0" xfId="0" applyFill="1" applyProtection="1"/>
    <xf numFmtId="14" fontId="0" fillId="0" borderId="0" xfId="0" applyNumberFormat="1" applyFill="1" applyProtection="1"/>
    <xf numFmtId="0" fontId="0" fillId="0" borderId="0" xfId="0" applyFill="1" applyBorder="1" applyProtection="1"/>
    <xf numFmtId="0" fontId="8" fillId="0" borderId="0" xfId="0" applyFont="1" applyFill="1" applyAlignment="1" applyProtection="1">
      <alignment horizontal="center"/>
    </xf>
    <xf numFmtId="0" fontId="4" fillId="0" borderId="0" xfId="0" applyFont="1" applyFill="1" applyProtection="1"/>
    <xf numFmtId="0" fontId="12" fillId="0" borderId="0" xfId="0" applyFont="1" applyFill="1" applyProtection="1"/>
    <xf numFmtId="0" fontId="0" fillId="0" borderId="0" xfId="0" applyFill="1"/>
    <xf numFmtId="0" fontId="0" fillId="0" borderId="0" xfId="0" applyFill="1" applyProtection="1">
      <protection hidden="1"/>
    </xf>
    <xf numFmtId="0" fontId="1" fillId="2" borderId="10" xfId="0" applyFont="1" applyFill="1" applyBorder="1" applyAlignment="1" applyProtection="1">
      <alignment horizontal="center"/>
    </xf>
    <xf numFmtId="17" fontId="1" fillId="2" borderId="23" xfId="0" applyNumberFormat="1" applyFont="1" applyFill="1" applyBorder="1" applyProtection="1"/>
    <xf numFmtId="0" fontId="1" fillId="2" borderId="24" xfId="0" applyFont="1" applyFill="1" applyBorder="1" applyAlignment="1" applyProtection="1">
      <alignment horizontal="center"/>
    </xf>
    <xf numFmtId="0" fontId="1" fillId="2" borderId="10" xfId="0" applyFont="1" applyFill="1" applyBorder="1" applyProtection="1"/>
    <xf numFmtId="0" fontId="1" fillId="2" borderId="6" xfId="0" applyNumberFormat="1" applyFont="1" applyFill="1" applyBorder="1" applyAlignment="1" applyProtection="1">
      <alignment horizontal="center"/>
    </xf>
    <xf numFmtId="2" fontId="5" fillId="4" borderId="23" xfId="0" applyNumberFormat="1" applyFont="1" applyFill="1" applyBorder="1" applyAlignment="1" applyProtection="1">
      <alignment horizontal="center"/>
    </xf>
    <xf numFmtId="2" fontId="5" fillId="3" borderId="19" xfId="0" applyNumberFormat="1" applyFont="1" applyFill="1" applyBorder="1" applyAlignment="1" applyProtection="1">
      <alignment horizontal="center"/>
    </xf>
    <xf numFmtId="2" fontId="7" fillId="4" borderId="23" xfId="0" applyNumberFormat="1" applyFont="1" applyFill="1" applyBorder="1" applyAlignment="1" applyProtection="1">
      <alignment horizontal="center"/>
    </xf>
    <xf numFmtId="177" fontId="23" fillId="4" borderId="23" xfId="1" applyNumberFormat="1" applyFont="1" applyFill="1" applyBorder="1" applyAlignment="1" applyProtection="1">
      <alignment horizontal="center"/>
    </xf>
    <xf numFmtId="41" fontId="23" fillId="4" borderId="23" xfId="0" applyNumberFormat="1" applyFont="1" applyFill="1" applyBorder="1" applyAlignment="1" applyProtection="1">
      <alignment horizontal="center"/>
    </xf>
    <xf numFmtId="2" fontId="23" fillId="4" borderId="23" xfId="0" applyNumberFormat="1" applyFont="1" applyFill="1" applyBorder="1" applyAlignment="1" applyProtection="1">
      <alignment horizontal="center"/>
    </xf>
    <xf numFmtId="177" fontId="23" fillId="4" borderId="25" xfId="1" applyNumberFormat="1" applyFont="1" applyFill="1" applyBorder="1" applyAlignment="1" applyProtection="1">
      <alignment horizontal="center"/>
    </xf>
    <xf numFmtId="41" fontId="23" fillId="5" borderId="23" xfId="0" applyNumberFormat="1" applyFont="1" applyFill="1" applyBorder="1" applyAlignment="1" applyProtection="1">
      <alignment horizontal="center"/>
    </xf>
    <xf numFmtId="177" fontId="23" fillId="5" borderId="23" xfId="1" applyNumberFormat="1" applyFont="1" applyFill="1" applyBorder="1" applyAlignment="1" applyProtection="1">
      <alignment horizontal="center"/>
    </xf>
    <xf numFmtId="2" fontId="23" fillId="5" borderId="23" xfId="0" applyNumberFormat="1" applyFont="1" applyFill="1" applyBorder="1" applyAlignment="1" applyProtection="1">
      <alignment horizontal="center"/>
    </xf>
    <xf numFmtId="177" fontId="23" fillId="5" borderId="25" xfId="1" applyNumberFormat="1" applyFont="1" applyFill="1" applyBorder="1" applyAlignment="1" applyProtection="1">
      <alignment horizontal="center"/>
    </xf>
    <xf numFmtId="177" fontId="23" fillId="3" borderId="19" xfId="1" applyNumberFormat="1" applyFont="1" applyFill="1" applyBorder="1" applyAlignment="1" applyProtection="1">
      <alignment horizontal="center"/>
    </xf>
    <xf numFmtId="41" fontId="23" fillId="3" borderId="19" xfId="0" applyNumberFormat="1" applyFont="1" applyFill="1" applyBorder="1" applyAlignment="1" applyProtection="1">
      <alignment horizontal="center"/>
    </xf>
    <xf numFmtId="2" fontId="23" fillId="3" borderId="19" xfId="0" applyNumberFormat="1" applyFont="1" applyFill="1" applyBorder="1" applyAlignment="1" applyProtection="1">
      <alignment horizontal="center"/>
    </xf>
    <xf numFmtId="177" fontId="23" fillId="3" borderId="23" xfId="1" applyNumberFormat="1" applyFont="1" applyFill="1" applyBorder="1" applyAlignment="1" applyProtection="1">
      <alignment horizontal="center"/>
    </xf>
    <xf numFmtId="177" fontId="23" fillId="3" borderId="25" xfId="1" applyNumberFormat="1" applyFont="1" applyFill="1" applyBorder="1" applyAlignment="1" applyProtection="1">
      <alignment horizontal="center"/>
    </xf>
    <xf numFmtId="17" fontId="1" fillId="5" borderId="23" xfId="0" applyNumberFormat="1" applyFont="1" applyFill="1" applyBorder="1" applyProtection="1"/>
    <xf numFmtId="177" fontId="23" fillId="5" borderId="23" xfId="0" applyNumberFormat="1" applyFont="1" applyFill="1" applyBorder="1" applyAlignment="1" applyProtection="1">
      <alignment horizontal="center"/>
    </xf>
    <xf numFmtId="17" fontId="1" fillId="4" borderId="23" xfId="0" applyNumberFormat="1" applyFont="1" applyFill="1" applyBorder="1" applyProtection="1"/>
    <xf numFmtId="177" fontId="23" fillId="4" borderId="0" xfId="1" applyNumberFormat="1" applyFont="1" applyFill="1" applyBorder="1" applyAlignment="1" applyProtection="1">
      <alignment horizontal="center"/>
    </xf>
    <xf numFmtId="0" fontId="7" fillId="2" borderId="24" xfId="0" applyFont="1" applyFill="1" applyBorder="1" applyProtection="1"/>
    <xf numFmtId="0" fontId="7" fillId="2" borderId="22" xfId="0" applyFont="1" applyFill="1" applyBorder="1" applyAlignment="1" applyProtection="1">
      <alignment horizontal="center"/>
    </xf>
    <xf numFmtId="17" fontId="7" fillId="2" borderId="23" xfId="0" applyNumberFormat="1" applyFont="1" applyFill="1" applyBorder="1" applyProtection="1"/>
    <xf numFmtId="2" fontId="10" fillId="3" borderId="23" xfId="0" applyNumberFormat="1" applyFont="1" applyFill="1" applyBorder="1" applyAlignment="1" applyProtection="1">
      <alignment horizontal="center"/>
    </xf>
    <xf numFmtId="2" fontId="10" fillId="3" borderId="13" xfId="0" applyNumberFormat="1" applyFont="1" applyFill="1" applyBorder="1" applyAlignment="1" applyProtection="1">
      <alignment horizontal="center"/>
    </xf>
    <xf numFmtId="17" fontId="1" fillId="4" borderId="16" xfId="0" applyNumberFormat="1" applyFont="1" applyFill="1" applyBorder="1" applyProtection="1"/>
    <xf numFmtId="177" fontId="23" fillId="4" borderId="26" xfId="1" applyNumberFormat="1" applyFont="1" applyFill="1" applyBorder="1" applyAlignment="1" applyProtection="1">
      <alignment horizontal="center"/>
    </xf>
    <xf numFmtId="41" fontId="23" fillId="4" borderId="16" xfId="0" applyNumberFormat="1" applyFont="1" applyFill="1" applyBorder="1" applyAlignment="1" applyProtection="1">
      <alignment horizontal="center"/>
    </xf>
    <xf numFmtId="177" fontId="23" fillId="4" borderId="16" xfId="1" applyNumberFormat="1" applyFont="1" applyFill="1" applyBorder="1" applyAlignment="1" applyProtection="1">
      <alignment horizontal="center"/>
    </xf>
    <xf numFmtId="2" fontId="23" fillId="4" borderId="16" xfId="0" applyNumberFormat="1" applyFont="1" applyFill="1" applyBorder="1" applyAlignment="1" applyProtection="1">
      <alignment horizontal="center"/>
    </xf>
    <xf numFmtId="177" fontId="23" fillId="4" borderId="2" xfId="1" applyNumberFormat="1" applyFont="1" applyFill="1" applyBorder="1" applyAlignment="1" applyProtection="1">
      <alignment horizontal="center"/>
    </xf>
    <xf numFmtId="2" fontId="7" fillId="4" borderId="13" xfId="0" applyNumberFormat="1" applyFont="1" applyFill="1" applyBorder="1" applyAlignment="1" applyProtection="1">
      <alignment horizontal="center"/>
    </xf>
    <xf numFmtId="2" fontId="7" fillId="0" borderId="23" xfId="0" applyNumberFormat="1" applyFont="1" applyFill="1" applyBorder="1" applyAlignment="1" applyProtection="1">
      <alignment horizontal="center"/>
    </xf>
    <xf numFmtId="2" fontId="7" fillId="0" borderId="13" xfId="0" applyNumberFormat="1" applyFont="1" applyFill="1" applyBorder="1" applyAlignment="1" applyProtection="1">
      <alignment horizontal="center"/>
    </xf>
    <xf numFmtId="17" fontId="1" fillId="2" borderId="6" xfId="0" applyNumberFormat="1" applyFont="1" applyFill="1" applyBorder="1" applyAlignment="1" applyProtection="1">
      <alignment horizontal="center"/>
    </xf>
    <xf numFmtId="41" fontId="5" fillId="5" borderId="23" xfId="0" applyNumberFormat="1" applyFont="1" applyFill="1" applyBorder="1" applyAlignment="1" applyProtection="1">
      <alignment horizontal="center"/>
    </xf>
    <xf numFmtId="41" fontId="5" fillId="4" borderId="23" xfId="0" applyNumberFormat="1" applyFont="1" applyFill="1" applyBorder="1" applyAlignment="1" applyProtection="1">
      <alignment horizontal="center"/>
    </xf>
    <xf numFmtId="41" fontId="5" fillId="4" borderId="16" xfId="0" applyNumberFormat="1" applyFont="1" applyFill="1" applyBorder="1" applyAlignment="1" applyProtection="1">
      <alignment horizontal="center"/>
    </xf>
    <xf numFmtId="41" fontId="5" fillId="3" borderId="19" xfId="0" applyNumberFormat="1" applyFont="1" applyFill="1" applyBorder="1" applyAlignment="1" applyProtection="1">
      <alignment horizontal="center"/>
    </xf>
    <xf numFmtId="2" fontId="5" fillId="5" borderId="23" xfId="0" applyNumberFormat="1" applyFont="1" applyFill="1" applyBorder="1" applyAlignment="1" applyProtection="1">
      <alignment horizontal="center"/>
    </xf>
    <xf numFmtId="2" fontId="5" fillId="4" borderId="16" xfId="0" applyNumberFormat="1" applyFont="1" applyFill="1" applyBorder="1" applyAlignment="1" applyProtection="1">
      <alignment horizontal="center"/>
    </xf>
    <xf numFmtId="17" fontId="7" fillId="0" borderId="8" xfId="0" applyNumberFormat="1" applyFont="1" applyFill="1" applyBorder="1" applyAlignment="1" applyProtection="1">
      <alignment horizontal="center"/>
    </xf>
    <xf numFmtId="2" fontId="7" fillId="6" borderId="23" xfId="0" applyNumberFormat="1" applyFont="1" applyFill="1" applyBorder="1" applyAlignment="1" applyProtection="1">
      <alignment horizontal="center"/>
    </xf>
    <xf numFmtId="17" fontId="7" fillId="4" borderId="23" xfId="0" applyNumberFormat="1" applyFont="1" applyFill="1" applyBorder="1" applyAlignment="1" applyProtection="1">
      <alignment horizontal="center"/>
    </xf>
    <xf numFmtId="17" fontId="7" fillId="0" borderId="23" xfId="0" applyNumberFormat="1" applyFont="1" applyFill="1" applyBorder="1" applyAlignment="1" applyProtection="1">
      <alignment horizontal="center"/>
    </xf>
    <xf numFmtId="0" fontId="7" fillId="4" borderId="23" xfId="0" applyNumberFormat="1" applyFont="1" applyFill="1" applyBorder="1" applyAlignment="1" applyProtection="1">
      <alignment horizontal="center"/>
    </xf>
    <xf numFmtId="0" fontId="7" fillId="0" borderId="13" xfId="0" applyNumberFormat="1" applyFont="1" applyFill="1" applyBorder="1" applyAlignment="1" applyProtection="1">
      <alignment horizontal="center"/>
    </xf>
    <xf numFmtId="2" fontId="7" fillId="6" borderId="13" xfId="0" applyNumberFormat="1" applyFont="1" applyFill="1" applyBorder="1" applyAlignment="1" applyProtection="1">
      <alignment horizontal="center"/>
    </xf>
    <xf numFmtId="39" fontId="7" fillId="0" borderId="8" xfId="1" applyNumberFormat="1" applyFont="1" applyFill="1" applyBorder="1" applyAlignment="1" applyProtection="1">
      <alignment horizontal="center"/>
    </xf>
    <xf numFmtId="1" fontId="9" fillId="3" borderId="25" xfId="0" applyNumberFormat="1" applyFont="1" applyFill="1" applyBorder="1" applyProtection="1"/>
    <xf numFmtId="39" fontId="7" fillId="4" borderId="23" xfId="1" applyNumberFormat="1" applyFont="1" applyFill="1" applyBorder="1" applyAlignment="1" applyProtection="1">
      <alignment horizontal="center"/>
    </xf>
    <xf numFmtId="39" fontId="7" fillId="4" borderId="8" xfId="1" applyNumberFormat="1" applyFont="1" applyFill="1" applyBorder="1" applyAlignment="1" applyProtection="1">
      <alignment horizontal="center"/>
    </xf>
    <xf numFmtId="39" fontId="7" fillId="0" borderId="23" xfId="1" applyNumberFormat="1" applyFont="1" applyFill="1" applyBorder="1" applyAlignment="1" applyProtection="1">
      <alignment horizontal="center"/>
    </xf>
    <xf numFmtId="1" fontId="9" fillId="3" borderId="2" xfId="0" applyNumberFormat="1" applyFont="1" applyFill="1" applyBorder="1" applyProtection="1"/>
    <xf numFmtId="39" fontId="7" fillId="0" borderId="13" xfId="1" applyNumberFormat="1" applyFont="1" applyFill="1" applyBorder="1" applyAlignment="1" applyProtection="1">
      <alignment horizontal="center"/>
    </xf>
    <xf numFmtId="39" fontId="7" fillId="0" borderId="24" xfId="1" applyNumberFormat="1" applyFont="1" applyFill="1" applyBorder="1" applyAlignment="1" applyProtection="1">
      <alignment horizontal="center"/>
    </xf>
    <xf numFmtId="194" fontId="14" fillId="2" borderId="9" xfId="0" applyNumberFormat="1" applyFont="1" applyFill="1" applyBorder="1" applyAlignment="1" applyProtection="1">
      <alignment horizontal="centerContinuous"/>
    </xf>
    <xf numFmtId="0" fontId="14" fillId="2" borderId="27" xfId="0" applyFont="1" applyFill="1" applyBorder="1" applyAlignment="1" applyProtection="1">
      <alignment horizontal="centerContinuous"/>
    </xf>
    <xf numFmtId="0" fontId="1" fillId="2" borderId="27" xfId="0" applyFont="1" applyFill="1" applyBorder="1" applyAlignment="1" applyProtection="1">
      <alignment horizontal="centerContinuous"/>
    </xf>
    <xf numFmtId="0" fontId="1" fillId="2" borderId="28" xfId="0" applyFont="1" applyFill="1" applyBorder="1" applyAlignment="1" applyProtection="1">
      <alignment horizontal="center"/>
    </xf>
    <xf numFmtId="0" fontId="1" fillId="2" borderId="29" xfId="0" applyFont="1" applyFill="1" applyBorder="1" applyAlignment="1" applyProtection="1">
      <alignment horizontal="center"/>
    </xf>
    <xf numFmtId="0" fontId="1" fillId="2" borderId="30" xfId="0" applyFont="1" applyFill="1" applyBorder="1" applyAlignment="1" applyProtection="1">
      <alignment horizontal="center"/>
    </xf>
    <xf numFmtId="207" fontId="1" fillId="2" borderId="8" xfId="0" applyNumberFormat="1" applyFont="1" applyFill="1" applyBorder="1" applyAlignment="1" applyProtection="1">
      <alignment horizontal="left"/>
    </xf>
    <xf numFmtId="207" fontId="1" fillId="2" borderId="23" xfId="0" applyNumberFormat="1" applyFont="1" applyFill="1" applyBorder="1" applyAlignment="1" applyProtection="1">
      <alignment horizontal="left"/>
    </xf>
    <xf numFmtId="0" fontId="1" fillId="2" borderId="24" xfId="0" applyFont="1" applyFill="1" applyBorder="1" applyProtection="1"/>
    <xf numFmtId="0" fontId="11" fillId="2" borderId="8" xfId="0" applyFont="1" applyFill="1" applyBorder="1" applyProtection="1"/>
    <xf numFmtId="0" fontId="11" fillId="2" borderId="13" xfId="0" applyFont="1" applyFill="1" applyBorder="1" applyProtection="1"/>
    <xf numFmtId="0" fontId="0" fillId="7" borderId="0" xfId="0" applyFill="1" applyProtection="1"/>
    <xf numFmtId="0" fontId="1" fillId="7" borderId="0" xfId="0" applyFont="1" applyFill="1" applyAlignment="1" applyProtection="1">
      <alignment horizontal="right"/>
    </xf>
    <xf numFmtId="0" fontId="1" fillId="7" borderId="0" xfId="0" applyFont="1" applyFill="1" applyProtection="1"/>
    <xf numFmtId="177" fontId="2" fillId="7" borderId="0" xfId="1" applyNumberFormat="1" applyFill="1" applyProtection="1"/>
    <xf numFmtId="0" fontId="1" fillId="2" borderId="23" xfId="0" applyFont="1" applyFill="1" applyBorder="1" applyAlignment="1" applyProtection="1">
      <alignment horizontal="center"/>
    </xf>
    <xf numFmtId="0" fontId="0" fillId="0" borderId="0" xfId="0" applyBorder="1"/>
    <xf numFmtId="0" fontId="0" fillId="0" borderId="0" xfId="0" quotePrefix="1" applyBorder="1"/>
    <xf numFmtId="17" fontId="1" fillId="2" borderId="8" xfId="0" quotePrefix="1" applyNumberFormat="1" applyFont="1" applyFill="1" applyBorder="1" applyAlignment="1" applyProtection="1">
      <alignment horizontal="right"/>
    </xf>
    <xf numFmtId="2" fontId="7" fillId="4" borderId="8" xfId="0" applyNumberFormat="1" applyFont="1" applyFill="1" applyBorder="1" applyAlignment="1" applyProtection="1">
      <alignment horizontal="center"/>
    </xf>
    <xf numFmtId="17" fontId="1" fillId="2" borderId="13" xfId="0" quotePrefix="1" applyNumberFormat="1" applyFont="1" applyFill="1" applyBorder="1" applyAlignment="1" applyProtection="1">
      <alignment horizontal="right"/>
    </xf>
    <xf numFmtId="17" fontId="1" fillId="2" borderId="13" xfId="0" applyNumberFormat="1" applyFont="1" applyFill="1" applyBorder="1" applyAlignment="1" applyProtection="1">
      <alignment horizontal="right"/>
    </xf>
    <xf numFmtId="0" fontId="24" fillId="2" borderId="8" xfId="0" applyFont="1" applyFill="1" applyBorder="1" applyAlignment="1" applyProtection="1">
      <alignment horizontal="center"/>
    </xf>
    <xf numFmtId="38" fontId="9" fillId="3" borderId="8" xfId="0" applyNumberFormat="1" applyFont="1" applyFill="1" applyBorder="1" applyProtection="1"/>
    <xf numFmtId="38" fontId="9" fillId="3" borderId="23" xfId="0" applyNumberFormat="1" applyFont="1" applyFill="1" applyBorder="1" applyProtection="1"/>
    <xf numFmtId="2" fontId="10" fillId="0" borderId="0" xfId="0" applyNumberFormat="1" applyFont="1" applyFill="1" applyBorder="1" applyAlignment="1" applyProtection="1">
      <alignment horizontal="center"/>
    </xf>
    <xf numFmtId="39" fontId="0" fillId="0" borderId="0" xfId="0" applyNumberFormat="1"/>
    <xf numFmtId="38" fontId="10" fillId="3" borderId="24" xfId="0" applyNumberFormat="1" applyFont="1" applyFill="1" applyBorder="1" applyProtection="1"/>
    <xf numFmtId="38" fontId="10" fillId="3" borderId="22" xfId="0" applyNumberFormat="1" applyFont="1" applyFill="1" applyBorder="1" applyProtection="1"/>
    <xf numFmtId="43" fontId="0" fillId="0" borderId="0" xfId="1" applyFont="1" applyProtection="1"/>
    <xf numFmtId="177" fontId="0" fillId="0" borderId="0" xfId="0" applyNumberFormat="1" applyProtection="1"/>
    <xf numFmtId="0" fontId="1" fillId="0" borderId="0" xfId="0" applyFont="1" applyAlignment="1" applyProtection="1">
      <alignment horizontal="left"/>
    </xf>
    <xf numFmtId="2" fontId="1" fillId="0" borderId="0" xfId="0" applyNumberFormat="1" applyFont="1" applyAlignment="1" applyProtection="1">
      <alignment horizontal="left"/>
    </xf>
    <xf numFmtId="43" fontId="1" fillId="0" borderId="0" xfId="1" applyFont="1" applyAlignment="1" applyProtection="1">
      <alignment horizontal="left"/>
    </xf>
    <xf numFmtId="2" fontId="1" fillId="0" borderId="0" xfId="0" applyNumberFormat="1" applyFont="1" applyProtection="1"/>
    <xf numFmtId="44" fontId="7" fillId="0" borderId="0" xfId="2" applyFont="1" applyProtection="1"/>
    <xf numFmtId="2" fontId="7" fillId="0" borderId="0" xfId="0" applyNumberFormat="1" applyFont="1" applyAlignment="1" applyProtection="1">
      <alignment horizontal="center"/>
    </xf>
    <xf numFmtId="2" fontId="7" fillId="6" borderId="8" xfId="0" applyNumberFormat="1" applyFont="1" applyFill="1" applyBorder="1" applyAlignment="1" applyProtection="1">
      <alignment horizontal="center"/>
    </xf>
    <xf numFmtId="39" fontId="7" fillId="5" borderId="8" xfId="0" applyNumberFormat="1" applyFont="1" applyFill="1" applyBorder="1" applyAlignment="1" applyProtection="1">
      <alignment horizontal="center"/>
    </xf>
    <xf numFmtId="0" fontId="25" fillId="2" borderId="23" xfId="0" applyFont="1" applyFill="1" applyBorder="1" applyAlignment="1" applyProtection="1">
      <alignment horizontal="center"/>
    </xf>
    <xf numFmtId="39" fontId="7" fillId="5" borderId="23" xfId="0" applyNumberFormat="1" applyFont="1" applyFill="1" applyBorder="1" applyAlignment="1" applyProtection="1">
      <alignment horizontal="center"/>
    </xf>
    <xf numFmtId="39" fontId="7" fillId="5" borderId="13" xfId="0" applyNumberFormat="1" applyFont="1" applyFill="1" applyBorder="1" applyAlignment="1" applyProtection="1">
      <alignment horizontal="center"/>
    </xf>
    <xf numFmtId="44" fontId="7" fillId="0" borderId="0" xfId="2" applyFont="1" applyAlignment="1" applyProtection="1">
      <alignment horizontal="center"/>
    </xf>
    <xf numFmtId="0" fontId="11" fillId="0" borderId="0" xfId="0" applyFont="1" applyAlignment="1" applyProtection="1">
      <alignment horizontal="center"/>
    </xf>
    <xf numFmtId="2" fontId="7" fillId="0" borderId="0" xfId="0" applyNumberFormat="1" applyFont="1" applyProtection="1"/>
    <xf numFmtId="17" fontId="11" fillId="2" borderId="8" xfId="0" applyNumberFormat="1" applyFont="1" applyFill="1" applyBorder="1" applyAlignment="1" applyProtection="1">
      <alignment horizontal="center"/>
    </xf>
    <xf numFmtId="17" fontId="11" fillId="2" borderId="24" xfId="0" applyNumberFormat="1" applyFont="1" applyFill="1" applyBorder="1" applyAlignment="1" applyProtection="1">
      <alignment horizontal="center"/>
    </xf>
    <xf numFmtId="2" fontId="7" fillId="4" borderId="8" xfId="0" quotePrefix="1" applyNumberFormat="1" applyFont="1" applyFill="1" applyBorder="1" applyAlignment="1" applyProtection="1">
      <alignment horizontal="center"/>
    </xf>
    <xf numFmtId="2" fontId="10" fillId="3" borderId="8" xfId="0" applyNumberFormat="1" applyFont="1" applyFill="1" applyBorder="1" applyAlignment="1" applyProtection="1">
      <alignment horizontal="center"/>
    </xf>
    <xf numFmtId="2" fontId="10" fillId="0" borderId="13" xfId="0" applyNumberFormat="1" applyFont="1" applyFill="1" applyBorder="1" applyAlignment="1" applyProtection="1">
      <alignment horizontal="center"/>
    </xf>
    <xf numFmtId="17" fontId="11" fillId="2" borderId="8" xfId="0" quotePrefix="1" applyNumberFormat="1" applyFont="1" applyFill="1" applyBorder="1" applyAlignment="1" applyProtection="1">
      <alignment horizontal="right"/>
    </xf>
    <xf numFmtId="17" fontId="11" fillId="2" borderId="13" xfId="0" applyNumberFormat="1" applyFont="1" applyFill="1" applyBorder="1" applyAlignment="1" applyProtection="1">
      <alignment horizontal="right"/>
    </xf>
    <xf numFmtId="177" fontId="0" fillId="0" borderId="0" xfId="1" applyNumberFormat="1" applyFont="1" applyProtection="1"/>
    <xf numFmtId="2" fontId="23" fillId="5" borderId="16" xfId="0" applyNumberFormat="1" applyFont="1" applyFill="1" applyBorder="1" applyAlignment="1" applyProtection="1">
      <alignment horizontal="center"/>
    </xf>
    <xf numFmtId="177" fontId="1" fillId="0" borderId="0" xfId="1" applyNumberFormat="1" applyFont="1" applyAlignment="1" applyProtection="1">
      <alignment horizontal="left"/>
    </xf>
    <xf numFmtId="227" fontId="2" fillId="0" borderId="0" xfId="3" applyNumberFormat="1" applyProtection="1"/>
    <xf numFmtId="203" fontId="0" fillId="0" borderId="0" xfId="0" applyNumberFormat="1" applyProtection="1"/>
    <xf numFmtId="0" fontId="26" fillId="0" borderId="0" xfId="0" applyFont="1" applyAlignment="1" applyProtection="1">
      <alignment horizontal="center"/>
    </xf>
    <xf numFmtId="175" fontId="0" fillId="0" borderId="0" xfId="0" applyNumberFormat="1"/>
    <xf numFmtId="14" fontId="16" fillId="0" borderId="0" xfId="4" applyNumberFormat="1" applyFont="1" applyFill="1" applyBorder="1" applyAlignment="1" applyProtection="1"/>
    <xf numFmtId="38" fontId="0" fillId="0" borderId="0" xfId="0" applyNumberFormat="1"/>
    <xf numFmtId="14" fontId="0" fillId="0" borderId="0" xfId="0" applyNumberFormat="1"/>
    <xf numFmtId="14" fontId="0" fillId="3" borderId="7" xfId="0" applyNumberFormat="1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11" fillId="0" borderId="0" xfId="0" applyFont="1" applyAlignment="1">
      <alignment horizontal="center"/>
    </xf>
    <xf numFmtId="38" fontId="1" fillId="0" borderId="0" xfId="0" applyNumberFormat="1" applyFont="1"/>
    <xf numFmtId="0" fontId="0" fillId="0" borderId="0" xfId="0" applyAlignment="1">
      <alignment horizontal="center"/>
    </xf>
    <xf numFmtId="14" fontId="0" fillId="0" borderId="7" xfId="0" applyNumberFormat="1" applyBorder="1"/>
    <xf numFmtId="0" fontId="0" fillId="0" borderId="7" xfId="0" applyBorder="1" applyAlignment="1">
      <alignment horizontal="center"/>
    </xf>
    <xf numFmtId="0" fontId="8" fillId="0" borderId="0" xfId="0" applyFont="1"/>
    <xf numFmtId="0" fontId="0" fillId="0" borderId="0" xfId="0" quotePrefix="1"/>
    <xf numFmtId="177" fontId="5" fillId="0" borderId="0" xfId="1" applyNumberFormat="1" applyFont="1" applyAlignment="1" applyProtection="1">
      <alignment horizontal="center"/>
    </xf>
    <xf numFmtId="39" fontId="5" fillId="0" borderId="0" xfId="0" applyNumberFormat="1" applyFont="1" applyAlignment="1" applyProtection="1">
      <alignment horizontal="center"/>
    </xf>
    <xf numFmtId="0" fontId="5" fillId="0" borderId="0" xfId="0" applyFont="1" applyAlignment="1" applyProtection="1">
      <alignment horizontal="center"/>
    </xf>
    <xf numFmtId="178" fontId="0" fillId="0" borderId="0" xfId="0" applyNumberFormat="1" applyProtection="1"/>
    <xf numFmtId="39" fontId="0" fillId="0" borderId="0" xfId="0" applyNumberFormat="1" applyFill="1" applyProtection="1"/>
    <xf numFmtId="43" fontId="2" fillId="0" borderId="0" xfId="1" applyFill="1" applyProtection="1"/>
    <xf numFmtId="0" fontId="25" fillId="2" borderId="13" xfId="0" applyFont="1" applyFill="1" applyBorder="1" applyAlignment="1" applyProtection="1">
      <alignment horizontal="center"/>
    </xf>
    <xf numFmtId="39" fontId="7" fillId="0" borderId="23" xfId="0" applyNumberFormat="1" applyFont="1" applyFill="1" applyBorder="1" applyAlignment="1" applyProtection="1">
      <alignment horizontal="center"/>
    </xf>
    <xf numFmtId="0" fontId="27" fillId="0" borderId="0" xfId="0" applyFont="1" applyFill="1" applyProtection="1"/>
    <xf numFmtId="39" fontId="7" fillId="0" borderId="13" xfId="0" applyNumberFormat="1" applyFont="1" applyFill="1" applyBorder="1" applyAlignment="1" applyProtection="1">
      <alignment horizontal="center"/>
    </xf>
    <xf numFmtId="0" fontId="21" fillId="0" borderId="0" xfId="0" applyFont="1" applyProtection="1"/>
    <xf numFmtId="17" fontId="0" fillId="0" borderId="0" xfId="0" applyNumberFormat="1" applyFill="1" applyProtection="1"/>
    <xf numFmtId="0" fontId="2" fillId="0" borderId="19" xfId="0" applyFont="1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31" xfId="0" applyNumberFormat="1" applyFont="1" applyBorder="1" applyAlignment="1">
      <alignment horizontal="center"/>
    </xf>
    <xf numFmtId="49" fontId="2" fillId="0" borderId="6" xfId="0" applyNumberFormat="1" applyFont="1" applyBorder="1" applyAlignment="1">
      <alignment horizontal="center"/>
    </xf>
    <xf numFmtId="0" fontId="0" fillId="0" borderId="27" xfId="0" quotePrefix="1" applyBorder="1"/>
    <xf numFmtId="0" fontId="0" fillId="0" borderId="27" xfId="0" applyBorder="1"/>
    <xf numFmtId="0" fontId="0" fillId="0" borderId="31" xfId="0" applyBorder="1"/>
    <xf numFmtId="0" fontId="0" fillId="0" borderId="31" xfId="0" quotePrefix="1" applyBorder="1"/>
    <xf numFmtId="17" fontId="0" fillId="3" borderId="19" xfId="0" applyNumberFormat="1" applyFill="1" applyBorder="1"/>
    <xf numFmtId="17" fontId="0" fillId="0" borderId="19" xfId="0" applyNumberFormat="1" applyBorder="1"/>
    <xf numFmtId="17" fontId="0" fillId="0" borderId="5" xfId="0" applyNumberFormat="1" applyBorder="1"/>
    <xf numFmtId="17" fontId="0" fillId="0" borderId="21" xfId="0" applyNumberFormat="1" applyBorder="1"/>
    <xf numFmtId="0" fontId="29" fillId="0" borderId="0" xfId="0" applyFont="1" applyProtection="1"/>
    <xf numFmtId="0" fontId="29" fillId="0" borderId="0" xfId="0" applyFont="1" applyFill="1" applyProtection="1"/>
    <xf numFmtId="0" fontId="11" fillId="0" borderId="0" xfId="0" applyFont="1"/>
    <xf numFmtId="0" fontId="7" fillId="0" borderId="24" xfId="0" applyFont="1" applyBorder="1" applyAlignment="1" applyProtection="1">
      <alignment horizontal="center"/>
    </xf>
    <xf numFmtId="0" fontId="7" fillId="3" borderId="8" xfId="0" applyFont="1" applyFill="1" applyBorder="1" applyAlignment="1" applyProtection="1">
      <alignment horizontal="center"/>
    </xf>
    <xf numFmtId="44" fontId="7" fillId="3" borderId="21" xfId="2" applyFont="1" applyFill="1" applyBorder="1" applyProtection="1"/>
    <xf numFmtId="0" fontId="0" fillId="3" borderId="22" xfId="0" applyFill="1" applyBorder="1" applyProtection="1"/>
    <xf numFmtId="0" fontId="7" fillId="2" borderId="10" xfId="0" applyFont="1" applyFill="1" applyBorder="1" applyAlignment="1" applyProtection="1">
      <alignment horizontal="center"/>
    </xf>
    <xf numFmtId="0" fontId="7" fillId="0" borderId="0" xfId="0" applyNumberFormat="1" applyFont="1" applyFill="1" applyBorder="1" applyAlignment="1" applyProtection="1">
      <alignment horizontal="center"/>
    </xf>
    <xf numFmtId="2" fontId="7" fillId="0" borderId="0" xfId="0" applyNumberFormat="1" applyFont="1" applyFill="1" applyBorder="1" applyAlignment="1" applyProtection="1">
      <alignment horizontal="center"/>
    </xf>
    <xf numFmtId="38" fontId="7" fillId="3" borderId="25" xfId="1" applyNumberFormat="1" applyFont="1" applyFill="1" applyBorder="1" applyProtection="1"/>
    <xf numFmtId="38" fontId="7" fillId="3" borderId="22" xfId="1" applyNumberFormat="1" applyFont="1" applyFill="1" applyBorder="1" applyProtection="1"/>
    <xf numFmtId="0" fontId="7" fillId="0" borderId="0" xfId="0" applyFont="1" applyFill="1" applyBorder="1" applyAlignment="1" applyProtection="1">
      <alignment horizontal="center"/>
    </xf>
    <xf numFmtId="38" fontId="7" fillId="0" borderId="0" xfId="1" applyNumberFormat="1" applyFont="1" applyFill="1" applyBorder="1" applyProtection="1"/>
    <xf numFmtId="0" fontId="7" fillId="0" borderId="0" xfId="0" applyFont="1" applyFill="1" applyBorder="1" applyProtection="1"/>
    <xf numFmtId="177" fontId="22" fillId="0" borderId="0" xfId="0" applyNumberFormat="1" applyFont="1" applyFill="1" applyBorder="1" applyAlignment="1" applyProtection="1">
      <alignment horizontal="center"/>
    </xf>
    <xf numFmtId="0" fontId="22" fillId="0" borderId="0" xfId="0" applyFont="1" applyProtection="1"/>
    <xf numFmtId="0" fontId="0" fillId="0" borderId="31" xfId="0" applyFill="1" applyBorder="1" applyAlignment="1" applyProtection="1">
      <alignment horizontal="right"/>
      <protection locked="0"/>
    </xf>
    <xf numFmtId="17" fontId="0" fillId="0" borderId="0" xfId="0" applyNumberFormat="1"/>
    <xf numFmtId="174" fontId="0" fillId="0" borderId="0" xfId="1" applyNumberFormat="1" applyFont="1"/>
    <xf numFmtId="17" fontId="1" fillId="5" borderId="13" xfId="0" applyNumberFormat="1" applyFont="1" applyFill="1" applyBorder="1" applyProtection="1"/>
    <xf numFmtId="0" fontId="7" fillId="2" borderId="13" xfId="0" applyFont="1" applyFill="1" applyBorder="1" applyAlignment="1" applyProtection="1">
      <alignment horizontal="center"/>
    </xf>
    <xf numFmtId="39" fontId="7" fillId="5" borderId="23" xfId="1" applyNumberFormat="1" applyFont="1" applyFill="1" applyBorder="1" applyAlignment="1" applyProtection="1">
      <alignment horizontal="center"/>
    </xf>
    <xf numFmtId="39" fontId="7" fillId="4" borderId="0" xfId="1" applyNumberFormat="1" applyFont="1" applyFill="1" applyBorder="1" applyAlignment="1" applyProtection="1">
      <alignment horizontal="center"/>
    </xf>
    <xf numFmtId="39" fontId="7" fillId="4" borderId="23" xfId="0" applyNumberFormat="1" applyFont="1" applyFill="1" applyBorder="1" applyAlignment="1" applyProtection="1">
      <alignment horizontal="center"/>
    </xf>
    <xf numFmtId="39" fontId="7" fillId="5" borderId="13" xfId="1" applyNumberFormat="1" applyFont="1" applyFill="1" applyBorder="1" applyAlignment="1" applyProtection="1">
      <alignment horizontal="center"/>
    </xf>
    <xf numFmtId="0" fontId="7" fillId="2" borderId="23" xfId="0" applyFont="1" applyFill="1" applyBorder="1" applyAlignment="1" applyProtection="1">
      <alignment horizontal="center"/>
    </xf>
    <xf numFmtId="39" fontId="7" fillId="5" borderId="8" xfId="1" applyNumberFormat="1" applyFont="1" applyFill="1" applyBorder="1" applyAlignment="1" applyProtection="1">
      <alignment horizontal="center"/>
    </xf>
    <xf numFmtId="39" fontId="7" fillId="4" borderId="13" xfId="0" applyNumberFormat="1" applyFont="1" applyFill="1" applyBorder="1" applyAlignment="1" applyProtection="1">
      <alignment horizontal="center"/>
    </xf>
    <xf numFmtId="39" fontId="7" fillId="4" borderId="13" xfId="1" applyNumberFormat="1" applyFont="1" applyFill="1" applyBorder="1" applyAlignment="1" applyProtection="1">
      <alignment horizontal="center"/>
    </xf>
    <xf numFmtId="15" fontId="0" fillId="0" borderId="0" xfId="0" applyNumberFormat="1"/>
    <xf numFmtId="17" fontId="7" fillId="5" borderId="8" xfId="0" applyNumberFormat="1" applyFont="1" applyFill="1" applyBorder="1" applyProtection="1"/>
    <xf numFmtId="17" fontId="7" fillId="4" borderId="23" xfId="0" applyNumberFormat="1" applyFont="1" applyFill="1" applyBorder="1" applyProtection="1"/>
    <xf numFmtId="17" fontId="7" fillId="5" borderId="23" xfId="0" applyNumberFormat="1" applyFont="1" applyFill="1" applyBorder="1" applyProtection="1"/>
    <xf numFmtId="17" fontId="7" fillId="4" borderId="13" xfId="0" applyNumberFormat="1" applyFont="1" applyFill="1" applyBorder="1" applyProtection="1"/>
    <xf numFmtId="17" fontId="7" fillId="0" borderId="0" xfId="0" applyNumberFormat="1" applyFont="1" applyFill="1" applyBorder="1" applyProtection="1"/>
    <xf numFmtId="39" fontId="7" fillId="0" borderId="0" xfId="0" applyNumberFormat="1" applyFont="1" applyFill="1" applyBorder="1" applyAlignment="1" applyProtection="1">
      <alignment horizontal="center"/>
    </xf>
    <xf numFmtId="39" fontId="7" fillId="0" borderId="0" xfId="1" applyNumberFormat="1" applyFont="1" applyFill="1" applyBorder="1" applyAlignment="1" applyProtection="1">
      <alignment horizontal="center"/>
    </xf>
    <xf numFmtId="2" fontId="0" fillId="0" borderId="0" xfId="0" applyNumberFormat="1"/>
    <xf numFmtId="177" fontId="0" fillId="0" borderId="0" xfId="0" applyNumberFormat="1" applyBorder="1" applyAlignment="1" applyProtection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0" fillId="0" borderId="0" xfId="0" applyFill="1" applyBorder="1"/>
    <xf numFmtId="17" fontId="0" fillId="0" borderId="19" xfId="0" applyNumberFormat="1" applyFill="1" applyBorder="1"/>
    <xf numFmtId="0" fontId="0" fillId="0" borderId="0" xfId="0" quotePrefix="1" applyFill="1" applyBorder="1"/>
    <xf numFmtId="177" fontId="2" fillId="0" borderId="0" xfId="1" applyNumberFormat="1" applyFill="1" applyProtection="1"/>
    <xf numFmtId="0" fontId="1" fillId="0" borderId="0" xfId="0" applyFont="1" applyFill="1" applyBorder="1" applyAlignment="1" applyProtection="1">
      <alignment horizontal="right"/>
    </xf>
    <xf numFmtId="0" fontId="1" fillId="0" borderId="0" xfId="0" applyFont="1" applyFill="1" applyBorder="1" applyProtection="1"/>
    <xf numFmtId="0" fontId="11" fillId="0" borderId="0" xfId="0" applyFont="1" applyProtection="1"/>
    <xf numFmtId="38" fontId="9" fillId="0" borderId="0" xfId="0" applyNumberFormat="1" applyFont="1" applyFill="1" applyBorder="1" applyProtection="1"/>
    <xf numFmtId="0" fontId="1" fillId="2" borderId="32" xfId="0" applyFont="1" applyFill="1" applyBorder="1" applyAlignment="1" applyProtection="1">
      <alignment horizontal="center"/>
    </xf>
    <xf numFmtId="38" fontId="9" fillId="3" borderId="19" xfId="0" applyNumberFormat="1" applyFont="1" applyFill="1" applyBorder="1" applyProtection="1"/>
    <xf numFmtId="38" fontId="10" fillId="3" borderId="21" xfId="0" applyNumberFormat="1" applyFont="1" applyFill="1" applyBorder="1" applyProtection="1"/>
    <xf numFmtId="194" fontId="14" fillId="0" borderId="0" xfId="0" applyNumberFormat="1" applyFont="1" applyFill="1" applyBorder="1" applyAlignment="1" applyProtection="1">
      <alignment horizontal="centerContinuous"/>
    </xf>
    <xf numFmtId="0" fontId="1" fillId="0" borderId="0" xfId="0" applyFont="1" applyFill="1" applyBorder="1" applyAlignment="1" applyProtection="1">
      <alignment horizontal="centerContinuous"/>
    </xf>
    <xf numFmtId="38" fontId="10" fillId="0" borderId="0" xfId="0" applyNumberFormat="1" applyFont="1" applyFill="1" applyBorder="1" applyProtection="1"/>
    <xf numFmtId="2" fontId="0" fillId="0" borderId="0" xfId="0" applyNumberFormat="1" applyFill="1" applyBorder="1" applyProtection="1"/>
    <xf numFmtId="17" fontId="1" fillId="0" borderId="0" xfId="0" quotePrefix="1" applyNumberFormat="1" applyFont="1" applyFill="1" applyBorder="1" applyAlignment="1" applyProtection="1">
      <alignment horizontal="right"/>
    </xf>
    <xf numFmtId="2" fontId="7" fillId="0" borderId="0" xfId="0" quotePrefix="1" applyNumberFormat="1" applyFont="1" applyFill="1" applyBorder="1" applyAlignment="1" applyProtection="1">
      <alignment horizontal="center"/>
    </xf>
    <xf numFmtId="17" fontId="1" fillId="0" borderId="0" xfId="0" applyNumberFormat="1" applyFont="1" applyFill="1" applyBorder="1" applyAlignment="1" applyProtection="1">
      <alignment horizontal="right"/>
    </xf>
    <xf numFmtId="17" fontId="11" fillId="0" borderId="0" xfId="0" quotePrefix="1" applyNumberFormat="1" applyFont="1" applyFill="1" applyBorder="1" applyAlignment="1" applyProtection="1">
      <alignment horizontal="right"/>
    </xf>
    <xf numFmtId="17" fontId="11" fillId="0" borderId="0" xfId="0" applyNumberFormat="1" applyFont="1" applyFill="1" applyBorder="1" applyAlignment="1" applyProtection="1">
      <alignment horizontal="right"/>
    </xf>
    <xf numFmtId="17" fontId="11" fillId="0" borderId="0" xfId="0" applyNumberFormat="1" applyFont="1" applyFill="1" applyBorder="1" applyAlignment="1" applyProtection="1">
      <alignment horizontal="center"/>
    </xf>
    <xf numFmtId="177" fontId="11" fillId="0" borderId="0" xfId="1" applyNumberFormat="1" applyFont="1" applyFill="1" applyBorder="1" applyAlignment="1" applyProtection="1">
      <alignment horizontal="center"/>
    </xf>
    <xf numFmtId="177" fontId="7" fillId="0" borderId="0" xfId="1" applyNumberFormat="1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 applyProtection="1">
      <alignment horizontal="center"/>
    </xf>
    <xf numFmtId="17" fontId="7" fillId="0" borderId="0" xfId="1" applyNumberFormat="1" applyFont="1" applyFill="1" applyBorder="1" applyAlignment="1" applyProtection="1">
      <alignment horizontal="center"/>
    </xf>
    <xf numFmtId="39" fontId="10" fillId="0" borderId="0" xfId="1" applyNumberFormat="1" applyFont="1" applyFill="1" applyBorder="1" applyAlignment="1" applyProtection="1">
      <alignment horizontal="center"/>
    </xf>
    <xf numFmtId="177" fontId="10" fillId="0" borderId="0" xfId="1" applyNumberFormat="1" applyFont="1" applyFill="1" applyBorder="1" applyProtection="1"/>
    <xf numFmtId="177" fontId="10" fillId="0" borderId="0" xfId="1" applyNumberFormat="1" applyFont="1" applyFill="1" applyBorder="1" applyAlignment="1" applyProtection="1">
      <alignment horizontal="center"/>
    </xf>
    <xf numFmtId="2" fontId="10" fillId="0" borderId="0" xfId="1" applyNumberFormat="1" applyFont="1" applyFill="1" applyBorder="1" applyAlignment="1" applyProtection="1">
      <alignment horizontal="center"/>
    </xf>
    <xf numFmtId="1" fontId="10" fillId="0" borderId="0" xfId="1" applyNumberFormat="1" applyFont="1" applyFill="1" applyBorder="1" applyAlignment="1" applyProtection="1">
      <alignment horizontal="center"/>
    </xf>
    <xf numFmtId="0" fontId="22" fillId="0" borderId="0" xfId="0" applyFont="1" applyFill="1" applyBorder="1" applyAlignment="1" applyProtection="1">
      <alignment horizontal="center"/>
    </xf>
    <xf numFmtId="177" fontId="22" fillId="0" borderId="0" xfId="0" applyNumberFormat="1" applyFont="1" applyFill="1" applyBorder="1" applyProtection="1"/>
    <xf numFmtId="177" fontId="1" fillId="0" borderId="0" xfId="0" applyNumberFormat="1" applyFont="1" applyFill="1" applyBorder="1" applyProtection="1"/>
    <xf numFmtId="38" fontId="0" fillId="0" borderId="0" xfId="0" applyNumberFormat="1" applyFill="1" applyBorder="1" applyProtection="1"/>
    <xf numFmtId="0" fontId="0" fillId="0" borderId="0" xfId="0" applyFill="1" applyBorder="1" applyAlignment="1" applyProtection="1">
      <alignment horizontal="center"/>
    </xf>
    <xf numFmtId="207" fontId="1" fillId="0" borderId="0" xfId="0" applyNumberFormat="1" applyFont="1" applyFill="1" applyBorder="1" applyAlignment="1" applyProtection="1">
      <alignment horizontal="left"/>
    </xf>
    <xf numFmtId="0" fontId="0" fillId="0" borderId="0" xfId="0" applyFill="1" applyBorder="1" applyAlignment="1">
      <alignment horizontal="center"/>
    </xf>
    <xf numFmtId="0" fontId="9" fillId="0" borderId="0" xfId="0" applyFont="1" applyFill="1" applyBorder="1"/>
    <xf numFmtId="0" fontId="9" fillId="0" borderId="0" xfId="0" applyFont="1" applyFill="1" applyBorder="1" applyAlignment="1" applyProtection="1">
      <alignment horizontal="center"/>
    </xf>
    <xf numFmtId="2" fontId="1" fillId="0" borderId="0" xfId="0" applyNumberFormat="1" applyFont="1" applyFill="1" applyBorder="1" applyProtection="1"/>
    <xf numFmtId="0" fontId="4" fillId="0" borderId="0" xfId="0" applyFont="1" applyFill="1" applyBorder="1" applyProtection="1"/>
    <xf numFmtId="0" fontId="12" fillId="0" borderId="0" xfId="0" applyFont="1" applyFill="1" applyBorder="1" applyProtection="1"/>
    <xf numFmtId="0" fontId="0" fillId="0" borderId="0" xfId="0" applyFill="1" applyBorder="1" applyProtection="1">
      <protection hidden="1"/>
    </xf>
    <xf numFmtId="0" fontId="14" fillId="0" borderId="0" xfId="0" applyFont="1" applyFill="1" applyBorder="1" applyAlignment="1" applyProtection="1">
      <alignment horizontal="centerContinuous"/>
    </xf>
    <xf numFmtId="38" fontId="1" fillId="0" borderId="0" xfId="0" applyNumberFormat="1" applyFont="1" applyFill="1" applyBorder="1" applyProtection="1"/>
    <xf numFmtId="38" fontId="10" fillId="8" borderId="24" xfId="0" applyNumberFormat="1" applyFont="1" applyFill="1" applyBorder="1" applyProtection="1"/>
    <xf numFmtId="0" fontId="1" fillId="0" borderId="24" xfId="0" applyFont="1" applyFill="1" applyBorder="1" applyAlignment="1" applyProtection="1">
      <alignment horizontal="center"/>
      <protection locked="0"/>
    </xf>
    <xf numFmtId="43" fontId="23" fillId="5" borderId="23" xfId="0" applyNumberFormat="1" applyFont="1" applyFill="1" applyBorder="1" applyAlignment="1" applyProtection="1">
      <alignment horizontal="center"/>
    </xf>
    <xf numFmtId="215" fontId="23" fillId="5" borderId="23" xfId="0" applyNumberFormat="1" applyFont="1" applyFill="1" applyBorder="1" applyAlignment="1" applyProtection="1">
      <alignment horizontal="center"/>
    </xf>
    <xf numFmtId="43" fontId="10" fillId="5" borderId="23" xfId="1" applyNumberFormat="1" applyFont="1" applyFill="1" applyBorder="1" applyAlignment="1" applyProtection="1">
      <alignment horizontal="center"/>
    </xf>
    <xf numFmtId="190" fontId="23" fillId="5" borderId="23" xfId="0" applyNumberFormat="1" applyFont="1" applyFill="1" applyBorder="1" applyAlignment="1" applyProtection="1">
      <alignment horizontal="center"/>
    </xf>
    <xf numFmtId="190" fontId="5" fillId="5" borderId="23" xfId="0" applyNumberFormat="1" applyFont="1" applyFill="1" applyBorder="1" applyAlignment="1" applyProtection="1">
      <alignment horizontal="center"/>
    </xf>
    <xf numFmtId="43" fontId="23" fillId="4" borderId="0" xfId="1" applyNumberFormat="1" applyFont="1" applyFill="1" applyBorder="1" applyAlignment="1" applyProtection="1">
      <alignment horizontal="center"/>
    </xf>
    <xf numFmtId="43" fontId="23" fillId="4" borderId="23" xfId="0" applyNumberFormat="1" applyFont="1" applyFill="1" applyBorder="1" applyAlignment="1" applyProtection="1">
      <alignment horizontal="center"/>
    </xf>
    <xf numFmtId="43" fontId="10" fillId="4" borderId="23" xfId="1" applyNumberFormat="1" applyFont="1" applyFill="1" applyBorder="1" applyAlignment="1" applyProtection="1">
      <alignment horizontal="center"/>
    </xf>
    <xf numFmtId="190" fontId="23" fillId="4" borderId="23" xfId="0" applyNumberFormat="1" applyFont="1" applyFill="1" applyBorder="1" applyAlignment="1" applyProtection="1">
      <alignment horizontal="center"/>
    </xf>
    <xf numFmtId="190" fontId="5" fillId="4" borderId="23" xfId="0" applyNumberFormat="1" applyFont="1" applyFill="1" applyBorder="1" applyAlignment="1" applyProtection="1">
      <alignment horizontal="center"/>
    </xf>
    <xf numFmtId="209" fontId="2" fillId="2" borderId="18" xfId="2" applyNumberFormat="1" applyFill="1" applyBorder="1" applyAlignment="1" applyProtection="1">
      <alignment horizontal="center"/>
    </xf>
    <xf numFmtId="2" fontId="0" fillId="0" borderId="0" xfId="0" applyNumberFormat="1" applyAlignment="1" applyProtection="1">
      <alignment horizontal="center"/>
    </xf>
    <xf numFmtId="0" fontId="1" fillId="2" borderId="25" xfId="0" applyFont="1" applyFill="1" applyBorder="1" applyAlignment="1" applyProtection="1">
      <alignment horizontal="center"/>
    </xf>
    <xf numFmtId="0" fontId="0" fillId="0" borderId="31" xfId="0" applyFill="1" applyBorder="1" applyProtection="1"/>
    <xf numFmtId="0" fontId="6" fillId="0" borderId="31" xfId="0" applyFont="1" applyFill="1" applyBorder="1" applyAlignment="1" applyProtection="1">
      <alignment horizontal="center"/>
    </xf>
    <xf numFmtId="0" fontId="5" fillId="0" borderId="31" xfId="0" applyFont="1" applyFill="1" applyBorder="1" applyAlignment="1" applyProtection="1">
      <alignment horizontal="centerContinuous"/>
    </xf>
    <xf numFmtId="0" fontId="0" fillId="0" borderId="31" xfId="0" applyFill="1" applyBorder="1" applyAlignment="1" applyProtection="1">
      <alignment horizontal="centerContinuous"/>
    </xf>
    <xf numFmtId="43" fontId="23" fillId="5" borderId="13" xfId="0" applyNumberFormat="1" applyFont="1" applyFill="1" applyBorder="1" applyAlignment="1" applyProtection="1">
      <alignment horizontal="center"/>
    </xf>
    <xf numFmtId="43" fontId="10" fillId="5" borderId="13" xfId="1" applyNumberFormat="1" applyFont="1" applyFill="1" applyBorder="1" applyAlignment="1" applyProtection="1">
      <alignment horizontal="center"/>
    </xf>
    <xf numFmtId="190" fontId="23" fillId="5" borderId="13" xfId="0" applyNumberFormat="1" applyFont="1" applyFill="1" applyBorder="1" applyAlignment="1" applyProtection="1">
      <alignment horizontal="center"/>
    </xf>
    <xf numFmtId="190" fontId="5" fillId="5" borderId="13" xfId="0" applyNumberFormat="1" applyFont="1" applyFill="1" applyBorder="1" applyAlignment="1" applyProtection="1">
      <alignment horizontal="center"/>
    </xf>
    <xf numFmtId="177" fontId="23" fillId="5" borderId="13" xfId="0" applyNumberFormat="1" applyFont="1" applyFill="1" applyBorder="1" applyAlignment="1" applyProtection="1">
      <alignment horizontal="center"/>
    </xf>
    <xf numFmtId="177" fontId="23" fillId="5" borderId="6" xfId="1" applyNumberFormat="1" applyFont="1" applyFill="1" applyBorder="1" applyAlignment="1" applyProtection="1">
      <alignment horizontal="center"/>
    </xf>
    <xf numFmtId="17" fontId="1" fillId="2" borderId="33" xfId="0" applyNumberFormat="1" applyFont="1" applyFill="1" applyBorder="1" applyProtection="1"/>
    <xf numFmtId="0" fontId="0" fillId="2" borderId="28" xfId="0" applyFill="1" applyBorder="1" applyAlignment="1" applyProtection="1">
      <alignment horizontal="center"/>
    </xf>
    <xf numFmtId="209" fontId="2" fillId="2" borderId="34" xfId="2" applyNumberFormat="1" applyFill="1" applyBorder="1" applyAlignment="1" applyProtection="1">
      <alignment horizontal="center"/>
    </xf>
    <xf numFmtId="190" fontId="0" fillId="0" borderId="0" xfId="0" applyNumberFormat="1"/>
    <xf numFmtId="0" fontId="31" fillId="0" borderId="0" xfId="0" applyFont="1"/>
    <xf numFmtId="17" fontId="1" fillId="5" borderId="0" xfId="0" applyNumberFormat="1" applyFont="1" applyFill="1" applyBorder="1" applyProtection="1"/>
    <xf numFmtId="43" fontId="23" fillId="5" borderId="0" xfId="0" applyNumberFormat="1" applyFont="1" applyFill="1" applyBorder="1" applyAlignment="1" applyProtection="1">
      <alignment horizontal="center"/>
    </xf>
    <xf numFmtId="43" fontId="10" fillId="5" borderId="0" xfId="1" applyNumberFormat="1" applyFont="1" applyFill="1" applyBorder="1" applyAlignment="1" applyProtection="1">
      <alignment horizontal="center"/>
    </xf>
    <xf numFmtId="190" fontId="23" fillId="5" borderId="0" xfId="0" applyNumberFormat="1" applyFont="1" applyFill="1" applyBorder="1" applyAlignment="1" applyProtection="1">
      <alignment horizontal="center"/>
    </xf>
    <xf numFmtId="190" fontId="5" fillId="5" borderId="0" xfId="0" applyNumberFormat="1" applyFont="1" applyFill="1" applyBorder="1" applyAlignment="1" applyProtection="1">
      <alignment horizontal="center"/>
    </xf>
    <xf numFmtId="177" fontId="23" fillId="5" borderId="0" xfId="0" applyNumberFormat="1" applyFont="1" applyFill="1" applyBorder="1" applyAlignment="1" applyProtection="1">
      <alignment horizontal="center"/>
    </xf>
    <xf numFmtId="177" fontId="23" fillId="5" borderId="0" xfId="1" applyNumberFormat="1" applyFont="1" applyFill="1" applyBorder="1" applyAlignment="1" applyProtection="1">
      <alignment horizontal="center"/>
    </xf>
    <xf numFmtId="209" fontId="10" fillId="0" borderId="0" xfId="2" applyNumberFormat="1" applyFont="1" applyBorder="1" applyAlignment="1" applyProtection="1">
      <alignment horizontal="center"/>
      <protection locked="0"/>
    </xf>
    <xf numFmtId="41" fontId="10" fillId="0" borderId="0" xfId="0" applyNumberFormat="1" applyFont="1" applyBorder="1" applyAlignment="1" applyProtection="1">
      <alignment horizontal="center"/>
      <protection locked="0"/>
    </xf>
    <xf numFmtId="17" fontId="1" fillId="0" borderId="0" xfId="0" applyNumberFormat="1" applyFont="1" applyFill="1" applyBorder="1" applyProtection="1"/>
    <xf numFmtId="216" fontId="10" fillId="0" borderId="0" xfId="0" applyNumberFormat="1" applyFont="1" applyFill="1" applyBorder="1" applyAlignment="1" applyProtection="1">
      <alignment horizontal="center"/>
      <protection locked="0"/>
    </xf>
    <xf numFmtId="209" fontId="10" fillId="0" borderId="0" xfId="2" applyNumberFormat="1" applyFont="1" applyFill="1" applyBorder="1" applyAlignment="1" applyProtection="1">
      <alignment horizontal="center"/>
      <protection locked="0"/>
    </xf>
    <xf numFmtId="209" fontId="2" fillId="0" borderId="0" xfId="2" applyNumberFormat="1" applyFill="1" applyBorder="1" applyAlignment="1" applyProtection="1">
      <alignment horizontal="center"/>
    </xf>
    <xf numFmtId="41" fontId="10" fillId="0" borderId="0" xfId="0" applyNumberFormat="1" applyFont="1" applyFill="1" applyBorder="1" applyAlignment="1" applyProtection="1">
      <alignment horizontal="center"/>
      <protection locked="0"/>
    </xf>
    <xf numFmtId="0" fontId="14" fillId="0" borderId="0" xfId="0" applyFont="1"/>
    <xf numFmtId="17" fontId="1" fillId="0" borderId="8" xfId="0" applyNumberFormat="1" applyFont="1" applyFill="1" applyBorder="1" applyProtection="1"/>
    <xf numFmtId="190" fontId="7" fillId="0" borderId="24" xfId="0" applyNumberFormat="1" applyFont="1" applyBorder="1" applyAlignment="1">
      <alignment horizontal="center"/>
    </xf>
    <xf numFmtId="17" fontId="1" fillId="0" borderId="13" xfId="0" applyNumberFormat="1" applyFont="1" applyFill="1" applyBorder="1" applyProtection="1"/>
    <xf numFmtId="43" fontId="0" fillId="0" borderId="0" xfId="1" applyNumberFormat="1" applyFont="1"/>
    <xf numFmtId="0" fontId="5" fillId="0" borderId="0" xfId="0" applyFont="1"/>
    <xf numFmtId="2" fontId="10" fillId="3" borderId="0" xfId="0" applyNumberFormat="1" applyFont="1" applyFill="1" applyBorder="1" applyAlignment="1" applyProtection="1">
      <alignment horizontal="center"/>
    </xf>
    <xf numFmtId="2" fontId="10" fillId="9" borderId="0" xfId="0" applyNumberFormat="1" applyFont="1" applyFill="1" applyBorder="1" applyAlignment="1" applyProtection="1">
      <alignment horizontal="center"/>
    </xf>
    <xf numFmtId="2" fontId="10" fillId="9" borderId="19" xfId="0" applyNumberFormat="1" applyFont="1" applyFill="1" applyBorder="1" applyAlignment="1" applyProtection="1">
      <alignment horizontal="center"/>
    </xf>
    <xf numFmtId="2" fontId="10" fillId="9" borderId="25" xfId="0" applyNumberFormat="1" applyFont="1" applyFill="1" applyBorder="1" applyAlignment="1" applyProtection="1">
      <alignment horizontal="center"/>
    </xf>
    <xf numFmtId="2" fontId="10" fillId="10" borderId="0" xfId="0" applyNumberFormat="1" applyFont="1" applyFill="1" applyBorder="1" applyAlignment="1" applyProtection="1">
      <alignment horizontal="center"/>
    </xf>
    <xf numFmtId="191" fontId="7" fillId="0" borderId="24" xfId="0" applyNumberFormat="1" applyFont="1" applyBorder="1" applyAlignment="1">
      <alignment horizontal="center"/>
    </xf>
    <xf numFmtId="43" fontId="0" fillId="0" borderId="0" xfId="0" applyNumberFormat="1"/>
    <xf numFmtId="17" fontId="7" fillId="4" borderId="19" xfId="0" applyNumberFormat="1" applyFont="1" applyFill="1" applyBorder="1" applyProtection="1"/>
    <xf numFmtId="39" fontId="7" fillId="4" borderId="25" xfId="0" applyNumberFormat="1" applyFont="1" applyFill="1" applyBorder="1" applyAlignment="1" applyProtection="1">
      <alignment horizontal="center"/>
    </xf>
    <xf numFmtId="17" fontId="7" fillId="5" borderId="9" xfId="0" applyNumberFormat="1" applyFont="1" applyFill="1" applyBorder="1" applyProtection="1"/>
    <xf numFmtId="39" fontId="7" fillId="5" borderId="10" xfId="0" applyNumberFormat="1" applyFont="1" applyFill="1" applyBorder="1" applyAlignment="1" applyProtection="1">
      <alignment horizontal="center"/>
    </xf>
    <xf numFmtId="17" fontId="7" fillId="5" borderId="19" xfId="0" applyNumberFormat="1" applyFont="1" applyFill="1" applyBorder="1" applyProtection="1"/>
    <xf numFmtId="39" fontId="7" fillId="5" borderId="25" xfId="0" applyNumberFormat="1" applyFont="1" applyFill="1" applyBorder="1" applyAlignment="1" applyProtection="1">
      <alignment horizontal="center"/>
    </xf>
    <xf numFmtId="17" fontId="7" fillId="4" borderId="5" xfId="0" applyNumberFormat="1" applyFont="1" applyFill="1" applyBorder="1" applyProtection="1"/>
    <xf numFmtId="39" fontId="7" fillId="4" borderId="6" xfId="0" applyNumberFormat="1" applyFont="1" applyFill="1" applyBorder="1" applyAlignment="1" applyProtection="1">
      <alignment horizontal="center"/>
    </xf>
    <xf numFmtId="39" fontId="7" fillId="5" borderId="19" xfId="1" applyNumberFormat="1" applyFont="1" applyFill="1" applyBorder="1" applyAlignment="1" applyProtection="1">
      <alignment horizontal="center"/>
    </xf>
    <xf numFmtId="39" fontId="7" fillId="4" borderId="19" xfId="1" applyNumberFormat="1" applyFont="1" applyFill="1" applyBorder="1" applyAlignment="1" applyProtection="1">
      <alignment horizontal="center"/>
    </xf>
    <xf numFmtId="39" fontId="7" fillId="5" borderId="5" xfId="1" applyNumberFormat="1" applyFont="1" applyFill="1" applyBorder="1" applyAlignment="1" applyProtection="1">
      <alignment horizontal="center"/>
    </xf>
    <xf numFmtId="0" fontId="0" fillId="0" borderId="0" xfId="1" applyNumberFormat="1" applyFont="1"/>
    <xf numFmtId="37" fontId="7" fillId="5" borderId="8" xfId="0" applyNumberFormat="1" applyFont="1" applyFill="1" applyBorder="1" applyAlignment="1" applyProtection="1">
      <alignment horizontal="center"/>
    </xf>
    <xf numFmtId="37" fontId="7" fillId="4" borderId="23" xfId="1" applyNumberFormat="1" applyFont="1" applyFill="1" applyBorder="1" applyAlignment="1" applyProtection="1">
      <alignment horizontal="center"/>
    </xf>
    <xf numFmtId="37" fontId="7" fillId="4" borderId="23" xfId="0" applyNumberFormat="1" applyFont="1" applyFill="1" applyBorder="1" applyAlignment="1" applyProtection="1">
      <alignment horizontal="center"/>
    </xf>
    <xf numFmtId="37" fontId="7" fillId="5" borderId="23" xfId="0" applyNumberFormat="1" applyFont="1" applyFill="1" applyBorder="1" applyAlignment="1" applyProtection="1">
      <alignment horizontal="center"/>
    </xf>
    <xf numFmtId="37" fontId="7" fillId="5" borderId="23" xfId="1" applyNumberFormat="1" applyFont="1" applyFill="1" applyBorder="1" applyAlignment="1" applyProtection="1">
      <alignment horizontal="center"/>
    </xf>
    <xf numFmtId="0" fontId="7" fillId="4" borderId="23" xfId="0" applyNumberFormat="1" applyFont="1" applyFill="1" applyBorder="1" applyProtection="1"/>
    <xf numFmtId="0" fontId="7" fillId="5" borderId="23" xfId="0" applyNumberFormat="1" applyFont="1" applyFill="1" applyBorder="1" applyProtection="1"/>
    <xf numFmtId="0" fontId="0" fillId="0" borderId="0" xfId="1" applyNumberFormat="1" applyFont="1" applyFill="1" applyBorder="1"/>
    <xf numFmtId="177" fontId="0" fillId="0" borderId="0" xfId="0" applyNumberFormat="1" applyFill="1" applyBorder="1"/>
    <xf numFmtId="0" fontId="7" fillId="5" borderId="13" xfId="0" applyNumberFormat="1" applyFont="1" applyFill="1" applyBorder="1" applyProtection="1"/>
    <xf numFmtId="37" fontId="7" fillId="5" borderId="13" xfId="0" applyNumberFormat="1" applyFont="1" applyFill="1" applyBorder="1" applyAlignment="1" applyProtection="1">
      <alignment horizontal="center"/>
    </xf>
    <xf numFmtId="37" fontId="7" fillId="5" borderId="13" xfId="1" applyNumberFormat="1" applyFont="1" applyFill="1" applyBorder="1" applyAlignment="1" applyProtection="1">
      <alignment horizontal="center"/>
    </xf>
    <xf numFmtId="0" fontId="7" fillId="0" borderId="24" xfId="0" applyFont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22" xfId="0" applyFont="1" applyFill="1" applyBorder="1" applyAlignment="1">
      <alignment horizontal="center"/>
    </xf>
    <xf numFmtId="208" fontId="0" fillId="0" borderId="0" xfId="0" applyNumberFormat="1" applyProtection="1"/>
    <xf numFmtId="0" fontId="11" fillId="0" borderId="0" xfId="0" applyFont="1" applyAlignment="1" applyProtection="1">
      <alignment horizontal="center"/>
    </xf>
    <xf numFmtId="194" fontId="14" fillId="2" borderId="9" xfId="0" applyNumberFormat="1" applyFont="1" applyFill="1" applyBorder="1" applyAlignment="1" applyProtection="1">
      <alignment horizontal="center"/>
    </xf>
    <xf numFmtId="194" fontId="14" fillId="2" borderId="10" xfId="0" applyNumberFormat="1" applyFont="1" applyFill="1" applyBorder="1" applyAlignment="1" applyProtection="1">
      <alignment horizontal="center"/>
    </xf>
  </cellXfs>
  <cellStyles count="5">
    <cellStyle name="Comma" xfId="1" builtinId="3"/>
    <cellStyle name="Currency" xfId="2" builtinId="4"/>
    <cellStyle name="Normal" xfId="0" builtinId="0"/>
    <cellStyle name="Normal_INT" xfId="3"/>
    <cellStyle name="Normal_Interest" xfId="4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ctrlProps/ctrlProp4.xml><?xml version="1.0" encoding="utf-8"?>
<formControlPr xmlns="http://schemas.microsoft.com/office/spreadsheetml/2009/9/main" objectType="Button" lockText="1"/>
</file>

<file path=xl/ctrlProps/ctrlProp5.xml><?xml version="1.0" encoding="utf-8"?>
<formControlPr xmlns="http://schemas.microsoft.com/office/spreadsheetml/2009/9/main" objectType="Button" lockText="1"/>
</file>

<file path=xl/ctrlProps/ctrlProp6.xml><?xml version="1.0" encoding="utf-8"?>
<formControlPr xmlns="http://schemas.microsoft.com/office/spreadsheetml/2009/9/main" objectType="Button" lockText="1"/>
</file>

<file path=xl/ctrlProps/ctrlProp7.xml><?xml version="1.0" encoding="utf-8"?>
<formControlPr xmlns="http://schemas.microsoft.com/office/spreadsheetml/2009/9/main" objectType="Button" lockText="1"/>
</file>

<file path=xl/ctrlProps/ctrlProp8.xml><?xml version="1.0" encoding="utf-8"?>
<formControlPr xmlns="http://schemas.microsoft.com/office/spreadsheetml/2009/9/main" objectType="Button" lockText="1"/>
</file>

<file path=xl/ctrlProps/ctrlProp9.xml><?xml version="1.0" encoding="utf-8"?>
<formControlPr xmlns="http://schemas.microsoft.com/office/spreadsheetml/2009/9/main" objectType="Button" lockText="1"/>
</file>

<file path=xl/ctrlProps/ctrlProp10.xml><?xml version="1.0" encoding="utf-8"?>
<formControlPr xmlns="http://schemas.microsoft.com/office/spreadsheetml/2009/9/main" objectType="Button" lockText="1"/>
</file>

<file path=xl/ctrlProps/ctrlProp1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1</xdr:row>
          <xdr:rowOff>0</xdr:rowOff>
        </xdr:from>
        <xdr:to>
          <xdr:col>4</xdr:col>
          <xdr:colOff>95250</xdr:colOff>
          <xdr:row>2</xdr:row>
          <xdr:rowOff>95250</xdr:rowOff>
        </xdr:to>
        <xdr:sp macro="" textlink="">
          <xdr:nvSpPr>
            <xdr:cNvPr id="7176" name="Button 8" hidden="1">
              <a:extLst>
                <a:ext uri="{63B3BB69-23CF-44E3-9099-C40C66FF867C}">
                  <a14:compatExt spid="_x0000_s7176"/>
                </a:ext>
                <a:ext uri="{FF2B5EF4-FFF2-40B4-BE49-F238E27FC236}">
                  <a16:creationId xmlns:a16="http://schemas.microsoft.com/office/drawing/2014/main" id="{BD196BD9-5DF9-CBCB-E2D1-275EDE4F8EF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PRINT SUM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2</xdr:row>
          <xdr:rowOff>219075</xdr:rowOff>
        </xdr:from>
        <xdr:to>
          <xdr:col>4</xdr:col>
          <xdr:colOff>104775</xdr:colOff>
          <xdr:row>4</xdr:row>
          <xdr:rowOff>85725</xdr:rowOff>
        </xdr:to>
        <xdr:sp macro="" textlink="">
          <xdr:nvSpPr>
            <xdr:cNvPr id="7177" name="Button 9" hidden="1">
              <a:extLst>
                <a:ext uri="{63B3BB69-23CF-44E3-9099-C40C66FF867C}">
                  <a14:compatExt spid="_x0000_s7177"/>
                </a:ext>
                <a:ext uri="{FF2B5EF4-FFF2-40B4-BE49-F238E27FC236}">
                  <a16:creationId xmlns:a16="http://schemas.microsoft.com/office/drawing/2014/main" id="{90125057-A148-72D2-B6F4-4769831B6E5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ROLL SHEET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</xdr:col>
          <xdr:colOff>9525</xdr:colOff>
          <xdr:row>4</xdr:row>
          <xdr:rowOff>152400</xdr:rowOff>
        </xdr:from>
        <xdr:to>
          <xdr:col>4</xdr:col>
          <xdr:colOff>95250</xdr:colOff>
          <xdr:row>6</xdr:row>
          <xdr:rowOff>38100</xdr:rowOff>
        </xdr:to>
        <xdr:sp macro="" textlink="">
          <xdr:nvSpPr>
            <xdr:cNvPr id="7178" name="Button 10" hidden="1">
              <a:extLst>
                <a:ext uri="{63B3BB69-23CF-44E3-9099-C40C66FF867C}">
                  <a14:compatExt spid="_x0000_s7178"/>
                </a:ext>
                <a:ext uri="{FF2B5EF4-FFF2-40B4-BE49-F238E27FC236}">
                  <a16:creationId xmlns:a16="http://schemas.microsoft.com/office/drawing/2014/main" id="{98E88211-D6B5-5723-A9A5-AD38B617DB6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FF0000"/>
                  </a:solidFill>
                  <a:latin typeface="Arial"/>
                  <a:cs typeface="Arial"/>
                </a:rPr>
                <a:t>END DAY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10</xdr:row>
          <xdr:rowOff>161925</xdr:rowOff>
        </xdr:from>
        <xdr:to>
          <xdr:col>12</xdr:col>
          <xdr:colOff>38100</xdr:colOff>
          <xdr:row>13</xdr:row>
          <xdr:rowOff>85725</xdr:rowOff>
        </xdr:to>
        <xdr:sp macro="" textlink="">
          <xdr:nvSpPr>
            <xdr:cNvPr id="8193" name="Button 1" hidden="1">
              <a:extLst>
                <a:ext uri="{63B3BB69-23CF-44E3-9099-C40C66FF867C}">
                  <a14:compatExt spid="_x0000_s8193"/>
                </a:ext>
                <a:ext uri="{FF2B5EF4-FFF2-40B4-BE49-F238E27FC236}">
                  <a16:creationId xmlns:a16="http://schemas.microsoft.com/office/drawing/2014/main" id="{60A54E45-F987-16AC-A7BA-2D7C5DC6272E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10</xdr:row>
          <xdr:rowOff>161925</xdr:rowOff>
        </xdr:from>
        <xdr:to>
          <xdr:col>12</xdr:col>
          <xdr:colOff>38100</xdr:colOff>
          <xdr:row>13</xdr:row>
          <xdr:rowOff>85725</xdr:rowOff>
        </xdr:to>
        <xdr:sp macro="" textlink="">
          <xdr:nvSpPr>
            <xdr:cNvPr id="8196" name="Button 4" hidden="1">
              <a:extLst>
                <a:ext uri="{63B3BB69-23CF-44E3-9099-C40C66FF867C}">
                  <a14:compatExt spid="_x0000_s8196"/>
                </a:ext>
                <a:ext uri="{FF2B5EF4-FFF2-40B4-BE49-F238E27FC236}">
                  <a16:creationId xmlns:a16="http://schemas.microsoft.com/office/drawing/2014/main" id="{0EBEBACE-6939-FEAC-1402-26D0FDFF86A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198</xdr:row>
          <xdr:rowOff>161925</xdr:rowOff>
        </xdr:from>
        <xdr:to>
          <xdr:col>12</xdr:col>
          <xdr:colOff>38100</xdr:colOff>
          <xdr:row>201</xdr:row>
          <xdr:rowOff>85725</xdr:rowOff>
        </xdr:to>
        <xdr:sp macro="" textlink="">
          <xdr:nvSpPr>
            <xdr:cNvPr id="8197" name="Button 5" hidden="1">
              <a:extLst>
                <a:ext uri="{63B3BB69-23CF-44E3-9099-C40C66FF867C}">
                  <a14:compatExt spid="_x0000_s8197"/>
                </a:ext>
                <a:ext uri="{FF2B5EF4-FFF2-40B4-BE49-F238E27FC236}">
                  <a16:creationId xmlns:a16="http://schemas.microsoft.com/office/drawing/2014/main" id="{E8C68A10-67FB-7AE1-0D48-B2220EDB6B4C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198</xdr:row>
          <xdr:rowOff>161925</xdr:rowOff>
        </xdr:from>
        <xdr:to>
          <xdr:col>12</xdr:col>
          <xdr:colOff>38100</xdr:colOff>
          <xdr:row>201</xdr:row>
          <xdr:rowOff>85725</xdr:rowOff>
        </xdr:to>
        <xdr:sp macro="" textlink="">
          <xdr:nvSpPr>
            <xdr:cNvPr id="8198" name="Button 6" hidden="1">
              <a:extLst>
                <a:ext uri="{63B3BB69-23CF-44E3-9099-C40C66FF867C}">
                  <a14:compatExt spid="_x0000_s8198"/>
                </a:ext>
                <a:ext uri="{FF2B5EF4-FFF2-40B4-BE49-F238E27FC236}">
                  <a16:creationId xmlns:a16="http://schemas.microsoft.com/office/drawing/2014/main" id="{7E2D24D7-B1F2-F7C4-8C65-FA0BE527FBE5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Basis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327</xdr:row>
          <xdr:rowOff>161925</xdr:rowOff>
        </xdr:from>
        <xdr:to>
          <xdr:col>12</xdr:col>
          <xdr:colOff>38100</xdr:colOff>
          <xdr:row>330</xdr:row>
          <xdr:rowOff>85725</xdr:rowOff>
        </xdr:to>
        <xdr:sp macro="" textlink="">
          <xdr:nvSpPr>
            <xdr:cNvPr id="8201" name="Button 9" hidden="1">
              <a:extLst>
                <a:ext uri="{63B3BB69-23CF-44E3-9099-C40C66FF867C}">
                  <a14:compatExt spid="_x0000_s8201"/>
                </a:ext>
                <a:ext uri="{FF2B5EF4-FFF2-40B4-BE49-F238E27FC236}">
                  <a16:creationId xmlns:a16="http://schemas.microsoft.com/office/drawing/2014/main" id="{8409FAA3-BB67-EF2E-E5ED-C5727ECF063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NYMEX Position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10</xdr:col>
          <xdr:colOff>962025</xdr:colOff>
          <xdr:row>327</xdr:row>
          <xdr:rowOff>161925</xdr:rowOff>
        </xdr:from>
        <xdr:to>
          <xdr:col>12</xdr:col>
          <xdr:colOff>38100</xdr:colOff>
          <xdr:row>330</xdr:row>
          <xdr:rowOff>85725</xdr:rowOff>
        </xdr:to>
        <xdr:sp macro="" textlink="">
          <xdr:nvSpPr>
            <xdr:cNvPr id="8202" name="Button 10" hidden="1">
              <a:extLst>
                <a:ext uri="{63B3BB69-23CF-44E3-9099-C40C66FF867C}">
                  <a14:compatExt spid="_x0000_s8202"/>
                </a:ext>
                <a:ext uri="{FF2B5EF4-FFF2-40B4-BE49-F238E27FC236}">
                  <a16:creationId xmlns:a16="http://schemas.microsoft.com/office/drawing/2014/main" id="{F43B4788-994F-288F-E79E-C3256BC01036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en-US" sz="1000" b="1" i="0" u="none" strike="noStrike" baseline="0">
                  <a:solidFill>
                    <a:srgbClr val="0000FF"/>
                  </a:solidFill>
                  <a:latin typeface="Arial"/>
                  <a:cs typeface="Arial"/>
                </a:rPr>
                <a:t>Update Gas Daily Position</a:t>
              </a:r>
            </a:p>
          </xdr:txBody>
        </xdr:sp>
        <xdr:clientData fPrintsWithSheet="0"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8</xdr:col>
          <xdr:colOff>123825</xdr:colOff>
          <xdr:row>0</xdr:row>
          <xdr:rowOff>47625</xdr:rowOff>
        </xdr:from>
        <xdr:to>
          <xdr:col>9</xdr:col>
          <xdr:colOff>581025</xdr:colOff>
          <xdr:row>2</xdr:row>
          <xdr:rowOff>28575</xdr:rowOff>
        </xdr:to>
        <xdr:sp macro="" textlink="">
          <xdr:nvSpPr>
            <xdr:cNvPr id="6145" name="Button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DDD9CCC3-06E1-435E-98AB-213B1B98C427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Old Curves</a:t>
              </a:r>
            </a:p>
          </xdr:txBody>
        </xdr:sp>
        <xdr:clientData fPrintsWithSheet="0"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17</xdr:col>
          <xdr:colOff>0</xdr:colOff>
          <xdr:row>4</xdr:row>
          <xdr:rowOff>0</xdr:rowOff>
        </xdr:from>
        <xdr:to>
          <xdr:col>18</xdr:col>
          <xdr:colOff>476250</xdr:colOff>
          <xdr:row>6</xdr:row>
          <xdr:rowOff>19050</xdr:rowOff>
        </xdr:to>
        <xdr:sp macro="" textlink="">
          <xdr:nvSpPr>
            <xdr:cNvPr id="6147" name="Object 3" hidden="1">
              <a:extLst>
                <a:ext uri="{63B3BB69-23CF-44E3-9099-C40C66FF867C}">
                  <a14:compatExt spid="_x0000_s6147"/>
                </a:ext>
                <a:ext uri="{FF2B5EF4-FFF2-40B4-BE49-F238E27FC236}">
                  <a16:creationId xmlns:a16="http://schemas.microsoft.com/office/drawing/2014/main" id="{1E2BECA8-7CCA-9381-6F43-F9FF63621D7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30</xdr:col>
          <xdr:colOff>342900</xdr:colOff>
          <xdr:row>1</xdr:row>
          <xdr:rowOff>142875</xdr:rowOff>
        </xdr:from>
        <xdr:to>
          <xdr:col>32</xdr:col>
          <xdr:colOff>114300</xdr:colOff>
          <xdr:row>4</xdr:row>
          <xdr:rowOff>0</xdr:rowOff>
        </xdr:to>
        <xdr:sp macro="" textlink="">
          <xdr:nvSpPr>
            <xdr:cNvPr id="6148" name="Button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1FEAA1A0-8397-FB60-54A3-4B3A6F77DE3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18288" rIns="27432" bIns="18288" anchor="ctr" upright="1"/>
            <a:lstStyle/>
            <a:p>
              <a:pPr algn="ctr" rtl="0">
                <a:defRPr sz="1000"/>
              </a:pPr>
              <a:r>
                <a:rPr 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Get New Curves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0122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NEW_SYS\ERCOT\TXSUM-old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M:\power2\Curve\Alberta\alberta41025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ddeLink xmlns:r="http://schemas.openxmlformats.org/officeDocument/2006/relationships" ddeService="TWINDDE" ddeTopic="Telerate">
    <ddeItems>
      <ddeItem name="8813 3 1 27 15" preferPic="1"/>
    </ddeItems>
  </ddeLin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/>
      <sheetData sheetId="1"/>
      <sheetData sheetId="2"/>
      <sheetData sheetId="3"/>
      <sheetData sheetId="4"/>
      <sheetData sheetId="5"/>
      <sheetData sheetId="6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radeSum"/>
      <sheetName val="OthNewDeals"/>
      <sheetName val="Peak Graph"/>
      <sheetName val="Price Summary"/>
      <sheetName val="Interest"/>
      <sheetName val="NymexData"/>
      <sheetName val="NG"/>
      <sheetName val="Module1"/>
      <sheetName val="Module2"/>
    </sheetNames>
    <definedNames>
      <definedName name="NYMEX_Pos"/>
    </definedNames>
    <sheetDataSet>
      <sheetData sheetId="0"/>
      <sheetData sheetId="1"/>
      <sheetData sheetId="2" refreshError="1"/>
      <sheetData sheetId="3"/>
      <sheetData sheetId="4"/>
      <sheetData sheetId="5"/>
      <sheetData sheetId="6"/>
      <sheetData sheetId="7" refreshError="1"/>
      <sheetData sheetId="8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op"/>
      <sheetName val="OtherPosn"/>
      <sheetName val="EnergyCurve"/>
      <sheetName val="OperatingCurve"/>
      <sheetName val="Tregion"/>
      <sheetName val="Tbasis"/>
      <sheetName val="Cd"/>
    </sheetNames>
    <sheetDataSet>
      <sheetData sheetId="0">
        <row r="4">
          <cell r="B4">
            <v>37189</v>
          </cell>
        </row>
        <row r="5">
          <cell r="D5">
            <v>37188</v>
          </cell>
        </row>
      </sheetData>
      <sheetData sheetId="1"/>
      <sheetData sheetId="2">
        <row r="3">
          <cell r="D3">
            <v>37190</v>
          </cell>
          <cell r="F3">
            <v>5.5</v>
          </cell>
          <cell r="O3">
            <v>5133.45361328125</v>
          </cell>
          <cell r="P3">
            <v>2390.0146484375</v>
          </cell>
          <cell r="Q3">
            <v>0</v>
          </cell>
          <cell r="R3">
            <v>0</v>
          </cell>
          <cell r="T3">
            <v>30624.009521484375</v>
          </cell>
        </row>
        <row r="4">
          <cell r="D4">
            <v>37191</v>
          </cell>
          <cell r="F4">
            <v>4.5</v>
          </cell>
          <cell r="O4">
            <v>0</v>
          </cell>
          <cell r="P4">
            <v>2390.77490234375</v>
          </cell>
          <cell r="Q4">
            <v>5166.43798828125</v>
          </cell>
          <cell r="R4">
            <v>0</v>
          </cell>
          <cell r="T4">
            <v>23248.970947265625</v>
          </cell>
        </row>
        <row r="5">
          <cell r="D5">
            <v>37192</v>
          </cell>
          <cell r="F5">
            <v>4.5</v>
          </cell>
          <cell r="O5">
            <v>0</v>
          </cell>
          <cell r="P5">
            <v>2726.51220703125</v>
          </cell>
          <cell r="Q5">
            <v>0</v>
          </cell>
          <cell r="R5">
            <v>4781.7099609375</v>
          </cell>
          <cell r="T5">
            <v>21517.69482421875</v>
          </cell>
        </row>
        <row r="6">
          <cell r="D6">
            <v>37193</v>
          </cell>
          <cell r="F6">
            <v>-1.25</v>
          </cell>
          <cell r="O6">
            <v>5313.78759765625</v>
          </cell>
          <cell r="P6">
            <v>2480.259521484375</v>
          </cell>
          <cell r="Q6">
            <v>0</v>
          </cell>
          <cell r="R6">
            <v>0</v>
          </cell>
          <cell r="T6">
            <v>-4161.9749755859375</v>
          </cell>
        </row>
        <row r="7">
          <cell r="D7">
            <v>37194</v>
          </cell>
          <cell r="F7">
            <v>-1.25</v>
          </cell>
          <cell r="O7">
            <v>5366.24169921875</v>
          </cell>
          <cell r="P7">
            <v>2506.511474609375</v>
          </cell>
          <cell r="Q7">
            <v>0</v>
          </cell>
          <cell r="R7">
            <v>0</v>
          </cell>
          <cell r="T7">
            <v>-4201.2906494140625</v>
          </cell>
        </row>
        <row r="8">
          <cell r="D8">
            <v>37195</v>
          </cell>
          <cell r="F8">
            <v>-1.25</v>
          </cell>
          <cell r="O8">
            <v>5413.26904296875</v>
          </cell>
          <cell r="P8">
            <v>2530.0859375</v>
          </cell>
          <cell r="Q8">
            <v>0</v>
          </cell>
          <cell r="R8">
            <v>0</v>
          </cell>
          <cell r="T8">
            <v>-4236.5003662109375</v>
          </cell>
        </row>
        <row r="9">
          <cell r="D9">
            <v>37196</v>
          </cell>
          <cell r="F9">
            <v>-2</v>
          </cell>
          <cell r="O9">
            <v>4232.02880859375</v>
          </cell>
          <cell r="P9">
            <v>1944.88427734375</v>
          </cell>
          <cell r="Q9">
            <v>0</v>
          </cell>
          <cell r="R9">
            <v>0</v>
          </cell>
          <cell r="T9">
            <v>-9514.2951269531259</v>
          </cell>
        </row>
        <row r="10">
          <cell r="D10">
            <v>37197</v>
          </cell>
          <cell r="F10">
            <v>-2</v>
          </cell>
          <cell r="O10">
            <v>4268.4560546875</v>
          </cell>
          <cell r="P10">
            <v>1963.1378173828125</v>
          </cell>
          <cell r="Q10">
            <v>0</v>
          </cell>
          <cell r="R10">
            <v>0</v>
          </cell>
          <cell r="T10">
            <v>-9597.0065307617188</v>
          </cell>
        </row>
        <row r="11">
          <cell r="D11">
            <v>37198</v>
          </cell>
          <cell r="F11">
            <v>-0.83</v>
          </cell>
          <cell r="O11">
            <v>0</v>
          </cell>
          <cell r="P11">
            <v>1917.8115234375</v>
          </cell>
          <cell r="Q11">
            <v>4217.1865234375</v>
          </cell>
          <cell r="R11">
            <v>0</v>
          </cell>
          <cell r="T11">
            <v>-4535.8830371093754</v>
          </cell>
        </row>
        <row r="12">
          <cell r="D12">
            <v>37199</v>
          </cell>
          <cell r="F12">
            <v>-0.83</v>
          </cell>
          <cell r="O12">
            <v>0</v>
          </cell>
          <cell r="P12">
            <v>1931.7904052734375</v>
          </cell>
          <cell r="Q12">
            <v>0</v>
          </cell>
          <cell r="R12">
            <v>3846.51953125</v>
          </cell>
          <cell r="T12">
            <v>-4235.7780297851559</v>
          </cell>
        </row>
        <row r="13">
          <cell r="D13">
            <v>37200</v>
          </cell>
          <cell r="F13">
            <v>-2</v>
          </cell>
          <cell r="O13">
            <v>4360.3935546875</v>
          </cell>
          <cell r="P13">
            <v>2009.457763671875</v>
          </cell>
          <cell r="Q13">
            <v>0</v>
          </cell>
          <cell r="R13">
            <v>0</v>
          </cell>
          <cell r="T13">
            <v>-9805.8943017578131</v>
          </cell>
        </row>
        <row r="14">
          <cell r="D14">
            <v>37201</v>
          </cell>
          <cell r="F14">
            <v>-2</v>
          </cell>
          <cell r="O14">
            <v>4386.3203125</v>
          </cell>
          <cell r="P14">
            <v>2022.6182861328125</v>
          </cell>
          <cell r="Q14">
            <v>0</v>
          </cell>
          <cell r="R14">
            <v>0</v>
          </cell>
          <cell r="T14">
            <v>-9864.854499511719</v>
          </cell>
        </row>
        <row r="15">
          <cell r="D15">
            <v>37202</v>
          </cell>
          <cell r="F15">
            <v>-2</v>
          </cell>
          <cell r="O15">
            <v>4410.71875</v>
          </cell>
          <cell r="P15">
            <v>2035.048095703125</v>
          </cell>
          <cell r="Q15">
            <v>0</v>
          </cell>
          <cell r="R15">
            <v>0</v>
          </cell>
          <cell r="T15">
            <v>-9920.3634716796878</v>
          </cell>
        </row>
        <row r="16">
          <cell r="D16">
            <v>37203</v>
          </cell>
          <cell r="F16">
            <v>-2</v>
          </cell>
          <cell r="O16">
            <v>4433.54736328125</v>
          </cell>
          <cell r="P16">
            <v>2046.73876953125</v>
          </cell>
          <cell r="Q16">
            <v>0</v>
          </cell>
          <cell r="R16">
            <v>0</v>
          </cell>
          <cell r="T16">
            <v>-9972.3336621093749</v>
          </cell>
        </row>
        <row r="17">
          <cell r="D17">
            <v>37204</v>
          </cell>
          <cell r="F17">
            <v>-2</v>
          </cell>
          <cell r="O17">
            <v>4454.99951171875</v>
          </cell>
          <cell r="P17">
            <v>2057.78662109375</v>
          </cell>
          <cell r="Q17">
            <v>0</v>
          </cell>
          <cell r="R17">
            <v>0</v>
          </cell>
          <cell r="T17">
            <v>-10021.203798828124</v>
          </cell>
        </row>
        <row r="18">
          <cell r="D18">
            <v>37205</v>
          </cell>
          <cell r="F18">
            <v>-0.83</v>
          </cell>
          <cell r="O18">
            <v>0</v>
          </cell>
          <cell r="P18">
            <v>2003.0771484375</v>
          </cell>
          <cell r="Q18">
            <v>4386.38525390625</v>
          </cell>
          <cell r="R18">
            <v>0</v>
          </cell>
          <cell r="T18">
            <v>-4722.3614208984372</v>
          </cell>
        </row>
        <row r="19">
          <cell r="D19">
            <v>37206</v>
          </cell>
          <cell r="F19">
            <v>-0.83</v>
          </cell>
          <cell r="O19">
            <v>0</v>
          </cell>
          <cell r="P19">
            <v>2013.271728515625</v>
          </cell>
          <cell r="Q19">
            <v>0</v>
          </cell>
          <cell r="R19">
            <v>4009.412353515625</v>
          </cell>
          <cell r="T19">
            <v>-4414.9789868164062</v>
          </cell>
        </row>
        <row r="20">
          <cell r="D20">
            <v>37207</v>
          </cell>
          <cell r="F20">
            <v>-2</v>
          </cell>
          <cell r="O20">
            <v>4516.19921875</v>
          </cell>
          <cell r="P20">
            <v>2087.885009765625</v>
          </cell>
          <cell r="Q20">
            <v>0</v>
          </cell>
          <cell r="R20">
            <v>0</v>
          </cell>
          <cell r="T20">
            <v>-10159.856342773437</v>
          </cell>
        </row>
        <row r="21">
          <cell r="D21">
            <v>37208</v>
          </cell>
          <cell r="F21">
            <v>-2</v>
          </cell>
          <cell r="O21">
            <v>4530.09814453125</v>
          </cell>
          <cell r="P21">
            <v>2097.039794921875</v>
          </cell>
          <cell r="Q21">
            <v>0</v>
          </cell>
          <cell r="R21">
            <v>0</v>
          </cell>
          <cell r="T21">
            <v>-10192.597778320313</v>
          </cell>
        </row>
        <row r="22">
          <cell r="D22">
            <v>37209</v>
          </cell>
          <cell r="F22">
            <v>-2</v>
          </cell>
          <cell r="O22">
            <v>4546.7392578125</v>
          </cell>
          <cell r="P22">
            <v>2105.878173828125</v>
          </cell>
          <cell r="Q22">
            <v>0</v>
          </cell>
          <cell r="R22">
            <v>0</v>
          </cell>
          <cell r="T22">
            <v>-10230.652729492187</v>
          </cell>
        </row>
        <row r="23">
          <cell r="D23">
            <v>37210</v>
          </cell>
          <cell r="F23">
            <v>-2</v>
          </cell>
          <cell r="O23">
            <v>4562.70849609375</v>
          </cell>
          <cell r="P23">
            <v>2114.41162109375</v>
          </cell>
          <cell r="Q23">
            <v>0</v>
          </cell>
          <cell r="R23">
            <v>0</v>
          </cell>
          <cell r="T23">
            <v>-10267.199267578126</v>
          </cell>
        </row>
        <row r="24">
          <cell r="D24">
            <v>37211</v>
          </cell>
          <cell r="F24">
            <v>-2</v>
          </cell>
          <cell r="O24">
            <v>4577.98583984375</v>
          </cell>
          <cell r="P24">
            <v>2122.627685546875</v>
          </cell>
          <cell r="Q24">
            <v>0</v>
          </cell>
          <cell r="R24">
            <v>0</v>
          </cell>
          <cell r="T24">
            <v>-10302.190629882813</v>
          </cell>
        </row>
        <row r="25">
          <cell r="D25">
            <v>37212</v>
          </cell>
          <cell r="F25">
            <v>-0.83</v>
          </cell>
          <cell r="O25">
            <v>0</v>
          </cell>
          <cell r="P25">
            <v>2067.39599609375</v>
          </cell>
          <cell r="Q25">
            <v>4511.0634765625</v>
          </cell>
          <cell r="R25">
            <v>0</v>
          </cell>
          <cell r="T25">
            <v>-4860.5765234374994</v>
          </cell>
        </row>
        <row r="26">
          <cell r="D26">
            <v>37213</v>
          </cell>
          <cell r="F26">
            <v>-0.83</v>
          </cell>
          <cell r="O26">
            <v>0</v>
          </cell>
          <cell r="P26">
            <v>2075.54052734375</v>
          </cell>
          <cell r="Q26">
            <v>0</v>
          </cell>
          <cell r="R26">
            <v>4133.94970703125</v>
          </cell>
          <cell r="T26">
            <v>-4551.9701416015623</v>
          </cell>
        </row>
        <row r="27">
          <cell r="D27">
            <v>37214</v>
          </cell>
          <cell r="F27">
            <v>-2</v>
          </cell>
          <cell r="O27">
            <v>4621.0576171875</v>
          </cell>
          <cell r="P27">
            <v>2146.0390625</v>
          </cell>
          <cell r="Q27">
            <v>0</v>
          </cell>
          <cell r="R27">
            <v>0</v>
          </cell>
          <cell r="T27">
            <v>-10400.976328125</v>
          </cell>
        </row>
        <row r="28">
          <cell r="D28">
            <v>37215</v>
          </cell>
          <cell r="F28">
            <v>-2</v>
          </cell>
          <cell r="O28">
            <v>4634.435546875</v>
          </cell>
          <cell r="P28">
            <v>2153.39306640625</v>
          </cell>
          <cell r="Q28">
            <v>0</v>
          </cell>
          <cell r="R28">
            <v>0</v>
          </cell>
          <cell r="T28">
            <v>-10431.703349609375</v>
          </cell>
        </row>
        <row r="29">
          <cell r="D29">
            <v>37216</v>
          </cell>
          <cell r="F29">
            <v>-2</v>
          </cell>
          <cell r="O29">
            <v>4647.51416015625</v>
          </cell>
          <cell r="P29">
            <v>2160.613525390625</v>
          </cell>
          <cell r="Q29">
            <v>0</v>
          </cell>
          <cell r="R29">
            <v>0</v>
          </cell>
          <cell r="T29">
            <v>-10461.759624023438</v>
          </cell>
        </row>
        <row r="30">
          <cell r="D30">
            <v>37217</v>
          </cell>
          <cell r="F30">
            <v>-0.83</v>
          </cell>
          <cell r="O30">
            <v>0</v>
          </cell>
          <cell r="P30">
            <v>2088.16650390625</v>
          </cell>
          <cell r="Q30">
            <v>0</v>
          </cell>
          <cell r="R30">
            <v>4125.72412109375</v>
          </cell>
          <cell r="T30">
            <v>-4551.9609326171876</v>
          </cell>
        </row>
        <row r="31">
          <cell r="D31">
            <v>37218</v>
          </cell>
          <cell r="F31">
            <v>-2</v>
          </cell>
          <cell r="O31">
            <v>4672.701171875</v>
          </cell>
          <cell r="P31">
            <v>2174.60986328125</v>
          </cell>
          <cell r="Q31">
            <v>0</v>
          </cell>
          <cell r="R31">
            <v>0</v>
          </cell>
          <cell r="T31">
            <v>-10519.691669921875</v>
          </cell>
        </row>
        <row r="32">
          <cell r="D32">
            <v>37219</v>
          </cell>
          <cell r="F32">
            <v>-0.83</v>
          </cell>
          <cell r="O32">
            <v>0</v>
          </cell>
          <cell r="P32">
            <v>2120.27197265625</v>
          </cell>
          <cell r="Q32">
            <v>4610.484375</v>
          </cell>
          <cell r="R32">
            <v>0</v>
          </cell>
          <cell r="T32">
            <v>-4971.6488964843747</v>
          </cell>
        </row>
        <row r="33">
          <cell r="D33">
            <v>37220</v>
          </cell>
          <cell r="F33">
            <v>-0.83</v>
          </cell>
          <cell r="O33">
            <v>0</v>
          </cell>
          <cell r="P33">
            <v>2127.149658203125</v>
          </cell>
          <cell r="Q33">
            <v>0</v>
          </cell>
          <cell r="R33">
            <v>4237.16796875</v>
          </cell>
          <cell r="T33">
            <v>-4665.5102294921871</v>
          </cell>
        </row>
        <row r="34">
          <cell r="D34">
            <v>37225</v>
          </cell>
          <cell r="E34">
            <v>55.499996185302734</v>
          </cell>
          <cell r="F34">
            <v>-2</v>
          </cell>
          <cell r="G34">
            <v>53.499996185302734</v>
          </cell>
          <cell r="J34">
            <v>32.022472381591797</v>
          </cell>
          <cell r="L34">
            <v>31.475858470000034</v>
          </cell>
          <cell r="O34">
            <v>23651.919921875</v>
          </cell>
          <cell r="P34">
            <v>11035.623046875</v>
          </cell>
          <cell r="Q34">
            <v>0</v>
          </cell>
          <cell r="R34">
            <v>0</v>
          </cell>
          <cell r="T34">
            <v>-53336.064924254548</v>
          </cell>
          <cell r="W34">
            <v>48.567417144775391</v>
          </cell>
          <cell r="Y34">
            <v>47.738384540000048</v>
          </cell>
          <cell r="AB34">
            <v>48.567417144775391</v>
          </cell>
          <cell r="AD34">
            <v>47.738384540000048</v>
          </cell>
        </row>
        <row r="35">
          <cell r="D35">
            <v>37226</v>
          </cell>
          <cell r="E35">
            <v>63.049999237060547</v>
          </cell>
          <cell r="F35">
            <v>-3</v>
          </cell>
          <cell r="G35">
            <v>60.049999237060547</v>
          </cell>
          <cell r="J35">
            <v>37.920841217041016</v>
          </cell>
          <cell r="L35">
            <v>36.884927217682645</v>
          </cell>
          <cell r="O35">
            <v>-41101.62109375</v>
          </cell>
          <cell r="P35">
            <v>-38477.3359375</v>
          </cell>
          <cell r="Q35">
            <v>-11540.033203125</v>
          </cell>
          <cell r="R35">
            <v>-16120.58203125</v>
          </cell>
          <cell r="T35">
            <v>199777.60686943005</v>
          </cell>
          <cell r="W35">
            <v>48.454410552978516</v>
          </cell>
          <cell r="Y35">
            <v>47.130740333705603</v>
          </cell>
          <cell r="AB35">
            <v>48.454410552978516</v>
          </cell>
          <cell r="AD35">
            <v>47.130740333705603</v>
          </cell>
        </row>
        <row r="36">
          <cell r="D36">
            <v>37257</v>
          </cell>
          <cell r="E36">
            <v>66.948516845703125</v>
          </cell>
          <cell r="F36">
            <v>-1.99</v>
          </cell>
          <cell r="G36">
            <v>64.95851684570313</v>
          </cell>
          <cell r="J36">
            <v>26.992340087890625</v>
          </cell>
          <cell r="L36">
            <v>26.196442885478405</v>
          </cell>
          <cell r="O36">
            <v>18193.826171875</v>
          </cell>
          <cell r="P36">
            <v>84431.6640625</v>
          </cell>
          <cell r="Q36">
            <v>3309.335693359375</v>
          </cell>
          <cell r="R36">
            <v>26426.822265625</v>
          </cell>
          <cell r="T36">
            <v>-140853.37944383972</v>
          </cell>
          <cell r="W36">
            <v>56.144065856933594</v>
          </cell>
          <cell r="Y36">
            <v>54.488601201795085</v>
          </cell>
          <cell r="AB36">
            <v>41.028358459472656</v>
          </cell>
          <cell r="AD36">
            <v>39.818593185927178</v>
          </cell>
        </row>
        <row r="37">
          <cell r="D37">
            <v>37288</v>
          </cell>
          <cell r="E37">
            <v>66.4847412109375</v>
          </cell>
          <cell r="F37">
            <v>-2.25</v>
          </cell>
          <cell r="G37">
            <v>64.2347412109375</v>
          </cell>
          <cell r="J37">
            <v>26.809219360351563</v>
          </cell>
          <cell r="L37">
            <v>25.899265884585166</v>
          </cell>
          <cell r="O37">
            <v>16279.3486328125</v>
          </cell>
          <cell r="P37">
            <v>76031.7734375</v>
          </cell>
          <cell r="Q37">
            <v>3252.57373046875</v>
          </cell>
          <cell r="R37">
            <v>21116.263671875</v>
          </cell>
          <cell r="T37">
            <v>-141176.54749199111</v>
          </cell>
          <cell r="W37">
            <v>55.763175964355469</v>
          </cell>
          <cell r="Y37">
            <v>53.870473039937146</v>
          </cell>
          <cell r="AB37">
            <v>40.750011444091797</v>
          </cell>
          <cell r="AD37">
            <v>39.366884144569454</v>
          </cell>
        </row>
        <row r="38">
          <cell r="D38">
            <v>37316</v>
          </cell>
          <cell r="E38">
            <v>64.759048461914063</v>
          </cell>
          <cell r="F38">
            <v>-2.4300000000000002</v>
          </cell>
          <cell r="G38">
            <v>62.329048461914063</v>
          </cell>
          <cell r="J38">
            <v>26.111789703369141</v>
          </cell>
          <cell r="L38">
            <v>25.130644591448913</v>
          </cell>
          <cell r="O38">
            <v>16917.99609375</v>
          </cell>
          <cell r="P38">
            <v>83863.3203125</v>
          </cell>
          <cell r="Q38">
            <v>4036.994384765625</v>
          </cell>
          <cell r="R38">
            <v>26328.966796875</v>
          </cell>
          <cell r="T38">
            <v>-170896.8514770474</v>
          </cell>
          <cell r="W38">
            <v>54.312522888183594</v>
          </cell>
          <cell r="Y38">
            <v>52.271740750213738</v>
          </cell>
          <cell r="AB38">
            <v>39.689918518066406</v>
          </cell>
          <cell r="AD38">
            <v>38.198579779002351</v>
          </cell>
        </row>
        <row r="39">
          <cell r="D39">
            <v>37347</v>
          </cell>
          <cell r="E39">
            <v>59.764270782470703</v>
          </cell>
          <cell r="F39">
            <v>-1.23</v>
          </cell>
          <cell r="G39">
            <v>58.534270782470706</v>
          </cell>
          <cell r="J39">
            <v>24.901359558105469</v>
          </cell>
          <cell r="L39">
            <v>24.38954176697364</v>
          </cell>
          <cell r="O39">
            <v>30996.6875</v>
          </cell>
          <cell r="P39">
            <v>76748.4765625</v>
          </cell>
          <cell r="Q39">
            <v>5602.8095703125</v>
          </cell>
          <cell r="R39">
            <v>19999.697265625</v>
          </cell>
          <cell r="T39">
            <v>-98701.434149869499</v>
          </cell>
          <cell r="W39">
            <v>49.802719116210938</v>
          </cell>
          <cell r="Y39">
            <v>48.779083533947279</v>
          </cell>
          <cell r="AB39">
            <v>37.850067138671875</v>
          </cell>
          <cell r="AD39">
            <v>37.072103485799936</v>
          </cell>
        </row>
        <row r="40">
          <cell r="D40">
            <v>37377</v>
          </cell>
          <cell r="E40">
            <v>60.439289093017578</v>
          </cell>
          <cell r="F40">
            <v>-1.23</v>
          </cell>
          <cell r="G40">
            <v>59.209289093017581</v>
          </cell>
          <cell r="J40">
            <v>25.182775497436523</v>
          </cell>
          <cell r="L40">
            <v>24.671812859447073</v>
          </cell>
          <cell r="O40">
            <v>31290.6953125</v>
          </cell>
          <cell r="P40">
            <v>79522.46875</v>
          </cell>
          <cell r="Q40">
            <v>5623.73681640625</v>
          </cell>
          <cell r="R40">
            <v>24888.884765625</v>
          </cell>
          <cell r="T40">
            <v>-104197.93114637448</v>
          </cell>
          <cell r="W40">
            <v>50.365550994873047</v>
          </cell>
          <cell r="Y40">
            <v>49.343625718894145</v>
          </cell>
          <cell r="AB40">
            <v>38.277820587158203</v>
          </cell>
          <cell r="AD40">
            <v>37.501155546359549</v>
          </cell>
        </row>
        <row r="41">
          <cell r="D41">
            <v>37408</v>
          </cell>
          <cell r="E41">
            <v>61.448223114013672</v>
          </cell>
          <cell r="G41">
            <v>60.112526488054499</v>
          </cell>
          <cell r="J41">
            <v>25.603425979614258</v>
          </cell>
          <cell r="L41">
            <v>25.046886036689376</v>
          </cell>
          <cell r="O41">
            <v>28489.8359375</v>
          </cell>
          <cell r="P41">
            <v>76860.921875</v>
          </cell>
          <cell r="Q41">
            <v>7041.150390625</v>
          </cell>
          <cell r="R41">
            <v>24930.810546875</v>
          </cell>
          <cell r="T41">
            <v>-109757.35459614027</v>
          </cell>
          <cell r="W41">
            <v>51.206851959228516</v>
          </cell>
          <cell r="Y41">
            <v>50.093772073378751</v>
          </cell>
          <cell r="AB41">
            <v>38.917209625244141</v>
          </cell>
          <cell r="AD41">
            <v>38.071266775767853</v>
          </cell>
        </row>
        <row r="42">
          <cell r="D42">
            <v>37438</v>
          </cell>
          <cell r="E42">
            <v>51.954662322998047</v>
          </cell>
          <cell r="G42">
            <v>50.750115557005095</v>
          </cell>
          <cell r="J42">
            <v>25.977331161499023</v>
          </cell>
          <cell r="L42">
            <v>25.375057778502548</v>
          </cell>
          <cell r="O42">
            <v>133857.140625</v>
          </cell>
          <cell r="P42">
            <v>151788.5</v>
          </cell>
          <cell r="Q42">
            <v>24403.287109375</v>
          </cell>
          <cell r="R42">
            <v>48420.609375</v>
          </cell>
          <cell r="T42">
            <v>-325201.52315333817</v>
          </cell>
          <cell r="W42">
            <v>49.876476287841797</v>
          </cell>
          <cell r="Y42">
            <v>48.720110934724886</v>
          </cell>
          <cell r="AB42">
            <v>39.485546112060547</v>
          </cell>
          <cell r="AD42">
            <v>38.570087823323874</v>
          </cell>
        </row>
        <row r="43">
          <cell r="D43">
            <v>37469</v>
          </cell>
          <cell r="E43">
            <v>52.701488494873047</v>
          </cell>
          <cell r="G43">
            <v>51.404952101229554</v>
          </cell>
          <cell r="J43">
            <v>26.350744247436523</v>
          </cell>
          <cell r="L43">
            <v>25.702476050614777</v>
          </cell>
          <cell r="O43">
            <v>134296</v>
          </cell>
          <cell r="P43">
            <v>151891.28125</v>
          </cell>
          <cell r="Q43">
            <v>30619.052734375</v>
          </cell>
          <cell r="R43">
            <v>38833.78125</v>
          </cell>
          <cell r="T43">
            <v>-348962.27098009276</v>
          </cell>
          <cell r="W43">
            <v>50.593429565429688</v>
          </cell>
          <cell r="Y43">
            <v>49.348754017180369</v>
          </cell>
          <cell r="AB43">
            <v>40.053131103515625</v>
          </cell>
          <cell r="AD43">
            <v>39.067763596934455</v>
          </cell>
        </row>
        <row r="44">
          <cell r="D44">
            <v>37500</v>
          </cell>
          <cell r="E44">
            <v>52.701187133789063</v>
          </cell>
          <cell r="G44">
            <v>51.405506854887228</v>
          </cell>
          <cell r="J44">
            <v>26.350593566894531</v>
          </cell>
          <cell r="L44">
            <v>25.702753427443614</v>
          </cell>
          <cell r="O44">
            <v>121799.8203125</v>
          </cell>
          <cell r="P44">
            <v>146509.203125</v>
          </cell>
          <cell r="Q44">
            <v>24425.671875</v>
          </cell>
          <cell r="R44">
            <v>58077.078125</v>
          </cell>
          <cell r="T44">
            <v>-340299.6014644368</v>
          </cell>
          <cell r="W44">
            <v>50.5931396484375</v>
          </cell>
          <cell r="Y44">
            <v>49.349286580691739</v>
          </cell>
          <cell r="AB44">
            <v>40.052902221679688</v>
          </cell>
          <cell r="AD44">
            <v>39.068185209714294</v>
          </cell>
        </row>
        <row r="45">
          <cell r="D45">
            <v>37530</v>
          </cell>
          <cell r="E45">
            <v>57.521648406982422</v>
          </cell>
          <cell r="G45">
            <v>56.123697655281617</v>
          </cell>
          <cell r="J45">
            <v>26.630392074584961</v>
          </cell>
          <cell r="L45">
            <v>25.983193358926677</v>
          </cell>
          <cell r="O45">
            <v>41593.546875</v>
          </cell>
          <cell r="P45">
            <v>85295.3671875</v>
          </cell>
          <cell r="Q45">
            <v>7226.33544921875</v>
          </cell>
          <cell r="R45">
            <v>21511.0546875</v>
          </cell>
          <cell r="T45">
            <v>-143676.76707796651</v>
          </cell>
          <cell r="W45">
            <v>52.195568084716797</v>
          </cell>
          <cell r="Y45">
            <v>50.927058983496288</v>
          </cell>
          <cell r="AB45">
            <v>40.478195190429688</v>
          </cell>
          <cell r="AD45">
            <v>39.494453905568548</v>
          </cell>
        </row>
        <row r="46">
          <cell r="D46">
            <v>37561</v>
          </cell>
          <cell r="E46">
            <v>62.556465148925781</v>
          </cell>
          <cell r="G46">
            <v>61.021922170218197</v>
          </cell>
          <cell r="J46">
            <v>28.961326599121094</v>
          </cell>
          <cell r="L46">
            <v>28.250889893619537</v>
          </cell>
          <cell r="O46">
            <v>36991.2578125</v>
          </cell>
          <cell r="P46">
            <v>82695.9296875</v>
          </cell>
          <cell r="Q46">
            <v>9276.0078125</v>
          </cell>
          <cell r="R46">
            <v>27036.603515625</v>
          </cell>
          <cell r="T46">
            <v>-157627.18797198034</v>
          </cell>
          <cell r="W46">
            <v>56.764198303222656</v>
          </cell>
          <cell r="Y46">
            <v>55.371744191494287</v>
          </cell>
          <cell r="AB46">
            <v>44.021217346191406</v>
          </cell>
          <cell r="AD46">
            <v>42.941352638301694</v>
          </cell>
        </row>
        <row r="47">
          <cell r="D47">
            <v>37591</v>
          </cell>
          <cell r="E47">
            <v>66.583229064941406</v>
          </cell>
          <cell r="G47">
            <v>64.831109002421314</v>
          </cell>
          <cell r="J47">
            <v>30.825569152832031</v>
          </cell>
          <cell r="L47">
            <v>30.014402315935797</v>
          </cell>
          <cell r="O47">
            <v>39386.25390625</v>
          </cell>
          <cell r="P47">
            <v>85589.3125</v>
          </cell>
          <cell r="Q47">
            <v>7507.17626953125</v>
          </cell>
          <cell r="R47">
            <v>32569.748046875</v>
          </cell>
          <cell r="T47">
            <v>-190529.90346203221</v>
          </cell>
          <cell r="W47">
            <v>60.418117523193359</v>
          </cell>
          <cell r="Y47">
            <v>58.828228539234161</v>
          </cell>
          <cell r="AB47">
            <v>46.854866027832031</v>
          </cell>
          <cell r="AD47">
            <v>45.621891520222405</v>
          </cell>
        </row>
        <row r="48">
          <cell r="D48">
            <v>37622</v>
          </cell>
          <cell r="E48">
            <v>53.745513916015625</v>
          </cell>
          <cell r="G48">
            <v>52.385763130159489</v>
          </cell>
          <cell r="J48">
            <v>31.991376876831055</v>
          </cell>
          <cell r="L48">
            <v>31.182001863190173</v>
          </cell>
          <cell r="O48">
            <v>205261.96875</v>
          </cell>
          <cell r="P48">
            <v>145163.9375</v>
          </cell>
          <cell r="Q48">
            <v>37471.0390625</v>
          </cell>
          <cell r="R48">
            <v>46762.4609375</v>
          </cell>
          <cell r="T48">
            <v>-502350.85314051836</v>
          </cell>
          <cell r="W48">
            <v>52.465858459472656</v>
          </cell>
          <cell r="Y48">
            <v>51.13848305563188</v>
          </cell>
          <cell r="AB48">
            <v>47.347236633300781</v>
          </cell>
          <cell r="AD48">
            <v>46.149362757521459</v>
          </cell>
        </row>
        <row r="49">
          <cell r="D49">
            <v>37653</v>
          </cell>
          <cell r="E49">
            <v>52.430976867675781</v>
          </cell>
          <cell r="G49">
            <v>50.947035634285918</v>
          </cell>
          <cell r="J49">
            <v>31.208913803100586</v>
          </cell>
          <cell r="L49">
            <v>30.325616448979716</v>
          </cell>
          <cell r="O49">
            <v>186007.296875</v>
          </cell>
          <cell r="P49">
            <v>130708.984375</v>
          </cell>
          <cell r="Q49">
            <v>37335.46484375</v>
          </cell>
          <cell r="R49">
            <v>37335.46484375</v>
          </cell>
          <cell r="T49">
            <v>-494371.14191696048</v>
          </cell>
          <cell r="W49">
            <v>51.1826171875</v>
          </cell>
          <cell r="Y49">
            <v>49.734010976326729</v>
          </cell>
          <cell r="AB49">
            <v>46.189193725585938</v>
          </cell>
          <cell r="AD49">
            <v>44.881912344489976</v>
          </cell>
        </row>
        <row r="50">
          <cell r="D50">
            <v>37681</v>
          </cell>
          <cell r="E50">
            <v>50.943675994873047</v>
          </cell>
          <cell r="G50">
            <v>49.460617798164428</v>
          </cell>
          <cell r="J50">
            <v>30.323616027832031</v>
          </cell>
          <cell r="L50">
            <v>29.440843927478827</v>
          </cell>
          <cell r="O50">
            <v>194763.765625</v>
          </cell>
          <cell r="P50">
            <v>144322.796875</v>
          </cell>
          <cell r="Q50">
            <v>46557.90234375</v>
          </cell>
          <cell r="R50">
            <v>46557.90234375</v>
          </cell>
          <cell r="T50">
            <v>-544482.28370132111</v>
          </cell>
          <cell r="W50">
            <v>49.730731964111328</v>
          </cell>
          <cell r="Y50">
            <v>48.282984041065276</v>
          </cell>
          <cell r="AB50">
            <v>44.878952026367188</v>
          </cell>
          <cell r="AD50">
            <v>43.572449012668663</v>
          </cell>
        </row>
        <row r="51">
          <cell r="D51">
            <v>37712</v>
          </cell>
          <cell r="E51">
            <v>48.751060485839844</v>
          </cell>
          <cell r="G51">
            <v>47.268238721438912</v>
          </cell>
          <cell r="J51">
            <v>29.018489837646484</v>
          </cell>
          <cell r="L51">
            <v>28.135856381808878</v>
          </cell>
          <cell r="O51">
            <v>203475.34375</v>
          </cell>
          <cell r="P51">
            <v>138663.171875</v>
          </cell>
          <cell r="Q51">
            <v>37139.16796875</v>
          </cell>
          <cell r="R51">
            <v>37139.16796875</v>
          </cell>
          <cell r="T51">
            <v>-526380.90599693637</v>
          </cell>
          <cell r="W51">
            <v>47.590324401855469</v>
          </cell>
          <cell r="Y51">
            <v>46.14280446616656</v>
          </cell>
          <cell r="AB51">
            <v>42.947364807128906</v>
          </cell>
          <cell r="AD51">
            <v>41.641067445077141</v>
          </cell>
        </row>
        <row r="52">
          <cell r="D52">
            <v>37742</v>
          </cell>
          <cell r="E52">
            <v>48.736091613769531</v>
          </cell>
          <cell r="G52">
            <v>47.270402632314514</v>
          </cell>
          <cell r="J52">
            <v>29.009576797485352</v>
          </cell>
          <cell r="L52">
            <v>28.137144423996734</v>
          </cell>
          <cell r="O52">
            <v>193570.328125</v>
          </cell>
          <cell r="P52">
            <v>143378.046875</v>
          </cell>
          <cell r="Q52">
            <v>46272.48828125</v>
          </cell>
          <cell r="R52">
            <v>46230.6796875</v>
          </cell>
          <cell r="T52">
            <v>-534700.78909193189</v>
          </cell>
          <cell r="W52">
            <v>47.575706481933594</v>
          </cell>
          <cell r="Y52">
            <v>46.144916855354644</v>
          </cell>
          <cell r="AB52">
            <v>42.934173583984375</v>
          </cell>
          <cell r="AD52">
            <v>41.642973747515171</v>
          </cell>
        </row>
        <row r="53">
          <cell r="D53">
            <v>37773</v>
          </cell>
          <cell r="E53">
            <v>49.049884796142578</v>
          </cell>
          <cell r="G53">
            <v>47.586013026417625</v>
          </cell>
          <cell r="J53">
            <v>29.196359634399414</v>
          </cell>
          <cell r="L53">
            <v>28.325007753820014</v>
          </cell>
          <cell r="O53">
            <v>192860.328125</v>
          </cell>
          <cell r="P53">
            <v>138231.40625</v>
          </cell>
          <cell r="Q53">
            <v>36872.4296875</v>
          </cell>
          <cell r="R53">
            <v>46090.5390625</v>
          </cell>
          <cell r="T53">
            <v>-514900.78389834362</v>
          </cell>
          <cell r="W53">
            <v>47.882030487060547</v>
          </cell>
          <cell r="Y53">
            <v>46.453012716264823</v>
          </cell>
          <cell r="AB53">
            <v>43.210613250732422</v>
          </cell>
          <cell r="AD53">
            <v>41.921011475653621</v>
          </cell>
        </row>
        <row r="54">
          <cell r="D54">
            <v>37803</v>
          </cell>
          <cell r="E54">
            <v>49.441562652587891</v>
          </cell>
          <cell r="G54">
            <v>47.979243098254479</v>
          </cell>
          <cell r="J54">
            <v>29.429500579833984</v>
          </cell>
          <cell r="L54">
            <v>28.559073272770526</v>
          </cell>
          <cell r="O54">
            <v>201227.484375</v>
          </cell>
          <cell r="P54">
            <v>142242.59375</v>
          </cell>
          <cell r="Q54">
            <v>36710.09765625</v>
          </cell>
          <cell r="R54">
            <v>45851.91015625</v>
          </cell>
          <cell r="T54">
            <v>-529542.32201483683</v>
          </cell>
          <cell r="W54">
            <v>48.264381408691406</v>
          </cell>
          <cell r="Y54">
            <v>46.836880167343658</v>
          </cell>
          <cell r="AB54">
            <v>43.555660247802734</v>
          </cell>
          <cell r="AD54">
            <v>42.267428443700375</v>
          </cell>
        </row>
        <row r="55">
          <cell r="D55">
            <v>37834</v>
          </cell>
          <cell r="E55">
            <v>49.942333221435547</v>
          </cell>
          <cell r="G55">
            <v>48.48121245942351</v>
          </cell>
          <cell r="J55">
            <v>29.727579116821289</v>
          </cell>
          <cell r="L55">
            <v>28.857864559180662</v>
          </cell>
          <cell r="O55">
            <v>191396.9375</v>
          </cell>
          <cell r="P55">
            <v>141754.15625</v>
          </cell>
          <cell r="Q55">
            <v>45737.1328125</v>
          </cell>
          <cell r="R55">
            <v>45737.1328125</v>
          </cell>
          <cell r="T55">
            <v>-527047.95880738134</v>
          </cell>
          <cell r="W55">
            <v>48.753231048583984</v>
          </cell>
          <cell r="Y55">
            <v>47.32689787705629</v>
          </cell>
          <cell r="AB55">
            <v>43.996818542480469</v>
          </cell>
          <cell r="AD55">
            <v>42.709639547587379</v>
          </cell>
        </row>
        <row r="56">
          <cell r="D56">
            <v>37865</v>
          </cell>
          <cell r="E56">
            <v>49.941497802734375</v>
          </cell>
          <cell r="F56">
            <v>-1.3820116670088751</v>
          </cell>
          <cell r="G56">
            <v>48.5594861357255</v>
          </cell>
          <cell r="J56">
            <v>29.727081298828125</v>
          </cell>
          <cell r="K56">
            <v>-0.82262526565818561</v>
          </cell>
          <cell r="L56">
            <v>28.904456033169939</v>
          </cell>
          <cell r="O56">
            <v>190963.90625</v>
          </cell>
          <cell r="P56">
            <v>136741.109375</v>
          </cell>
          <cell r="Q56">
            <v>36458.43359375</v>
          </cell>
          <cell r="R56">
            <v>45534.18359375</v>
          </cell>
          <cell r="T56">
            <v>-481024.65258586255</v>
          </cell>
          <cell r="W56">
            <v>48.752414703369141</v>
          </cell>
          <cell r="Y56">
            <v>47.403307894398701</v>
          </cell>
          <cell r="AB56">
            <v>43.996082305908203</v>
          </cell>
          <cell r="AD56">
            <v>42.778594929091511</v>
          </cell>
        </row>
        <row r="57">
          <cell r="D57">
            <v>37895</v>
          </cell>
          <cell r="E57">
            <v>50.176219940185547</v>
          </cell>
          <cell r="F57">
            <v>-1.3031450387870862</v>
          </cell>
          <cell r="G57">
            <v>48.873074901398461</v>
          </cell>
          <cell r="J57">
            <v>29.866796493530273</v>
          </cell>
          <cell r="K57">
            <v>-0.77568048079309548</v>
          </cell>
          <cell r="L57">
            <v>29.091116012737178</v>
          </cell>
          <cell r="O57">
            <v>208167.484375</v>
          </cell>
          <cell r="P57">
            <v>141221.625</v>
          </cell>
          <cell r="Q57">
            <v>36276.10546875</v>
          </cell>
          <cell r="R57">
            <v>36291.06640625</v>
          </cell>
          <cell r="T57">
            <v>-468625.1428365563</v>
          </cell>
          <cell r="W57">
            <v>48.981548309326172</v>
          </cell>
          <cell r="Y57">
            <v>47.709430260888972</v>
          </cell>
          <cell r="AB57">
            <v>44.202857971191406</v>
          </cell>
          <cell r="AD57">
            <v>43.054851698851024</v>
          </cell>
        </row>
        <row r="58">
          <cell r="D58">
            <v>37926</v>
          </cell>
          <cell r="E58">
            <v>53.040668487548828</v>
          </cell>
          <cell r="F58">
            <v>-1.1423632256097989</v>
          </cell>
          <cell r="G58">
            <v>51.898305261939029</v>
          </cell>
          <cell r="J58">
            <v>31.571826934814453</v>
          </cell>
          <cell r="K58">
            <v>-0.67997856461265016</v>
          </cell>
          <cell r="L58">
            <v>30.891848370201803</v>
          </cell>
          <cell r="O58">
            <v>171687.390625</v>
          </cell>
          <cell r="P58">
            <v>135963.09375</v>
          </cell>
          <cell r="Q58">
            <v>45300.0546875</v>
          </cell>
          <cell r="R58">
            <v>54329.0078125</v>
          </cell>
          <cell r="T58">
            <v>-393773.39676853619</v>
          </cell>
          <cell r="W58">
            <v>51.777797698974609</v>
          </cell>
          <cell r="Y58">
            <v>50.662631327130953</v>
          </cell>
          <cell r="AB58">
            <v>46.726303100585938</v>
          </cell>
          <cell r="AD58">
            <v>45.719935587898668</v>
          </cell>
        </row>
        <row r="59">
          <cell r="D59">
            <v>37956</v>
          </cell>
          <cell r="E59">
            <v>55.33172607421875</v>
          </cell>
          <cell r="F59">
            <v>-1.0581692536934995</v>
          </cell>
          <cell r="G59">
            <v>54.273556820525251</v>
          </cell>
          <cell r="J59">
            <v>32.935550689697266</v>
          </cell>
          <cell r="K59">
            <v>-0.62986210605128434</v>
          </cell>
          <cell r="L59">
            <v>32.305688583645981</v>
          </cell>
          <cell r="O59">
            <v>198108.625</v>
          </cell>
          <cell r="P59">
            <v>139964.078125</v>
          </cell>
          <cell r="Q59">
            <v>36102.859375</v>
          </cell>
          <cell r="R59">
            <v>45104.6875</v>
          </cell>
          <cell r="T59">
            <v>-377130.42192921514</v>
          </cell>
          <cell r="W59">
            <v>54.014305114746094</v>
          </cell>
          <cell r="Y59">
            <v>52.981329277179405</v>
          </cell>
          <cell r="AB59">
            <v>48.744617462158203</v>
          </cell>
          <cell r="AD59">
            <v>47.812419103796053</v>
          </cell>
        </row>
        <row r="60">
          <cell r="D60">
            <v>37987</v>
          </cell>
          <cell r="E60">
            <v>51.949386596679688</v>
          </cell>
          <cell r="F60">
            <v>-0.83297497025970557</v>
          </cell>
          <cell r="G60">
            <v>51.116411626419982</v>
          </cell>
          <cell r="J60">
            <v>33.300888061523438</v>
          </cell>
          <cell r="K60">
            <v>-0.53395753176703664</v>
          </cell>
          <cell r="L60">
            <v>32.766930529756401</v>
          </cell>
          <cell r="O60">
            <v>127089.7734375</v>
          </cell>
          <cell r="P60">
            <v>94216.90625</v>
          </cell>
          <cell r="Q60">
            <v>30385.341796875</v>
          </cell>
          <cell r="R60">
            <v>30356.6875</v>
          </cell>
          <cell r="T60">
            <v>-202875.67273439493</v>
          </cell>
          <cell r="W60">
            <v>49.285316467285156</v>
          </cell>
          <cell r="Y60">
            <v>48.495057184039474</v>
          </cell>
          <cell r="AB60">
            <v>46.621246337890625</v>
          </cell>
          <cell r="AD60">
            <v>45.87370274165896</v>
          </cell>
        </row>
        <row r="61">
          <cell r="D61">
            <v>38018</v>
          </cell>
          <cell r="E61">
            <v>50.672584533691406</v>
          </cell>
          <cell r="F61">
            <v>-0.84558348184206977</v>
          </cell>
          <cell r="G61">
            <v>49.827001051849336</v>
          </cell>
          <cell r="J61">
            <v>32.482425689697266</v>
          </cell>
          <cell r="K61">
            <v>-0.54204040005025433</v>
          </cell>
          <cell r="L61">
            <v>31.940385289647011</v>
          </cell>
          <cell r="O61">
            <v>120498.765625</v>
          </cell>
          <cell r="P61">
            <v>87756.9296875</v>
          </cell>
          <cell r="Q61">
            <v>24190.392578125</v>
          </cell>
          <cell r="R61">
            <v>30237.9921875</v>
          </cell>
          <cell r="T61">
            <v>-191811.850747997</v>
          </cell>
          <cell r="W61">
            <v>48.073989868164063</v>
          </cell>
          <cell r="Y61">
            <v>47.271770228677575</v>
          </cell>
          <cell r="AB61">
            <v>45.475395202636719</v>
          </cell>
          <cell r="AD61">
            <v>44.716539405505813</v>
          </cell>
        </row>
        <row r="62">
          <cell r="D62">
            <v>38047</v>
          </cell>
          <cell r="E62">
            <v>48.640586853027344</v>
          </cell>
          <cell r="F62">
            <v>-0.84477126918276468</v>
          </cell>
          <cell r="G62">
            <v>47.795815583844579</v>
          </cell>
          <cell r="J62">
            <v>31.179862976074219</v>
          </cell>
          <cell r="K62">
            <v>-0.54151965309692329</v>
          </cell>
          <cell r="L62">
            <v>30.638343322977295</v>
          </cell>
          <cell r="O62">
            <v>138110.078125</v>
          </cell>
          <cell r="P62">
            <v>93481.953125</v>
          </cell>
          <cell r="Q62">
            <v>24118.7734375</v>
          </cell>
          <cell r="R62">
            <v>24118.7734375</v>
          </cell>
          <cell r="T62">
            <v>-204908.6940599737</v>
          </cell>
          <cell r="W62">
            <v>46.146194458007813</v>
          </cell>
          <cell r="Y62">
            <v>45.3447481180064</v>
          </cell>
          <cell r="AB62">
            <v>43.651805877685547</v>
          </cell>
          <cell r="AD62">
            <v>42.893680652168214</v>
          </cell>
        </row>
        <row r="63">
          <cell r="D63">
            <v>38078</v>
          </cell>
          <cell r="E63">
            <v>45.885185241699219</v>
          </cell>
          <cell r="F63">
            <v>-0.84500486828216026</v>
          </cell>
          <cell r="G63">
            <v>45.040180373417058</v>
          </cell>
          <cell r="J63">
            <v>29.413579940795898</v>
          </cell>
          <cell r="K63">
            <v>-0.54166944501573155</v>
          </cell>
          <cell r="L63">
            <v>28.871910495780167</v>
          </cell>
          <cell r="O63">
            <v>131948.953125</v>
          </cell>
          <cell r="P63">
            <v>89954.9140625</v>
          </cell>
          <cell r="Q63">
            <v>24077.595703125</v>
          </cell>
          <cell r="R63">
            <v>24092.2109375</v>
          </cell>
          <cell r="T63">
            <v>-197795.72750220407</v>
          </cell>
          <cell r="W63">
            <v>43.532100677490234</v>
          </cell>
          <cell r="Y63">
            <v>42.73042753375465</v>
          </cell>
          <cell r="AB63">
            <v>41.179012298583984</v>
          </cell>
          <cell r="AD63">
            <v>40.420674694092234</v>
          </cell>
        </row>
        <row r="64">
          <cell r="D64">
            <v>38108</v>
          </cell>
          <cell r="E64">
            <v>45.952720642089844</v>
          </cell>
          <cell r="F64">
            <v>-0.84214630137856972</v>
          </cell>
          <cell r="G64">
            <v>45.110574340711274</v>
          </cell>
          <cell r="J64">
            <v>29.456872940063477</v>
          </cell>
          <cell r="K64">
            <v>-0.53983810627419615</v>
          </cell>
          <cell r="L64">
            <v>28.91703483378928</v>
          </cell>
          <cell r="O64">
            <v>119471.96875</v>
          </cell>
          <cell r="P64">
            <v>92974.8984375</v>
          </cell>
          <cell r="Q64">
            <v>29995.205078125</v>
          </cell>
          <cell r="R64">
            <v>35964.078125</v>
          </cell>
          <cell r="T64">
            <v>-201949.88527733597</v>
          </cell>
          <cell r="W64">
            <v>43.596172332763672</v>
          </cell>
          <cell r="Y64">
            <v>42.797211554008136</v>
          </cell>
          <cell r="AB64">
            <v>41.239620208740234</v>
          </cell>
          <cell r="AD64">
            <v>40.483848767304991</v>
          </cell>
        </row>
        <row r="65">
          <cell r="D65">
            <v>38139</v>
          </cell>
          <cell r="E65">
            <v>46.499107360839844</v>
          </cell>
          <cell r="F65">
            <v>-0.83844007357527062</v>
          </cell>
          <cell r="G65">
            <v>45.660667287264573</v>
          </cell>
          <cell r="J65">
            <v>29.807121276855469</v>
          </cell>
          <cell r="K65">
            <v>-0.537462759378176</v>
          </cell>
          <cell r="L65">
            <v>29.269658517477293</v>
          </cell>
          <cell r="O65">
            <v>131027.03125</v>
          </cell>
          <cell r="P65">
            <v>89668.53125</v>
          </cell>
          <cell r="Q65">
            <v>23890.5546875</v>
          </cell>
          <cell r="R65">
            <v>23890.5546875</v>
          </cell>
          <cell r="T65">
            <v>-195031.82263400973</v>
          </cell>
          <cell r="W65">
            <v>44.114540100097656</v>
          </cell>
          <cell r="Y65">
            <v>43.319094605866397</v>
          </cell>
          <cell r="AB65">
            <v>41.729969024658203</v>
          </cell>
          <cell r="AD65">
            <v>40.977521924468206</v>
          </cell>
        </row>
        <row r="66">
          <cell r="D66">
            <v>38169</v>
          </cell>
          <cell r="E66">
            <v>47.149181365966797</v>
          </cell>
          <cell r="F66">
            <v>-0.83470333582326361</v>
          </cell>
          <cell r="G66">
            <v>46.314478030143533</v>
          </cell>
          <cell r="J66">
            <v>30.223834991455078</v>
          </cell>
          <cell r="K66">
            <v>-0.53506702341435286</v>
          </cell>
          <cell r="L66">
            <v>29.688767968040725</v>
          </cell>
          <cell r="O66">
            <v>124680.328125</v>
          </cell>
          <cell r="P66">
            <v>92357.03125</v>
          </cell>
          <cell r="Q66">
            <v>29777.42578125</v>
          </cell>
          <cell r="R66">
            <v>29759.107421875</v>
          </cell>
          <cell r="T66">
            <v>-199361.33002653893</v>
          </cell>
          <cell r="W66">
            <v>44.731273651123047</v>
          </cell>
          <cell r="Y66">
            <v>43.93937659270027</v>
          </cell>
          <cell r="AB66">
            <v>42.313369750976563</v>
          </cell>
          <cell r="AD66">
            <v>41.564275155257015</v>
          </cell>
        </row>
        <row r="67">
          <cell r="D67">
            <v>38200</v>
          </cell>
          <cell r="E67">
            <v>47.699787139892578</v>
          </cell>
          <cell r="F67">
            <v>-0.83105652055362356</v>
          </cell>
          <cell r="G67">
            <v>46.868730619338955</v>
          </cell>
          <cell r="J67">
            <v>30.576786041259766</v>
          </cell>
          <cell r="K67">
            <v>-0.5327279519399255</v>
          </cell>
          <cell r="L67">
            <v>30.04405808931984</v>
          </cell>
          <cell r="O67">
            <v>130173.4140625</v>
          </cell>
          <cell r="P67">
            <v>91999.2734375</v>
          </cell>
          <cell r="Q67">
            <v>23733.533203125</v>
          </cell>
          <cell r="R67">
            <v>29663.89453125</v>
          </cell>
          <cell r="T67">
            <v>-198028.41429501388</v>
          </cell>
          <cell r="W67">
            <v>45.253643035888672</v>
          </cell>
          <cell r="Y67">
            <v>44.465205972193367</v>
          </cell>
          <cell r="AB67">
            <v>42.807502746582031</v>
          </cell>
          <cell r="AD67">
            <v>42.061681325047779</v>
          </cell>
        </row>
        <row r="68">
          <cell r="D68">
            <v>38231</v>
          </cell>
          <cell r="E68">
            <v>47.611240386962891</v>
          </cell>
          <cell r="F68">
            <v>-0.82825484259437587</v>
          </cell>
          <cell r="G68">
            <v>46.782985544368515</v>
          </cell>
          <cell r="J68">
            <v>30.520027160644531</v>
          </cell>
          <cell r="K68">
            <v>-0.53093386297240386</v>
          </cell>
          <cell r="L68">
            <v>29.989093297672127</v>
          </cell>
          <cell r="O68">
            <v>123714.84375</v>
          </cell>
          <cell r="P68">
            <v>88629.734375</v>
          </cell>
          <cell r="Q68">
            <v>23626.564453125</v>
          </cell>
          <cell r="R68">
            <v>29519.66796875</v>
          </cell>
          <cell r="T68">
            <v>-190031.47350964439</v>
          </cell>
          <cell r="W68">
            <v>45.169639587402344</v>
          </cell>
          <cell r="Y68">
            <v>44.383858080554745</v>
          </cell>
          <cell r="AB68">
            <v>42.728038787841797</v>
          </cell>
          <cell r="AD68">
            <v>41.984730616740976</v>
          </cell>
        </row>
        <row r="69">
          <cell r="D69">
            <v>38261</v>
          </cell>
          <cell r="E69">
            <v>47.612468719482422</v>
          </cell>
          <cell r="F69">
            <v>-0.82551770505893529</v>
          </cell>
          <cell r="G69">
            <v>46.786951014423487</v>
          </cell>
          <cell r="J69">
            <v>30.52081298828125</v>
          </cell>
          <cell r="K69">
            <v>-0.52917772262517104</v>
          </cell>
          <cell r="L69">
            <v>29.991635265656079</v>
          </cell>
          <cell r="O69">
            <v>123282.453125</v>
          </cell>
          <cell r="P69">
            <v>91617.21875</v>
          </cell>
          <cell r="Q69">
            <v>29421.990234375</v>
          </cell>
          <cell r="R69">
            <v>29421.990234375</v>
          </cell>
          <cell r="T69">
            <v>-195093.66196002686</v>
          </cell>
          <cell r="W69">
            <v>45.170803070068359</v>
          </cell>
          <cell r="Y69">
            <v>44.387620193170996</v>
          </cell>
          <cell r="AB69">
            <v>42.729137420654297</v>
          </cell>
          <cell r="AD69">
            <v>41.988289371918512</v>
          </cell>
        </row>
        <row r="70">
          <cell r="D70">
            <v>38292</v>
          </cell>
          <cell r="E70">
            <v>50.342830657958984</v>
          </cell>
          <cell r="F70">
            <v>-0.80401571892281964</v>
          </cell>
          <cell r="G70">
            <v>49.538814939036165</v>
          </cell>
          <cell r="J70">
            <v>32.271045684814453</v>
          </cell>
          <cell r="K70">
            <v>-0.51539508286819213</v>
          </cell>
          <cell r="L70">
            <v>31.755650601946261</v>
          </cell>
          <cell r="O70">
            <v>122955.140625</v>
          </cell>
          <cell r="P70">
            <v>88046.953125</v>
          </cell>
          <cell r="Q70">
            <v>23470.375</v>
          </cell>
          <cell r="R70">
            <v>29325.380859375</v>
          </cell>
          <cell r="T70">
            <v>-183299.42609314164</v>
          </cell>
          <cell r="W70">
            <v>47.761146545410156</v>
          </cell>
          <cell r="Y70">
            <v>46.998362890880465</v>
          </cell>
          <cell r="AB70">
            <v>45.179462432861328</v>
          </cell>
          <cell r="AD70">
            <v>44.457910842724765</v>
          </cell>
        </row>
        <row r="71">
          <cell r="D71">
            <v>38322</v>
          </cell>
          <cell r="E71">
            <v>52.534282684326172</v>
          </cell>
          <cell r="F71">
            <v>-0.7988959705686014</v>
          </cell>
          <cell r="G71">
            <v>51.73538671375757</v>
          </cell>
          <cell r="J71">
            <v>33.675823211669922</v>
          </cell>
          <cell r="K71">
            <v>-0.51211377977404737</v>
          </cell>
          <cell r="L71">
            <v>33.163709431895875</v>
          </cell>
          <cell r="O71">
            <v>134124.421875</v>
          </cell>
          <cell r="P71">
            <v>90576.015625</v>
          </cell>
          <cell r="Q71">
            <v>17523.986328125</v>
          </cell>
          <cell r="R71">
            <v>29206.66015625</v>
          </cell>
          <cell r="T71">
            <v>-187758.47431843908</v>
          </cell>
          <cell r="W71">
            <v>49.840217590332031</v>
          </cell>
          <cell r="Y71">
            <v>49.082289959205895</v>
          </cell>
          <cell r="AB71">
            <v>47.146148681640625</v>
          </cell>
          <cell r="AD71">
            <v>46.429193204654226</v>
          </cell>
        </row>
        <row r="72">
          <cell r="D72">
            <v>38353</v>
          </cell>
          <cell r="E72">
            <v>51.949794769287109</v>
          </cell>
          <cell r="F72">
            <v>-0.70483954772218738</v>
          </cell>
          <cell r="G72">
            <v>51.244955221564922</v>
          </cell>
          <cell r="J72">
            <v>34.177494049072266</v>
          </cell>
          <cell r="K72">
            <v>-0.46370771909533914</v>
          </cell>
          <cell r="L72">
            <v>33.713786329976926</v>
          </cell>
          <cell r="O72">
            <v>123724.1875</v>
          </cell>
          <cell r="P72">
            <v>91489.796875</v>
          </cell>
          <cell r="Q72">
            <v>23602.40234375</v>
          </cell>
          <cell r="R72">
            <v>35402.7890625</v>
          </cell>
          <cell r="T72">
            <v>-167279.19133705241</v>
          </cell>
          <cell r="W72">
            <v>47.848491668701172</v>
          </cell>
          <cell r="Y72">
            <v>47.199300861967693</v>
          </cell>
          <cell r="AB72">
            <v>46.481391906738281</v>
          </cell>
          <cell r="AD72">
            <v>45.850749408768621</v>
          </cell>
        </row>
        <row r="73">
          <cell r="D73">
            <v>38384</v>
          </cell>
          <cell r="G73">
            <v>49.985138887285039</v>
          </cell>
          <cell r="L73">
            <v>32.884959794266472</v>
          </cell>
          <cell r="O73">
            <v>117333.828125</v>
          </cell>
          <cell r="P73">
            <v>82303.28125</v>
          </cell>
          <cell r="Q73">
            <v>23505.82421875</v>
          </cell>
          <cell r="R73">
            <v>23505.82421875</v>
          </cell>
          <cell r="T73">
            <v>-154149.52769509327</v>
          </cell>
          <cell r="Y73">
            <v>46.038943711973062</v>
          </cell>
          <cell r="AD73">
            <v>44.723545320202405</v>
          </cell>
        </row>
        <row r="74">
          <cell r="D74">
            <v>38412</v>
          </cell>
          <cell r="G74">
            <v>48.004437423353906</v>
          </cell>
          <cell r="L74">
            <v>31.581866725890727</v>
          </cell>
          <cell r="O74">
            <v>134309.09375</v>
          </cell>
          <cell r="P74">
            <v>90700.765625</v>
          </cell>
          <cell r="Q74">
            <v>23399.212890625</v>
          </cell>
          <cell r="R74">
            <v>23399.212890625</v>
          </cell>
          <cell r="T74">
            <v>-170739.93568419342</v>
          </cell>
          <cell r="Y74">
            <v>44.214613416247019</v>
          </cell>
          <cell r="AD74">
            <v>42.951338747211388</v>
          </cell>
        </row>
        <row r="75">
          <cell r="D75">
            <v>38443</v>
          </cell>
          <cell r="G75">
            <v>45.107144906258164</v>
          </cell>
          <cell r="L75">
            <v>29.675753227801422</v>
          </cell>
          <cell r="O75">
            <v>122091.71875</v>
          </cell>
          <cell r="P75">
            <v>87024.125</v>
          </cell>
          <cell r="Q75">
            <v>29125.73828125</v>
          </cell>
          <cell r="R75">
            <v>23300.58984375</v>
          </cell>
          <cell r="T75">
            <v>-164813.07049947913</v>
          </cell>
          <cell r="Y75">
            <v>41.546054518921991</v>
          </cell>
          <cell r="AD75">
            <v>40.359024389809932</v>
          </cell>
        </row>
        <row r="76">
          <cell r="D76">
            <v>38473</v>
          </cell>
          <cell r="G76">
            <v>45.17323920065423</v>
          </cell>
          <cell r="L76">
            <v>29.719236316219888</v>
          </cell>
          <cell r="O76">
            <v>121540.3359375</v>
          </cell>
          <cell r="P76">
            <v>89874.578125</v>
          </cell>
          <cell r="Q76">
            <v>23194.32421875</v>
          </cell>
          <cell r="R76">
            <v>34780.5390625</v>
          </cell>
          <cell r="T76">
            <v>-169012.35306289472</v>
          </cell>
          <cell r="Y76">
            <v>41.60693084270784</v>
          </cell>
          <cell r="AD76">
            <v>40.418161390059048</v>
          </cell>
        </row>
        <row r="77">
          <cell r="D77">
            <v>38504</v>
          </cell>
          <cell r="G77">
            <v>45.706065613399595</v>
          </cell>
          <cell r="L77">
            <v>30.06978000881552</v>
          </cell>
          <cell r="O77">
            <v>126740.4296875</v>
          </cell>
          <cell r="P77">
            <v>86578.40625</v>
          </cell>
          <cell r="Q77">
            <v>23086.10546875</v>
          </cell>
          <cell r="R77">
            <v>23086.10546875</v>
          </cell>
          <cell r="T77">
            <v>-163117.56417803615</v>
          </cell>
          <cell r="Y77">
            <v>42.097692012341732</v>
          </cell>
          <cell r="AD77">
            <v>40.89490081198911</v>
          </cell>
        </row>
        <row r="78">
          <cell r="D78">
            <v>38534</v>
          </cell>
          <cell r="G78">
            <v>46.340230520195611</v>
          </cell>
          <cell r="L78">
            <v>30.486993763286584</v>
          </cell>
          <cell r="O78">
            <v>114630.296875</v>
          </cell>
          <cell r="P78">
            <v>89020.75</v>
          </cell>
          <cell r="Q78">
            <v>28714.126953125</v>
          </cell>
          <cell r="R78">
            <v>34445.640625</v>
          </cell>
          <cell r="T78">
            <v>-166131.27110219511</v>
          </cell>
          <cell r="Y78">
            <v>42.681791268601216</v>
          </cell>
          <cell r="AD78">
            <v>41.462311518069754</v>
          </cell>
        </row>
        <row r="79">
          <cell r="D79">
            <v>38565</v>
          </cell>
          <cell r="G79">
            <v>46.877464152131594</v>
          </cell>
          <cell r="L79">
            <v>30.84043694219184</v>
          </cell>
          <cell r="O79">
            <v>131235.359375</v>
          </cell>
          <cell r="P79">
            <v>88603.0390625</v>
          </cell>
          <cell r="Q79">
            <v>22866.3984375</v>
          </cell>
          <cell r="R79">
            <v>22866.3984375</v>
          </cell>
          <cell r="T79">
            <v>-166086.39534665507</v>
          </cell>
          <cell r="Y79">
            <v>43.176611719068575</v>
          </cell>
          <cell r="AD79">
            <v>41.942994241380902</v>
          </cell>
        </row>
        <row r="80">
          <cell r="D80">
            <v>38596</v>
          </cell>
          <cell r="G80">
            <v>46.791928963562953</v>
          </cell>
          <cell r="L80">
            <v>30.784163791817733</v>
          </cell>
          <cell r="O80">
            <v>119243.8828125</v>
          </cell>
          <cell r="P80">
            <v>85321.125</v>
          </cell>
          <cell r="Q80">
            <v>22754.16015625</v>
          </cell>
          <cell r="R80">
            <v>28432.44140625</v>
          </cell>
          <cell r="T80">
            <v>-159231.71917186011</v>
          </cell>
          <cell r="Y80">
            <v>43.097829308544824</v>
          </cell>
          <cell r="AD80">
            <v>41.866462756872117</v>
          </cell>
        </row>
        <row r="81">
          <cell r="D81">
            <v>38626</v>
          </cell>
          <cell r="G81">
            <v>46.792902799180389</v>
          </cell>
          <cell r="L81">
            <v>30.784804473144995</v>
          </cell>
          <cell r="O81">
            <v>118364.3984375</v>
          </cell>
          <cell r="P81">
            <v>87901.75</v>
          </cell>
          <cell r="Q81">
            <v>28236.900390625</v>
          </cell>
          <cell r="R81">
            <v>28236.900390625</v>
          </cell>
          <cell r="T81">
            <v>-163115.2631198052</v>
          </cell>
          <cell r="Y81">
            <v>43.098726262402991</v>
          </cell>
          <cell r="AD81">
            <v>41.867334083477189</v>
          </cell>
        </row>
        <row r="82">
          <cell r="D82">
            <v>38657</v>
          </cell>
          <cell r="G82">
            <v>49.543668633242042</v>
          </cell>
          <cell r="L82">
            <v>32.594518837659237</v>
          </cell>
          <cell r="O82">
            <v>118056.7265625</v>
          </cell>
          <cell r="P82">
            <v>84535.921875</v>
          </cell>
          <cell r="Q82">
            <v>22534.61328125</v>
          </cell>
          <cell r="R82">
            <v>28156.361328125</v>
          </cell>
          <cell r="T82">
            <v>-153053.05086066411</v>
          </cell>
          <cell r="Y82">
            <v>45.632326372722929</v>
          </cell>
          <cell r="AD82">
            <v>44.328545619216563</v>
          </cell>
        </row>
        <row r="83">
          <cell r="D83">
            <v>38687</v>
          </cell>
          <cell r="G83">
            <v>51.700465371279535</v>
          </cell>
          <cell r="L83">
            <v>34.013464060052321</v>
          </cell>
          <cell r="O83">
            <v>117514.3515625</v>
          </cell>
          <cell r="P83">
            <v>86915.21875</v>
          </cell>
          <cell r="Q83">
            <v>28026.080078125</v>
          </cell>
          <cell r="R83">
            <v>28016.78515625</v>
          </cell>
          <cell r="T83">
            <v>-156082.17443067633</v>
          </cell>
          <cell r="Y83">
            <v>47.618849684073254</v>
          </cell>
          <cell r="AD83">
            <v>46.258311121671156</v>
          </cell>
        </row>
        <row r="84">
          <cell r="D84">
            <v>38718</v>
          </cell>
          <cell r="G84">
            <v>47.777782394935258</v>
          </cell>
          <cell r="L84">
            <v>28.788466796484741</v>
          </cell>
          <cell r="O84">
            <v>137875.25</v>
          </cell>
          <cell r="P84">
            <v>101924.5546875</v>
          </cell>
          <cell r="Q84">
            <v>26295.794921875</v>
          </cell>
          <cell r="R84">
            <v>39435.23046875</v>
          </cell>
          <cell r="T84">
            <v>-145870.8652562004</v>
          </cell>
          <cell r="Y84">
            <v>44.289948917668831</v>
          </cell>
          <cell r="AD84">
            <v>42.905888013991678</v>
          </cell>
        </row>
        <row r="85">
          <cell r="D85">
            <v>38749</v>
          </cell>
          <cell r="G85">
            <v>46.659772180974734</v>
          </cell>
          <cell r="L85">
            <v>28.114810584133092</v>
          </cell>
          <cell r="O85">
            <v>130676.546875</v>
          </cell>
          <cell r="P85">
            <v>91633.8125</v>
          </cell>
          <cell r="Q85">
            <v>26172.2109375</v>
          </cell>
          <cell r="R85">
            <v>26172.2109375</v>
          </cell>
          <cell r="T85">
            <v>-135552.99773414942</v>
          </cell>
          <cell r="Y85">
            <v>43.253554744820143</v>
          </cell>
          <cell r="AD85">
            <v>41.901881159044514</v>
          </cell>
        </row>
        <row r="86">
          <cell r="D86">
            <v>38777</v>
          </cell>
          <cell r="G86">
            <v>44.883882699969874</v>
          </cell>
          <cell r="L86">
            <v>27.044749714929701</v>
          </cell>
          <cell r="O86">
            <v>149482.390625</v>
          </cell>
          <cell r="P86">
            <v>100915.7421875</v>
          </cell>
          <cell r="Q86">
            <v>26035.751953125</v>
          </cell>
          <cell r="R86">
            <v>26035.751953125</v>
          </cell>
          <cell r="T86">
            <v>-150931.29391672282</v>
          </cell>
          <cell r="Y86">
            <v>41.607307253738</v>
          </cell>
          <cell r="AD86">
            <v>40.307078902058684</v>
          </cell>
        </row>
        <row r="87">
          <cell r="D87">
            <v>38808</v>
          </cell>
          <cell r="G87">
            <v>42.336335733723573</v>
          </cell>
          <cell r="L87">
            <v>25.509727209196125</v>
          </cell>
          <cell r="O87">
            <v>129322.890625</v>
          </cell>
          <cell r="P87">
            <v>96759.1953125</v>
          </cell>
          <cell r="Q87">
            <v>32383.853515625</v>
          </cell>
          <cell r="R87">
            <v>32383.853515625</v>
          </cell>
          <cell r="T87">
            <v>-146144.28108162936</v>
          </cell>
          <cell r="Y87">
            <v>39.245734167994037</v>
          </cell>
          <cell r="AD87">
            <v>38.019304975244225</v>
          </cell>
        </row>
        <row r="88">
          <cell r="D88">
            <v>38838</v>
          </cell>
          <cell r="G88">
            <v>42.414345533924518</v>
          </cell>
          <cell r="L88">
            <v>25.556731955551271</v>
          </cell>
          <cell r="O88">
            <v>141518.765625</v>
          </cell>
          <cell r="P88">
            <v>99860.3984375</v>
          </cell>
          <cell r="Q88">
            <v>25771.9765625</v>
          </cell>
          <cell r="R88">
            <v>32204.6484375</v>
          </cell>
          <cell r="T88">
            <v>-151288.09017120005</v>
          </cell>
          <cell r="Y88">
            <v>39.318049162386572</v>
          </cell>
          <cell r="AD88">
            <v>38.08936012606199</v>
          </cell>
        </row>
        <row r="89">
          <cell r="D89">
            <v>38869</v>
          </cell>
          <cell r="G89">
            <v>42.918484259479726</v>
          </cell>
          <cell r="L89">
            <v>25.86050036492405</v>
          </cell>
          <cell r="O89">
            <v>140784.6875</v>
          </cell>
          <cell r="P89">
            <v>96144.484375</v>
          </cell>
          <cell r="Q89">
            <v>25637.14453125</v>
          </cell>
          <cell r="R89">
            <v>25637.14453125</v>
          </cell>
          <cell r="T89">
            <v>-146335.0334641001</v>
          </cell>
          <cell r="Y89">
            <v>39.78538517680623</v>
          </cell>
          <cell r="AD89">
            <v>38.542091890031038</v>
          </cell>
        </row>
        <row r="90">
          <cell r="D90">
            <v>38899</v>
          </cell>
          <cell r="G90">
            <v>43.51318740614699</v>
          </cell>
          <cell r="L90">
            <v>26.218838298025993</v>
          </cell>
          <cell r="O90">
            <v>127691.5</v>
          </cell>
          <cell r="P90">
            <v>98968.8359375</v>
          </cell>
          <cell r="Q90">
            <v>31914.208984375</v>
          </cell>
          <cell r="R90">
            <v>38298.88671875</v>
          </cell>
          <cell r="T90">
            <v>-150182.58188704582</v>
          </cell>
          <cell r="Y90">
            <v>40.336674304655375</v>
          </cell>
          <cell r="AD90">
            <v>39.076153232634894</v>
          </cell>
        </row>
        <row r="91">
          <cell r="D91">
            <v>38930</v>
          </cell>
          <cell r="G91">
            <v>44.019078263657946</v>
          </cell>
          <cell r="L91">
            <v>26.523662453189026</v>
          </cell>
          <cell r="O91">
            <v>146062.21875</v>
          </cell>
          <cell r="P91">
            <v>98444.5625</v>
          </cell>
          <cell r="Q91">
            <v>25403.345703125</v>
          </cell>
          <cell r="R91">
            <v>25403.345703125</v>
          </cell>
          <cell r="T91">
            <v>-150944.37695493188</v>
          </cell>
          <cell r="Y91">
            <v>40.805634543367731</v>
          </cell>
          <cell r="AD91">
            <v>39.530458463887491</v>
          </cell>
        </row>
        <row r="92">
          <cell r="D92">
            <v>38961</v>
          </cell>
          <cell r="G92">
            <v>43.958412938851048</v>
          </cell>
          <cell r="L92">
            <v>26.487108607418936</v>
          </cell>
          <cell r="O92">
            <v>126352.6796875</v>
          </cell>
          <cell r="P92">
            <v>94772.2109375</v>
          </cell>
          <cell r="Q92">
            <v>31589.771484375</v>
          </cell>
          <cell r="R92">
            <v>31588.82421875</v>
          </cell>
          <cell r="T92">
            <v>-145302.18741741401</v>
          </cell>
          <cell r="Y92">
            <v>40.749397857567594</v>
          </cell>
          <cell r="AD92">
            <v>39.475979174518606</v>
          </cell>
        </row>
        <row r="93">
          <cell r="D93">
            <v>38991</v>
          </cell>
          <cell r="G93">
            <v>43.975066813608954</v>
          </cell>
          <cell r="L93">
            <v>26.497143387110842</v>
          </cell>
          <cell r="O93">
            <v>138322.71875</v>
          </cell>
          <cell r="P93">
            <v>97852.15625</v>
          </cell>
          <cell r="Q93">
            <v>25150.078125</v>
          </cell>
          <cell r="R93">
            <v>31437.49609375</v>
          </cell>
          <cell r="T93">
            <v>-150690.88358519785</v>
          </cell>
          <cell r="Y93">
            <v>40.764835980170524</v>
          </cell>
          <cell r="AD93">
            <v>39.490934855790194</v>
          </cell>
        </row>
        <row r="94">
          <cell r="D94">
            <v>39022</v>
          </cell>
          <cell r="G94">
            <v>46.424548021672557</v>
          </cell>
          <cell r="L94">
            <v>27.973076444113239</v>
          </cell>
          <cell r="O94">
            <v>131419.34375</v>
          </cell>
          <cell r="P94">
            <v>93875.9375</v>
          </cell>
          <cell r="Q94">
            <v>25032.8515625</v>
          </cell>
          <cell r="R94">
            <v>31290.9453125</v>
          </cell>
          <cell r="T94">
            <v>-141986.41160375412</v>
          </cell>
          <cell r="Y94">
            <v>43.035502221712676</v>
          </cell>
          <cell r="AD94">
            <v>41.690642777284154</v>
          </cell>
        </row>
        <row r="95">
          <cell r="D95">
            <v>39052</v>
          </cell>
          <cell r="G95">
            <v>48.385979190377249</v>
          </cell>
          <cell r="L95">
            <v>29.154935317492662</v>
          </cell>
          <cell r="O95">
            <v>124562.4375</v>
          </cell>
          <cell r="P95">
            <v>96539.9921875</v>
          </cell>
          <cell r="Q95">
            <v>31141.181640625</v>
          </cell>
          <cell r="R95">
            <v>37369.3046875</v>
          </cell>
          <cell r="T95">
            <v>-144846.93633551922</v>
          </cell>
          <cell r="Y95">
            <v>44.8537466422964</v>
          </cell>
          <cell r="AD95">
            <v>43.452067059724641</v>
          </cell>
        </row>
        <row r="96">
          <cell r="D96">
            <v>39083</v>
          </cell>
          <cell r="G96">
            <v>49.224615972676219</v>
          </cell>
          <cell r="L96">
            <v>29.660255279016955</v>
          </cell>
          <cell r="O96">
            <v>136490.703125</v>
          </cell>
          <cell r="P96">
            <v>96165.8046875</v>
          </cell>
          <cell r="Q96">
            <v>24816.716796875</v>
          </cell>
          <cell r="R96">
            <v>31020.49609375</v>
          </cell>
          <cell r="T96">
            <v>-128890.62682775506</v>
          </cell>
          <cell r="Y96">
            <v>45.631161967718391</v>
          </cell>
          <cell r="AD96">
            <v>44.205188156227194</v>
          </cell>
        </row>
        <row r="97">
          <cell r="D97">
            <v>39114</v>
          </cell>
          <cell r="G97">
            <v>48.088767022477398</v>
          </cell>
          <cell r="L97">
            <v>28.975850349580817</v>
          </cell>
          <cell r="O97">
            <v>123540</v>
          </cell>
          <cell r="P97">
            <v>86478</v>
          </cell>
          <cell r="Q97">
            <v>24708</v>
          </cell>
          <cell r="R97">
            <v>24708</v>
          </cell>
          <cell r="T97">
            <v>-119226.18743938013</v>
          </cell>
          <cell r="Y97">
            <v>44.57823130704741</v>
          </cell>
          <cell r="AD97">
            <v>43.185161578702179</v>
          </cell>
        </row>
        <row r="98">
          <cell r="D98">
            <v>39142</v>
          </cell>
          <cell r="G98">
            <v>46.294756137468816</v>
          </cell>
          <cell r="L98">
            <v>27.894870442043782</v>
          </cell>
          <cell r="O98">
            <v>135217.96875</v>
          </cell>
          <cell r="P98">
            <v>95267.203125</v>
          </cell>
          <cell r="Q98">
            <v>30731.357421875</v>
          </cell>
          <cell r="R98">
            <v>24585.0859375</v>
          </cell>
          <cell r="T98">
            <v>-132000.88324304434</v>
          </cell>
          <cell r="Y98">
            <v>42.91518529545197</v>
          </cell>
          <cell r="AD98">
            <v>41.574085754969097</v>
          </cell>
        </row>
        <row r="99">
          <cell r="D99">
            <v>39173</v>
          </cell>
          <cell r="G99">
            <v>43.661882777680297</v>
          </cell>
          <cell r="L99">
            <v>26.308434582148035</v>
          </cell>
          <cell r="O99">
            <v>128455.578125</v>
          </cell>
          <cell r="P99">
            <v>91371.6796875</v>
          </cell>
          <cell r="Q99">
            <v>24467.728515625</v>
          </cell>
          <cell r="R99">
            <v>30584.662109375</v>
          </cell>
          <cell r="T99">
            <v>-127727.33325527259</v>
          </cell>
          <cell r="Y99">
            <v>40.474514741766207</v>
          </cell>
          <cell r="AD99">
            <v>39.209686156086015</v>
          </cell>
        </row>
        <row r="100">
          <cell r="D100">
            <v>39203</v>
          </cell>
          <cell r="G100">
            <v>43.725981491470534</v>
          </cell>
          <cell r="L100">
            <v>26.347057213864051</v>
          </cell>
          <cell r="O100">
            <v>133899.78125</v>
          </cell>
          <cell r="P100">
            <v>94338.4765625</v>
          </cell>
          <cell r="Q100">
            <v>24345.4140625</v>
          </cell>
          <cell r="R100">
            <v>30431.767578125</v>
          </cell>
          <cell r="T100">
            <v>-131592.27976957176</v>
          </cell>
          <cell r="Y100">
            <v>40.53393417517546</v>
          </cell>
          <cell r="AD100">
            <v>39.267248732201224</v>
          </cell>
        </row>
        <row r="101">
          <cell r="D101">
            <v>39234</v>
          </cell>
          <cell r="G101">
            <v>44.215825909094043</v>
          </cell>
          <cell r="L101">
            <v>26.642212598758864</v>
          </cell>
          <cell r="O101">
            <v>127200.609375</v>
          </cell>
          <cell r="P101">
            <v>90857.578125</v>
          </cell>
          <cell r="Q101">
            <v>30285.859375</v>
          </cell>
          <cell r="R101">
            <v>24228.6875</v>
          </cell>
          <cell r="T101">
            <v>-126671.30787741745</v>
          </cell>
          <cell r="Y101">
            <v>40.988019382705943</v>
          </cell>
          <cell r="AD101">
            <v>39.707143776996382</v>
          </cell>
        </row>
        <row r="102">
          <cell r="D102">
            <v>39264</v>
          </cell>
          <cell r="G102">
            <v>44.795930479133027</v>
          </cell>
          <cell r="L102">
            <v>26.991754170508887</v>
          </cell>
          <cell r="O102">
            <v>126547.8515625</v>
          </cell>
          <cell r="P102">
            <v>93404.3671875</v>
          </cell>
          <cell r="Q102">
            <v>24104.353515625</v>
          </cell>
          <cell r="R102">
            <v>36156.53125</v>
          </cell>
          <cell r="T102">
            <v>-129775.64135855736</v>
          </cell>
          <cell r="Y102">
            <v>41.525775646936751</v>
          </cell>
          <cell r="AD102">
            <v>40.228095157969975</v>
          </cell>
        </row>
        <row r="103">
          <cell r="D103">
            <v>39295</v>
          </cell>
          <cell r="G103">
            <v>45.285598320698654</v>
          </cell>
          <cell r="L103">
            <v>27.28680315963302</v>
          </cell>
          <cell r="O103">
            <v>137909.90625</v>
          </cell>
          <cell r="P103">
            <v>92939.28125</v>
          </cell>
          <cell r="Q103">
            <v>23984.330078125</v>
          </cell>
          <cell r="R103">
            <v>23984.330078125</v>
          </cell>
          <cell r="T103">
            <v>-129737.85353730983</v>
          </cell>
          <cell r="Y103">
            <v>41.979697168666185</v>
          </cell>
          <cell r="AD103">
            <v>40.667831632145365</v>
          </cell>
        </row>
        <row r="104">
          <cell r="D104">
            <v>39326</v>
          </cell>
          <cell r="G104">
            <v>45.207419281528118</v>
          </cell>
          <cell r="L104">
            <v>27.239696438464215</v>
          </cell>
          <cell r="O104">
            <v>113340.1015625</v>
          </cell>
          <cell r="P104">
            <v>89479.03125</v>
          </cell>
          <cell r="Q104">
            <v>29826.34375</v>
          </cell>
          <cell r="R104">
            <v>35791.61328125</v>
          </cell>
          <cell r="T104">
            <v>-124053.84172938106</v>
          </cell>
          <cell r="Y104">
            <v>41.907225289944947</v>
          </cell>
          <cell r="AD104">
            <v>40.597624499634165</v>
          </cell>
        </row>
        <row r="105">
          <cell r="D105">
            <v>39356</v>
          </cell>
          <cell r="G105">
            <v>45.206613593002324</v>
          </cell>
          <cell r="L105">
            <v>27.239210971449832</v>
          </cell>
          <cell r="O105">
            <v>136504.796875</v>
          </cell>
          <cell r="P105">
            <v>92363.296875</v>
          </cell>
          <cell r="Q105">
            <v>23739.96484375</v>
          </cell>
          <cell r="R105">
            <v>23739.96484375</v>
          </cell>
          <cell r="T105">
            <v>-128770.07601595754</v>
          </cell>
          <cell r="Y105">
            <v>41.906478417615126</v>
          </cell>
          <cell r="AD105">
            <v>40.596900967064656</v>
          </cell>
        </row>
        <row r="106">
          <cell r="D106">
            <v>39387</v>
          </cell>
          <cell r="G106">
            <v>47.644374673620192</v>
          </cell>
          <cell r="L106">
            <v>28.708082074487251</v>
          </cell>
          <cell r="O106">
            <v>124010.0390625</v>
          </cell>
          <cell r="P106">
            <v>88578.6015625</v>
          </cell>
          <cell r="Q106">
            <v>23620.9609375</v>
          </cell>
          <cell r="R106">
            <v>29526.201171875</v>
          </cell>
          <cell r="T106">
            <v>-119963.05737417175</v>
          </cell>
          <cell r="Y106">
            <v>44.166280114595772</v>
          </cell>
          <cell r="AD106">
            <v>42.786083861014653</v>
          </cell>
        </row>
        <row r="107">
          <cell r="D107">
            <v>39417</v>
          </cell>
          <cell r="G107">
            <v>49.604587568366121</v>
          </cell>
          <cell r="L107">
            <v>29.889206877810405</v>
          </cell>
          <cell r="O107">
            <v>117493.9765625</v>
          </cell>
          <cell r="P107">
            <v>91057.8359375</v>
          </cell>
          <cell r="Q107">
            <v>29373.494140625</v>
          </cell>
          <cell r="R107">
            <v>35248.1953125</v>
          </cell>
          <cell r="T107">
            <v>-122402.09854084559</v>
          </cell>
          <cell r="Y107">
            <v>45.983395196631392</v>
          </cell>
          <cell r="AD107">
            <v>44.546414096736662</v>
          </cell>
        </row>
        <row r="108">
          <cell r="D108">
            <v>39448</v>
          </cell>
          <cell r="G108">
            <v>50.474339169771866</v>
          </cell>
          <cell r="L108">
            <v>30.413275050152226</v>
          </cell>
          <cell r="O108">
            <v>132251.671875</v>
          </cell>
          <cell r="P108">
            <v>93177.3125</v>
          </cell>
          <cell r="Q108">
            <v>24045.7578125</v>
          </cell>
          <cell r="R108">
            <v>30057.197265625</v>
          </cell>
          <cell r="T108">
            <v>-110377.7172486221</v>
          </cell>
          <cell r="Y108">
            <v>46.789653923311114</v>
          </cell>
          <cell r="AD108">
            <v>45.327477238207642</v>
          </cell>
        </row>
        <row r="109">
          <cell r="D109">
            <v>39479</v>
          </cell>
          <cell r="G109">
            <v>49.337683800711602</v>
          </cell>
          <cell r="L109">
            <v>29.728384213638506</v>
          </cell>
          <cell r="O109">
            <v>125617.875</v>
          </cell>
          <cell r="P109">
            <v>86736.15625</v>
          </cell>
          <cell r="Q109">
            <v>23927.21484375</v>
          </cell>
          <cell r="R109">
            <v>23927.21484375</v>
          </cell>
          <cell r="T109">
            <v>-106202.96791381465</v>
          </cell>
          <cell r="Y109">
            <v>45.73597571329001</v>
          </cell>
          <cell r="AD109">
            <v>44.3067264722497</v>
          </cell>
        </row>
        <row r="110">
          <cell r="D110">
            <v>39508</v>
          </cell>
          <cell r="G110">
            <v>47.543098163732459</v>
          </cell>
          <cell r="L110">
            <v>28.647057989734506</v>
          </cell>
          <cell r="O110">
            <v>124952.296875</v>
          </cell>
          <cell r="P110">
            <v>92226.6953125</v>
          </cell>
          <cell r="Q110">
            <v>29750.546875</v>
          </cell>
          <cell r="R110">
            <v>29750.546875</v>
          </cell>
          <cell r="T110">
            <v>-113235.31965940449</v>
          </cell>
          <cell r="Y110">
            <v>44.072396907283853</v>
          </cell>
          <cell r="AD110">
            <v>42.695134503931236</v>
          </cell>
        </row>
        <row r="111">
          <cell r="D111">
            <v>39539</v>
          </cell>
          <cell r="G111">
            <v>44.84534836940221</v>
          </cell>
          <cell r="L111">
            <v>27.021530883069694</v>
          </cell>
          <cell r="O111">
            <v>130227.34375</v>
          </cell>
          <cell r="P111">
            <v>88421.40625</v>
          </cell>
          <cell r="Q111">
            <v>23677.69921875</v>
          </cell>
          <cell r="R111">
            <v>23677.69921875</v>
          </cell>
          <cell r="T111">
            <v>-110233.48190076652</v>
          </cell>
          <cell r="Y111">
            <v>41.571585973953376</v>
          </cell>
          <cell r="AD111">
            <v>40.27247391226733</v>
          </cell>
        </row>
        <row r="112">
          <cell r="D112">
            <v>39569</v>
          </cell>
          <cell r="G112">
            <v>44.908546563039614</v>
          </cell>
          <cell r="L112">
            <v>27.059610907045883</v>
          </cell>
          <cell r="O112">
            <v>123637.75</v>
          </cell>
          <cell r="P112">
            <v>91256.4375</v>
          </cell>
          <cell r="Q112">
            <v>29437.560546875</v>
          </cell>
          <cell r="R112">
            <v>29437.560546875</v>
          </cell>
          <cell r="T112">
            <v>-113104.83214877501</v>
          </cell>
          <cell r="Y112">
            <v>41.630170626224434</v>
          </cell>
          <cell r="AD112">
            <v>40.329227794154917</v>
          </cell>
        </row>
        <row r="113">
          <cell r="D113">
            <v>39600</v>
          </cell>
          <cell r="G113">
            <v>45.397343106948561</v>
          </cell>
          <cell r="L113">
            <v>27.354134896423233</v>
          </cell>
          <cell r="O113">
            <v>123001.125</v>
          </cell>
          <cell r="P113">
            <v>87857.953125</v>
          </cell>
          <cell r="Q113">
            <v>23428.78515625</v>
          </cell>
          <cell r="R113">
            <v>29285.982421875</v>
          </cell>
          <cell r="T113">
            <v>-109047.03364070937</v>
          </cell>
          <cell r="Y113">
            <v>42.083284456035742</v>
          </cell>
          <cell r="AD113">
            <v>40.768181816784626</v>
          </cell>
        </row>
        <row r="114">
          <cell r="D114">
            <v>39630</v>
          </cell>
          <cell r="G114">
            <v>45.976382817270192</v>
          </cell>
          <cell r="L114">
            <v>27.703034837752607</v>
          </cell>
          <cell r="O114">
            <v>128155.8828125</v>
          </cell>
          <cell r="P114">
            <v>90291.6484375</v>
          </cell>
          <cell r="Q114">
            <v>23301.0703125</v>
          </cell>
          <cell r="R114">
            <v>29126.337890625</v>
          </cell>
          <cell r="T114">
            <v>-112152.11630882515</v>
          </cell>
          <cell r="Y114">
            <v>42.620053596542469</v>
          </cell>
          <cell r="AD114">
            <v>41.288176921650518</v>
          </cell>
        </row>
        <row r="115">
          <cell r="D115">
            <v>39661</v>
          </cell>
          <cell r="G115">
            <v>46.464958474450846</v>
          </cell>
          <cell r="L115">
            <v>27.997425731998188</v>
          </cell>
          <cell r="O115">
            <v>121668.15625</v>
          </cell>
          <cell r="P115">
            <v>89802.6875</v>
          </cell>
          <cell r="Q115">
            <v>28968.609375</v>
          </cell>
          <cell r="R115">
            <v>28968.609375</v>
          </cell>
          <cell r="T115">
            <v>-111388.62607900788</v>
          </cell>
          <cell r="Y115">
            <v>43.072962664612596</v>
          </cell>
          <cell r="AD115">
            <v>41.726932581343455</v>
          </cell>
        </row>
        <row r="116">
          <cell r="D116">
            <v>39692</v>
          </cell>
          <cell r="G116">
            <v>46.385851115885245</v>
          </cell>
          <cell r="L116">
            <v>27.949759652677088</v>
          </cell>
          <cell r="O116">
            <v>121018.96875</v>
          </cell>
          <cell r="P116">
            <v>86442.1171875</v>
          </cell>
          <cell r="Q116">
            <v>23051.232421875</v>
          </cell>
          <cell r="R116">
            <v>28814.041015625</v>
          </cell>
          <cell r="T116">
            <v>-107547.37720372571</v>
          </cell>
          <cell r="Y116">
            <v>42.999630234887825</v>
          </cell>
          <cell r="AD116">
            <v>41.655891790047583</v>
          </cell>
        </row>
        <row r="117">
          <cell r="D117">
            <v>39722</v>
          </cell>
          <cell r="G117">
            <v>46.38412248602917</v>
          </cell>
          <cell r="L117">
            <v>27.948718068059289</v>
          </cell>
          <cell r="O117">
            <v>131814.453125</v>
          </cell>
          <cell r="P117">
            <v>89189.671875</v>
          </cell>
          <cell r="Q117">
            <v>22924.25390625</v>
          </cell>
          <cell r="R117">
            <v>22924.25390625</v>
          </cell>
          <cell r="T117">
            <v>-111174.35078413341</v>
          </cell>
          <cell r="Y117">
            <v>42.998027797014288</v>
          </cell>
          <cell r="AD117">
            <v>41.654339428357588</v>
          </cell>
        </row>
        <row r="118">
          <cell r="D118">
            <v>39753</v>
          </cell>
          <cell r="G118">
            <v>48.629161280915731</v>
          </cell>
          <cell r="L118">
            <v>29.301464502985141</v>
          </cell>
          <cell r="O118">
            <v>108299.1328125</v>
          </cell>
          <cell r="P118">
            <v>85499.3203125</v>
          </cell>
          <cell r="Q118">
            <v>28499.7734375</v>
          </cell>
          <cell r="R118">
            <v>34199.7265625</v>
          </cell>
          <cell r="T118">
            <v>-103339.90176456586</v>
          </cell>
          <cell r="Y118">
            <v>45.079176158438678</v>
          </cell>
          <cell r="AD118">
            <v>43.670451903487468</v>
          </cell>
        </row>
        <row r="119">
          <cell r="D119">
            <v>39783</v>
          </cell>
          <cell r="G119">
            <v>50.615155329601322</v>
          </cell>
          <cell r="L119">
            <v>30.498123721196624</v>
          </cell>
          <cell r="O119">
            <v>124713.5078125</v>
          </cell>
          <cell r="P119">
            <v>87866.34375</v>
          </cell>
          <cell r="Q119">
            <v>22675.18359375</v>
          </cell>
          <cell r="R119">
            <v>28343.98046875</v>
          </cell>
          <cell r="T119">
            <v>-106757.23491883161</v>
          </cell>
          <cell r="Y119">
            <v>46.920190340302497</v>
          </cell>
          <cell r="AD119">
            <v>45.453934392168044</v>
          </cell>
        </row>
        <row r="120">
          <cell r="D120">
            <v>39814</v>
          </cell>
          <cell r="G120">
            <v>51.545798432379236</v>
          </cell>
          <cell r="L120">
            <v>31.058882021827579</v>
          </cell>
          <cell r="O120">
            <v>118370.0703125</v>
          </cell>
          <cell r="P120">
            <v>87368.3828125</v>
          </cell>
          <cell r="Q120">
            <v>28183.349609375</v>
          </cell>
          <cell r="R120">
            <v>28183.349609375</v>
          </cell>
          <cell r="T120">
            <v>-91900.072816636151</v>
          </cell>
          <cell r="Y120">
            <v>47.782895418196276</v>
          </cell>
          <cell r="AD120">
            <v>46.289679936377645</v>
          </cell>
        </row>
        <row r="121">
          <cell r="D121">
            <v>39845</v>
          </cell>
          <cell r="G121">
            <v>50.436777148242314</v>
          </cell>
          <cell r="L121">
            <v>30.3906420823708</v>
          </cell>
          <cell r="O121">
            <v>112160.1875</v>
          </cell>
          <cell r="P121">
            <v>78512.1328125</v>
          </cell>
          <cell r="Q121">
            <v>22432.037109375</v>
          </cell>
          <cell r="R121">
            <v>22432.037109375</v>
          </cell>
          <cell r="T121">
            <v>-86052.406901480746</v>
          </cell>
          <cell r="Y121">
            <v>46.754833972878153</v>
          </cell>
          <cell r="AD121">
            <v>45.293745411225707</v>
          </cell>
        </row>
        <row r="122">
          <cell r="D122">
            <v>39873</v>
          </cell>
          <cell r="G122">
            <v>48.66524101593523</v>
          </cell>
          <cell r="L122">
            <v>29.32320432014637</v>
          </cell>
          <cell r="O122">
            <v>122682.5625</v>
          </cell>
          <cell r="P122">
            <v>86435.4453125</v>
          </cell>
          <cell r="Q122">
            <v>22305.921875</v>
          </cell>
          <cell r="R122">
            <v>27882.400390625</v>
          </cell>
          <cell r="T122">
            <v>-95492.574370158356</v>
          </cell>
          <cell r="Y122">
            <v>45.112622030994416</v>
          </cell>
          <cell r="AD122">
            <v>43.702852592525844</v>
          </cell>
        </row>
        <row r="123">
          <cell r="D123">
            <v>39904</v>
          </cell>
          <cell r="G123">
            <v>45.536984414160493</v>
          </cell>
          <cell r="L123">
            <v>27.438275660907827</v>
          </cell>
          <cell r="O123">
            <v>122007.3671875</v>
          </cell>
          <cell r="P123">
            <v>82840.234375</v>
          </cell>
          <cell r="Q123">
            <v>22183.158203125</v>
          </cell>
          <cell r="R123">
            <v>22183.158203125</v>
          </cell>
          <cell r="T123">
            <v>-93068.252305847956</v>
          </cell>
          <cell r="Y123">
            <v>42.212731786012043</v>
          </cell>
          <cell r="AD123">
            <v>40.893583917699168</v>
          </cell>
        </row>
        <row r="124">
          <cell r="D124">
            <v>39934</v>
          </cell>
          <cell r="G124">
            <v>45.626987407250816</v>
          </cell>
          <cell r="L124">
            <v>27.492506896605359</v>
          </cell>
          <cell r="O124">
            <v>110273.984375</v>
          </cell>
          <cell r="P124">
            <v>85462.34375</v>
          </cell>
          <cell r="Q124">
            <v>27568.49609375</v>
          </cell>
          <cell r="R124">
            <v>33082.1953125</v>
          </cell>
          <cell r="T124">
            <v>-95546.881466153805</v>
          </cell>
          <cell r="Y124">
            <v>42.296164456315935</v>
          </cell>
          <cell r="AD124">
            <v>40.974409317056065</v>
          </cell>
        </row>
        <row r="125">
          <cell r="D125">
            <v>39965</v>
          </cell>
          <cell r="G125">
            <v>46.145718218853027</v>
          </cell>
          <cell r="L125">
            <v>27.805067756435193</v>
          </cell>
          <cell r="O125">
            <v>120635.265625</v>
          </cell>
          <cell r="P125">
            <v>82251.3125</v>
          </cell>
          <cell r="Q125">
            <v>21933.68359375</v>
          </cell>
          <cell r="R125">
            <v>21933.68359375</v>
          </cell>
          <cell r="T125">
            <v>-92943.981540092878</v>
          </cell>
          <cell r="Y125">
            <v>42.777027317592605</v>
          </cell>
          <cell r="AD125">
            <v>41.440245213917834</v>
          </cell>
        </row>
        <row r="126">
          <cell r="D126">
            <v>39995</v>
          </cell>
          <cell r="G126">
            <v>46.755359885414755</v>
          </cell>
          <cell r="L126">
            <v>28.172406883448055</v>
          </cell>
          <cell r="O126">
            <v>125390.1953125</v>
          </cell>
          <cell r="P126">
            <v>84502.09375</v>
          </cell>
          <cell r="Q126">
            <v>16355.2431640625</v>
          </cell>
          <cell r="R126">
            <v>27258.73828125</v>
          </cell>
          <cell r="T126">
            <v>-95869.870537758805</v>
          </cell>
          <cell r="Y126">
            <v>43.342164436073929</v>
          </cell>
          <cell r="AD126">
            <v>41.987721797446618</v>
          </cell>
        </row>
        <row r="127">
          <cell r="D127">
            <v>40026</v>
          </cell>
          <cell r="G127">
            <v>47.276399366702393</v>
          </cell>
          <cell r="L127">
            <v>28.486358830457984</v>
          </cell>
          <cell r="O127">
            <v>113826</v>
          </cell>
          <cell r="P127">
            <v>84014.4296875</v>
          </cell>
          <cell r="Q127">
            <v>27101.427734375</v>
          </cell>
          <cell r="R127">
            <v>27101.427734375</v>
          </cell>
          <cell r="T127">
            <v>-95410.656974509722</v>
          </cell>
          <cell r="Y127">
            <v>43.825167431473822</v>
          </cell>
          <cell r="AD127">
            <v>42.455630949240266</v>
          </cell>
        </row>
        <row r="128">
          <cell r="D128">
            <v>40057</v>
          </cell>
          <cell r="G128">
            <v>47.227878223158108</v>
          </cell>
          <cell r="L128">
            <v>28.457122451960853</v>
          </cell>
          <cell r="O128">
            <v>113178.984375</v>
          </cell>
          <cell r="P128">
            <v>80842.125</v>
          </cell>
          <cell r="Q128">
            <v>21557.90234375</v>
          </cell>
          <cell r="R128">
            <v>26947.376953125</v>
          </cell>
          <cell r="T128">
            <v>-92444.260976951991</v>
          </cell>
          <cell r="Y128">
            <v>43.78018838763208</v>
          </cell>
          <cell r="AD128">
            <v>42.412057500518578</v>
          </cell>
        </row>
        <row r="129">
          <cell r="D129">
            <v>40087</v>
          </cell>
          <cell r="G129">
            <v>47.256729014275962</v>
          </cell>
          <cell r="L129">
            <v>28.474506474418888</v>
          </cell>
          <cell r="O129">
            <v>117868.640625</v>
          </cell>
          <cell r="P129">
            <v>83378.671875</v>
          </cell>
          <cell r="Q129">
            <v>26788.328125</v>
          </cell>
          <cell r="R129">
            <v>21430.662109375</v>
          </cell>
          <cell r="T129">
            <v>-95713.801678929813</v>
          </cell>
          <cell r="Y129">
            <v>43.806933037567518</v>
          </cell>
          <cell r="AD129">
            <v>42.437966380143536</v>
          </cell>
        </row>
        <row r="130">
          <cell r="D130">
            <v>40118</v>
          </cell>
          <cell r="G130">
            <v>50.001462586007847</v>
          </cell>
          <cell r="L130">
            <v>30.128343620769499</v>
          </cell>
          <cell r="O130">
            <v>106545.6875</v>
          </cell>
          <cell r="P130">
            <v>79909.265625</v>
          </cell>
          <cell r="Q130">
            <v>21309.13671875</v>
          </cell>
          <cell r="R130">
            <v>31963.70703125</v>
          </cell>
          <cell r="T130">
            <v>-89226.117234669771</v>
          </cell>
          <cell r="Y130">
            <v>46.351297878106919</v>
          </cell>
          <cell r="AD130">
            <v>44.902819819416081</v>
          </cell>
        </row>
        <row r="131">
          <cell r="D131">
            <v>40148</v>
          </cell>
          <cell r="G131">
            <v>52.008441356135123</v>
          </cell>
          <cell r="L131">
            <v>31.337647167080256</v>
          </cell>
          <cell r="O131">
            <v>116509.9765625</v>
          </cell>
          <cell r="P131">
            <v>82086.578125</v>
          </cell>
          <cell r="Q131">
            <v>21183.6328125</v>
          </cell>
          <cell r="R131">
            <v>26479.541015625</v>
          </cell>
          <cell r="T131">
            <v>-92322.04658051928</v>
          </cell>
          <cell r="Y131">
            <v>48.211764872431161</v>
          </cell>
          <cell r="AD131">
            <v>46.705147220167689</v>
          </cell>
        </row>
        <row r="132">
          <cell r="D132">
            <v>40179</v>
          </cell>
          <cell r="G132">
            <v>52.98585485662214</v>
          </cell>
          <cell r="L132">
            <v>31.926586935623998</v>
          </cell>
          <cell r="O132">
            <v>104863.4375</v>
          </cell>
          <cell r="P132">
            <v>81269.1640625</v>
          </cell>
          <cell r="Q132">
            <v>26215.859375</v>
          </cell>
          <cell r="R132">
            <v>31459.03125</v>
          </cell>
          <cell r="T132">
            <v>-78109.371394846574</v>
          </cell>
          <cell r="Y132">
            <v>49.117826054806152</v>
          </cell>
          <cell r="AD132">
            <v>47.582893990593462</v>
          </cell>
        </row>
        <row r="133">
          <cell r="D133">
            <v>40210</v>
          </cell>
          <cell r="G133">
            <v>51.876572549861862</v>
          </cell>
          <cell r="L133">
            <v>31.258189717182116</v>
          </cell>
          <cell r="O133">
            <v>104296.34375</v>
          </cell>
          <cell r="P133">
            <v>73007.4375</v>
          </cell>
          <cell r="Q133">
            <v>20859.26953125</v>
          </cell>
          <cell r="R133">
            <v>20859.26953125</v>
          </cell>
          <cell r="T133">
            <v>-73607.586984959984</v>
          </cell>
          <cell r="Y133">
            <v>48.08952264181864</v>
          </cell>
          <cell r="AD133">
            <v>46.586725059261809</v>
          </cell>
        </row>
        <row r="134">
          <cell r="D134">
            <v>40238</v>
          </cell>
          <cell r="G134">
            <v>50.098864930471642</v>
          </cell>
          <cell r="L134">
            <v>30.187033330064022</v>
          </cell>
          <cell r="O134">
            <v>119228.28125</v>
          </cell>
          <cell r="P134">
            <v>80349.5</v>
          </cell>
          <cell r="Q134">
            <v>20735.353515625</v>
          </cell>
          <cell r="R134">
            <v>20735.353515625</v>
          </cell>
          <cell r="T134">
            <v>-81865.417554224361</v>
          </cell>
          <cell r="Y134">
            <v>46.441589738560033</v>
          </cell>
          <cell r="AD134">
            <v>44.990290059230034</v>
          </cell>
        </row>
        <row r="135">
          <cell r="D135">
            <v>40269</v>
          </cell>
          <cell r="G135">
            <v>46.498439887878213</v>
          </cell>
          <cell r="L135">
            <v>28.017599932441101</v>
          </cell>
          <cell r="O135">
            <v>115611.546875</v>
          </cell>
          <cell r="P135">
            <v>78497.609375</v>
          </cell>
          <cell r="Q135">
            <v>21020.28125</v>
          </cell>
          <cell r="R135">
            <v>21020.28125</v>
          </cell>
          <cell r="T135">
            <v>-81020.644737829251</v>
          </cell>
          <cell r="Y135">
            <v>43.103999896063229</v>
          </cell>
          <cell r="AD135">
            <v>41.756999899311253</v>
          </cell>
        </row>
        <row r="136">
          <cell r="D136">
            <v>40299</v>
          </cell>
          <cell r="G136">
            <v>46.595596205618456</v>
          </cell>
          <cell r="L136">
            <v>28.076141398518651</v>
          </cell>
          <cell r="O136">
            <v>104463.0703125</v>
          </cell>
          <cell r="P136">
            <v>80958.8828125</v>
          </cell>
          <cell r="Q136">
            <v>26115.767578125</v>
          </cell>
          <cell r="R136">
            <v>31338.921875</v>
          </cell>
          <cell r="T136">
            <v>-83331.725282721454</v>
          </cell>
          <cell r="Y136">
            <v>43.194063690028692</v>
          </cell>
          <cell r="AD136">
            <v>41.844249199715293</v>
          </cell>
        </row>
        <row r="137">
          <cell r="D137">
            <v>40330</v>
          </cell>
          <cell r="G137">
            <v>47.125067760023896</v>
          </cell>
          <cell r="L137">
            <v>28.395174084834792</v>
          </cell>
          <cell r="O137">
            <v>114234.3984375</v>
          </cell>
          <cell r="P137">
            <v>77887.09375</v>
          </cell>
          <cell r="Q137">
            <v>20769.890625</v>
          </cell>
          <cell r="R137">
            <v>20769.890625</v>
          </cell>
          <cell r="T137">
            <v>-81253.32322224883</v>
          </cell>
          <cell r="Y137">
            <v>43.684883207438141</v>
          </cell>
          <cell r="AD137">
            <v>42.319730607205699</v>
          </cell>
        </row>
        <row r="138">
          <cell r="D138">
            <v>40360</v>
          </cell>
          <cell r="G138">
            <v>47.746098679525645</v>
          </cell>
          <cell r="L138">
            <v>28.769375797628427</v>
          </cell>
          <cell r="O138">
            <v>108365.9453125</v>
          </cell>
          <cell r="P138">
            <v>79984.390625</v>
          </cell>
          <cell r="Q138">
            <v>25801.4140625</v>
          </cell>
          <cell r="R138">
            <v>25801.4140625</v>
          </cell>
          <cell r="T138">
            <v>-83703.031998359598</v>
          </cell>
          <cell r="Y138">
            <v>44.260578150197581</v>
          </cell>
          <cell r="AD138">
            <v>42.87743508300391</v>
          </cell>
        </row>
        <row r="139">
          <cell r="D139">
            <v>40391</v>
          </cell>
          <cell r="G139">
            <v>48.278205752781673</v>
          </cell>
          <cell r="L139">
            <v>29.089996513842951</v>
          </cell>
          <cell r="O139">
            <v>112834.0625</v>
          </cell>
          <cell r="P139">
            <v>79496.7265625</v>
          </cell>
          <cell r="Q139">
            <v>20515.283203125</v>
          </cell>
          <cell r="R139">
            <v>25644.10546875</v>
          </cell>
          <cell r="T139">
            <v>-83972.665701169724</v>
          </cell>
          <cell r="Y139">
            <v>44.753840790527619</v>
          </cell>
          <cell r="AD139">
            <v>43.35528326582363</v>
          </cell>
        </row>
        <row r="140">
          <cell r="D140">
            <v>40422</v>
          </cell>
          <cell r="G140">
            <v>48.236232714741369</v>
          </cell>
          <cell r="L140">
            <v>29.064705691385296</v>
          </cell>
          <cell r="O140">
            <v>107056.0546875</v>
          </cell>
          <cell r="P140">
            <v>76468.609375</v>
          </cell>
          <cell r="Q140">
            <v>20391.62890625</v>
          </cell>
          <cell r="R140">
            <v>25489.537109375</v>
          </cell>
          <cell r="T140">
            <v>-81347.14391042135</v>
          </cell>
          <cell r="Y140">
            <v>44.714931832900454</v>
          </cell>
          <cell r="AD140">
            <v>43.317590213122315</v>
          </cell>
        </row>
        <row r="141">
          <cell r="D141">
            <v>40452</v>
          </cell>
          <cell r="G141">
            <v>48.272045931066842</v>
          </cell>
          <cell r="L141">
            <v>29.086284917908177</v>
          </cell>
          <cell r="O141">
            <v>106382.6328125</v>
          </cell>
          <cell r="P141">
            <v>78837.1328125</v>
          </cell>
          <cell r="Q141">
            <v>25329.197265625</v>
          </cell>
          <cell r="R141">
            <v>25329.197265625</v>
          </cell>
          <cell r="T141">
            <v>-84146.706900890742</v>
          </cell>
          <cell r="Y141">
            <v>44.748130642935656</v>
          </cell>
          <cell r="AD141">
            <v>43.349751560343918</v>
          </cell>
        </row>
        <row r="142">
          <cell r="D142">
            <v>40483</v>
          </cell>
          <cell r="G142">
            <v>50.654056797074581</v>
          </cell>
          <cell r="L142">
            <v>30.521563771122572</v>
          </cell>
          <cell r="O142">
            <v>105745.984375</v>
          </cell>
          <cell r="P142">
            <v>75532.84375</v>
          </cell>
          <cell r="Q142">
            <v>20142.091796875</v>
          </cell>
          <cell r="R142">
            <v>25177.615234375</v>
          </cell>
          <cell r="T142">
            <v>-79127.128887692917</v>
          </cell>
          <cell r="Y142">
            <v>46.956251955573187</v>
          </cell>
          <cell r="AD142">
            <v>45.488869081961525</v>
          </cell>
        </row>
        <row r="143">
          <cell r="D143">
            <v>40513</v>
          </cell>
          <cell r="G143">
            <v>52.685098586274457</v>
          </cell>
          <cell r="L143">
            <v>31.745366471451582</v>
          </cell>
          <cell r="O143">
            <v>115089.390625</v>
          </cell>
          <cell r="P143">
            <v>77560.2421875</v>
          </cell>
          <cell r="Q143">
            <v>15011.6591796875</v>
          </cell>
          <cell r="R143">
            <v>25019.431640625</v>
          </cell>
          <cell r="T143">
            <v>-82196.850005073065</v>
          </cell>
          <cell r="Y143">
            <v>48.839025340694739</v>
          </cell>
          <cell r="AD143">
            <v>47.312805798798031</v>
          </cell>
        </row>
        <row r="144">
          <cell r="D144">
            <v>40544</v>
          </cell>
          <cell r="G144">
            <v>42.770401225290733</v>
          </cell>
          <cell r="L144">
            <v>27.800760796438979</v>
          </cell>
          <cell r="O144">
            <v>108252.7578125</v>
          </cell>
          <cell r="P144">
            <v>79900.84375</v>
          </cell>
          <cell r="Q144">
            <v>20619.572265625</v>
          </cell>
          <cell r="R144">
            <v>30929.359375</v>
          </cell>
          <cell r="T144">
            <v>9219.2626965171676</v>
          </cell>
          <cell r="Y144">
            <v>40.631881164026197</v>
          </cell>
          <cell r="AD144">
            <v>27.800760796438979</v>
          </cell>
        </row>
        <row r="145">
          <cell r="D145">
            <v>40575</v>
          </cell>
          <cell r="G145">
            <v>41.85018489859732</v>
          </cell>
          <cell r="L145">
            <v>27.202620184088257</v>
          </cell>
          <cell r="O145">
            <v>102507.1796875</v>
          </cell>
          <cell r="P145">
            <v>71755.0234375</v>
          </cell>
          <cell r="Q145">
            <v>20501.435546875</v>
          </cell>
          <cell r="R145">
            <v>20501.435546875</v>
          </cell>
          <cell r="T145">
            <v>4448.8877008325344</v>
          </cell>
          <cell r="Y145">
            <v>39.757675653667455</v>
          </cell>
          <cell r="AD145">
            <v>27.202620184088257</v>
          </cell>
        </row>
        <row r="146">
          <cell r="D146">
            <v>40603</v>
          </cell>
          <cell r="G146">
            <v>40.380243342385469</v>
          </cell>
          <cell r="L146">
            <v>26.247158172550556</v>
          </cell>
          <cell r="O146">
            <v>117132.328125</v>
          </cell>
          <cell r="P146">
            <v>78937</v>
          </cell>
          <cell r="Q146">
            <v>20370.83984375</v>
          </cell>
          <cell r="R146">
            <v>20370.83984375</v>
          </cell>
          <cell r="T146">
            <v>1634.6187807210097</v>
          </cell>
          <cell r="Y146">
            <v>38.361231175266191</v>
          </cell>
          <cell r="AD146">
            <v>26.247158172550556</v>
          </cell>
        </row>
        <row r="147">
          <cell r="D147">
            <v>40634</v>
          </cell>
          <cell r="G147">
            <v>37.784555739076879</v>
          </cell>
          <cell r="L147">
            <v>24.559961230399974</v>
          </cell>
          <cell r="O147">
            <v>106281.6875</v>
          </cell>
          <cell r="P147">
            <v>75599.171875</v>
          </cell>
          <cell r="Q147">
            <v>25305.1640625</v>
          </cell>
          <cell r="R147">
            <v>20244.130859375</v>
          </cell>
          <cell r="T147">
            <v>-3743.4070014078088</v>
          </cell>
          <cell r="Y147">
            <v>35.895327952123033</v>
          </cell>
          <cell r="AD147">
            <v>24.559961230399974</v>
          </cell>
        </row>
        <row r="148">
          <cell r="D148">
            <v>40664</v>
          </cell>
          <cell r="G148">
            <v>37.859236202723203</v>
          </cell>
          <cell r="L148">
            <v>24.608503531770083</v>
          </cell>
          <cell r="O148">
            <v>105601.109375</v>
          </cell>
          <cell r="P148">
            <v>77943.671875</v>
          </cell>
          <cell r="Q148">
            <v>20114.49609375</v>
          </cell>
          <cell r="R148">
            <v>30171.744140625</v>
          </cell>
          <cell r="T148">
            <v>-3992.1576020539887</v>
          </cell>
          <cell r="Y148">
            <v>35.966274392587039</v>
          </cell>
          <cell r="AD148">
            <v>24.608503531770083</v>
          </cell>
        </row>
        <row r="149">
          <cell r="D149">
            <v>40695</v>
          </cell>
          <cell r="G149">
            <v>38.289655860869594</v>
          </cell>
          <cell r="L149">
            <v>24.888276309565239</v>
          </cell>
          <cell r="O149">
            <v>109941.0234375</v>
          </cell>
          <cell r="P149">
            <v>74959.78125</v>
          </cell>
          <cell r="Q149">
            <v>19989.27734375</v>
          </cell>
          <cell r="R149">
            <v>19989.27734375</v>
          </cell>
          <cell r="T149">
            <v>-3456.9833630031653</v>
          </cell>
          <cell r="Y149">
            <v>36.375173067826111</v>
          </cell>
          <cell r="AD149">
            <v>24.888276309565239</v>
          </cell>
        </row>
        <row r="150">
          <cell r="D150">
            <v>40725</v>
          </cell>
          <cell r="G150">
            <v>38.795509285891349</v>
          </cell>
          <cell r="L150">
            <v>25.217081035829377</v>
          </cell>
          <cell r="O150">
            <v>99289.890625</v>
          </cell>
          <cell r="P150">
            <v>76949.671875</v>
          </cell>
          <cell r="Q150">
            <v>24822.47265625</v>
          </cell>
          <cell r="R150">
            <v>29786.96875</v>
          </cell>
          <cell r="T150">
            <v>-2898.7807701874035</v>
          </cell>
          <cell r="Y150">
            <v>36.855733821596779</v>
          </cell>
          <cell r="AD150">
            <v>25.217081035829377</v>
          </cell>
        </row>
        <row r="151">
          <cell r="D151">
            <v>40756</v>
          </cell>
          <cell r="G151">
            <v>39.227844575025038</v>
          </cell>
          <cell r="L151">
            <v>25.498098973766275</v>
          </cell>
          <cell r="O151">
            <v>113448.046875</v>
          </cell>
          <cell r="P151">
            <v>76454.1171875</v>
          </cell>
          <cell r="Q151">
            <v>19730.095703125</v>
          </cell>
          <cell r="R151">
            <v>19730.095703125</v>
          </cell>
          <cell r="T151">
            <v>-2509.7668479622234</v>
          </cell>
          <cell r="Y151">
            <v>37.266452346273788</v>
          </cell>
          <cell r="AD151">
            <v>25.498098973766275</v>
          </cell>
        </row>
        <row r="152">
          <cell r="D152">
            <v>40787</v>
          </cell>
          <cell r="G152">
            <v>39.187583897328459</v>
          </cell>
          <cell r="L152">
            <v>25.471929533263499</v>
          </cell>
          <cell r="O152">
            <v>102942.515625</v>
          </cell>
          <cell r="P152">
            <v>73530.359375</v>
          </cell>
          <cell r="Q152">
            <v>19608.09765625</v>
          </cell>
          <cell r="R152">
            <v>24510.12109375</v>
          </cell>
          <cell r="T152">
            <v>-2846.4603771952384</v>
          </cell>
          <cell r="Y152">
            <v>37.228204702462037</v>
          </cell>
          <cell r="AD152">
            <v>25.471929533263499</v>
          </cell>
        </row>
        <row r="153">
          <cell r="D153">
            <v>40817</v>
          </cell>
          <cell r="G153">
            <v>39.211522995165822</v>
          </cell>
          <cell r="L153">
            <v>25.487489946857782</v>
          </cell>
          <cell r="O153">
            <v>102348.0546875</v>
          </cell>
          <cell r="P153">
            <v>75847.21875</v>
          </cell>
          <cell r="Q153">
            <v>24368.583984375</v>
          </cell>
          <cell r="R153">
            <v>24368.583984375</v>
          </cell>
          <cell r="T153">
            <v>-3277.1131334822876</v>
          </cell>
          <cell r="Y153">
            <v>37.250946845407526</v>
          </cell>
          <cell r="AD153">
            <v>25.487489946857782</v>
          </cell>
        </row>
        <row r="154">
          <cell r="D154">
            <v>40848</v>
          </cell>
          <cell r="G154">
            <v>41.488980318355829</v>
          </cell>
          <cell r="L154">
            <v>26.967837206931289</v>
          </cell>
          <cell r="O154">
            <v>101800.84375</v>
          </cell>
          <cell r="P154">
            <v>72714.890625</v>
          </cell>
          <cell r="Q154">
            <v>19390.63671875</v>
          </cell>
          <cell r="R154">
            <v>24238.296875</v>
          </cell>
          <cell r="T154">
            <v>2404.196278579404</v>
          </cell>
          <cell r="Y154">
            <v>39.414531302438036</v>
          </cell>
          <cell r="AD154">
            <v>26.967837206931289</v>
          </cell>
        </row>
        <row r="155">
          <cell r="D155">
            <v>40878</v>
          </cell>
          <cell r="G155">
            <v>43.15428165929039</v>
          </cell>
          <cell r="L155">
            <v>28.050283078538754</v>
          </cell>
          <cell r="O155">
            <v>101241.8203125</v>
          </cell>
          <cell r="P155">
            <v>74726.1015625</v>
          </cell>
          <cell r="Q155">
            <v>24105.1953125</v>
          </cell>
          <cell r="R155">
            <v>24105.1953125</v>
          </cell>
          <cell r="T155">
            <v>5036.8990632283794</v>
          </cell>
          <cell r="Y155">
            <v>40.996567576325866</v>
          </cell>
          <cell r="AD155">
            <v>28.050283078538754</v>
          </cell>
        </row>
        <row r="156">
          <cell r="D156">
            <v>40909</v>
          </cell>
          <cell r="G156">
            <v>42.770401225290733</v>
          </cell>
          <cell r="L156">
            <v>27.800760796438979</v>
          </cell>
          <cell r="O156">
            <v>100675.46875</v>
          </cell>
          <cell r="P156">
            <v>74308.078125</v>
          </cell>
          <cell r="Q156">
            <v>19176.279296875</v>
          </cell>
          <cell r="R156">
            <v>28764.419921875</v>
          </cell>
          <cell r="T156">
            <v>8573.9485851485133</v>
          </cell>
          <cell r="Y156">
            <v>40.631881164026197</v>
          </cell>
          <cell r="AD156">
            <v>27.800760796438979</v>
          </cell>
        </row>
        <row r="157">
          <cell r="D157">
            <v>40940</v>
          </cell>
          <cell r="G157">
            <v>41.85018489859732</v>
          </cell>
          <cell r="L157">
            <v>27.202620184088257</v>
          </cell>
          <cell r="O157">
            <v>100151.640625</v>
          </cell>
          <cell r="P157">
            <v>69152.328125</v>
          </cell>
          <cell r="Q157">
            <v>19076.50390625</v>
          </cell>
          <cell r="R157">
            <v>19076.50390625</v>
          </cell>
          <cell r="T157">
            <v>4294.1824662688541</v>
          </cell>
          <cell r="Y157">
            <v>39.757675653667455</v>
          </cell>
          <cell r="AD157">
            <v>27.202620184088257</v>
          </cell>
        </row>
        <row r="158">
          <cell r="D158">
            <v>40969</v>
          </cell>
          <cell r="G158">
            <v>40.380243342385469</v>
          </cell>
          <cell r="L158">
            <v>26.247158172550556</v>
          </cell>
          <cell r="O158">
            <v>104333.671875</v>
          </cell>
          <cell r="P158">
            <v>73507.8125</v>
          </cell>
          <cell r="Q158">
            <v>23712.197265625</v>
          </cell>
          <cell r="R158">
            <v>18969.7578125</v>
          </cell>
          <cell r="T158">
            <v>1520.2573327262537</v>
          </cell>
          <cell r="Y158">
            <v>38.361231175266191</v>
          </cell>
          <cell r="AD158">
            <v>26.247158172550556</v>
          </cell>
        </row>
        <row r="159">
          <cell r="D159">
            <v>41000</v>
          </cell>
          <cell r="G159">
            <v>37.784555739076879</v>
          </cell>
          <cell r="L159">
            <v>24.559961230399974</v>
          </cell>
          <cell r="O159">
            <v>99055.15625</v>
          </cell>
          <cell r="P159">
            <v>70458.875</v>
          </cell>
          <cell r="Q159">
            <v>18867.6484375</v>
          </cell>
          <cell r="R159">
            <v>23584.560546875</v>
          </cell>
          <cell r="T159">
            <v>-3461.3718352334736</v>
          </cell>
          <cell r="Y159">
            <v>35.895327952123033</v>
          </cell>
          <cell r="AD159">
            <v>24.559961230399974</v>
          </cell>
        </row>
        <row r="160">
          <cell r="D160">
            <v>41030</v>
          </cell>
          <cell r="G160">
            <v>37.859236202723203</v>
          </cell>
          <cell r="L160">
            <v>24.608503531770083</v>
          </cell>
          <cell r="O160">
            <v>103191.21875</v>
          </cell>
          <cell r="P160">
            <v>72702.90625</v>
          </cell>
          <cell r="Q160">
            <v>18762.0390625</v>
          </cell>
          <cell r="R160">
            <v>23452.548828125</v>
          </cell>
          <cell r="T160">
            <v>-3757.3527995690515</v>
          </cell>
          <cell r="Y160">
            <v>35.966274392587039</v>
          </cell>
          <cell r="AD160">
            <v>24.608503531770083</v>
          </cell>
        </row>
        <row r="161">
          <cell r="D161">
            <v>41061</v>
          </cell>
          <cell r="G161">
            <v>38.289655860869594</v>
          </cell>
          <cell r="L161">
            <v>24.888276309565239</v>
          </cell>
          <cell r="O161">
            <v>97970.4453125</v>
          </cell>
          <cell r="P161">
            <v>69978.890625</v>
          </cell>
          <cell r="Q161">
            <v>23326.296875</v>
          </cell>
          <cell r="R161">
            <v>18661.037109375</v>
          </cell>
          <cell r="T161">
            <v>-3223.0427294817482</v>
          </cell>
          <cell r="Y161">
            <v>36.375173067826111</v>
          </cell>
          <cell r="AD161">
            <v>24.888276309565239</v>
          </cell>
        </row>
        <row r="162">
          <cell r="D162">
            <v>41091</v>
          </cell>
          <cell r="G162">
            <v>38.795509285891349</v>
          </cell>
          <cell r="L162">
            <v>25.217081035829377</v>
          </cell>
          <cell r="O162">
            <v>97415.1953125</v>
          </cell>
          <cell r="P162">
            <v>71901.6953125</v>
          </cell>
          <cell r="Q162">
            <v>18555.275390625</v>
          </cell>
          <cell r="R162">
            <v>27832.9140625</v>
          </cell>
          <cell r="T162">
            <v>-2712.1304889547791</v>
          </cell>
          <cell r="Y162">
            <v>36.855733821596779</v>
          </cell>
          <cell r="AD162">
            <v>25.217081035829377</v>
          </cell>
        </row>
        <row r="163">
          <cell r="D163">
            <v>41122</v>
          </cell>
          <cell r="G163">
            <v>39.227844575025038</v>
          </cell>
          <cell r="L163">
            <v>25.498098973766275</v>
          </cell>
          <cell r="O163">
            <v>106099.0625</v>
          </cell>
          <cell r="P163">
            <v>71501.546875</v>
          </cell>
          <cell r="Q163">
            <v>18452.009765625</v>
          </cell>
          <cell r="R163">
            <v>18452.009765625</v>
          </cell>
          <cell r="T163">
            <v>-2347.1881521238593</v>
          </cell>
          <cell r="Y163">
            <v>37.266452346273788</v>
          </cell>
          <cell r="AD163">
            <v>25.498098973766275</v>
          </cell>
        </row>
        <row r="164">
          <cell r="D164">
            <v>41153</v>
          </cell>
          <cell r="G164">
            <v>39.187583897328459</v>
          </cell>
          <cell r="L164">
            <v>25.471929533263499</v>
          </cell>
          <cell r="O164">
            <v>87158.0078125</v>
          </cell>
          <cell r="P164">
            <v>68808.953125</v>
          </cell>
          <cell r="Q164">
            <v>22936.318359375</v>
          </cell>
          <cell r="R164">
            <v>27523.58203125</v>
          </cell>
          <cell r="T164">
            <v>-2635.4971464622663</v>
          </cell>
          <cell r="Y164">
            <v>37.228204702462037</v>
          </cell>
          <cell r="AD164">
            <v>25.471929533263499</v>
          </cell>
        </row>
        <row r="165">
          <cell r="D165">
            <v>41183</v>
          </cell>
          <cell r="G165">
            <v>39.211522995165822</v>
          </cell>
          <cell r="L165">
            <v>25.487489946857782</v>
          </cell>
          <cell r="O165">
            <v>104914.8984375</v>
          </cell>
          <cell r="P165">
            <v>70988.609375</v>
          </cell>
          <cell r="Q165">
            <v>18246.0703125</v>
          </cell>
          <cell r="R165">
            <v>18246.0703125</v>
          </cell>
          <cell r="T165">
            <v>-3098.5674728682943</v>
          </cell>
          <cell r="Y165">
            <v>37.250946845407526</v>
          </cell>
          <cell r="AD165">
            <v>25.487489946857782</v>
          </cell>
        </row>
        <row r="166">
          <cell r="D166">
            <v>41214</v>
          </cell>
          <cell r="G166">
            <v>41.488980318355829</v>
          </cell>
          <cell r="L166">
            <v>26.967837206931289</v>
          </cell>
          <cell r="O166">
            <v>95266.125</v>
          </cell>
          <cell r="P166">
            <v>68047.234375</v>
          </cell>
          <cell r="Q166">
            <v>18145.927734375</v>
          </cell>
          <cell r="R166">
            <v>22682.41015625</v>
          </cell>
          <cell r="T166">
            <v>2249.8680065576546</v>
          </cell>
          <cell r="Y166">
            <v>39.414531302438036</v>
          </cell>
          <cell r="AD166">
            <v>26.967837206931289</v>
          </cell>
        </row>
        <row r="167">
          <cell r="D167">
            <v>41244</v>
          </cell>
          <cell r="G167">
            <v>43.15428165929039</v>
          </cell>
          <cell r="L167">
            <v>28.050283078538754</v>
          </cell>
          <cell r="O167">
            <v>90216.1328125</v>
          </cell>
          <cell r="P167">
            <v>69917.5</v>
          </cell>
          <cell r="Q167">
            <v>22554.033203125</v>
          </cell>
          <cell r="R167">
            <v>27064.837890625</v>
          </cell>
          <cell r="T167">
            <v>4670.5646463806634</v>
          </cell>
          <cell r="Y167">
            <v>40.996567576325866</v>
          </cell>
          <cell r="AD167">
            <v>28.050283078538754</v>
          </cell>
        </row>
        <row r="168">
          <cell r="D168">
            <v>41275</v>
          </cell>
          <cell r="G168">
            <v>42.770401225290733</v>
          </cell>
          <cell r="L168">
            <v>27.800760796438979</v>
          </cell>
          <cell r="O168">
            <v>98303.328125</v>
          </cell>
          <cell r="P168">
            <v>69259.171875</v>
          </cell>
          <cell r="Q168">
            <v>17873.33203125</v>
          </cell>
          <cell r="R168">
            <v>22341.666015625</v>
          </cell>
          <cell r="T168">
            <v>8063.5198817567507</v>
          </cell>
          <cell r="Y168">
            <v>40.631881164026197</v>
          </cell>
          <cell r="AD168">
            <v>27.800760796438979</v>
          </cell>
        </row>
        <row r="169">
          <cell r="D169">
            <v>41306</v>
          </cell>
          <cell r="G169">
            <v>41.85018489859732</v>
          </cell>
          <cell r="L169">
            <v>27.202620184088257</v>
          </cell>
          <cell r="O169">
            <v>88905.859375</v>
          </cell>
          <cell r="P169">
            <v>62234.1015625</v>
          </cell>
          <cell r="Q169">
            <v>17781.171875</v>
          </cell>
          <cell r="R169">
            <v>17781.171875</v>
          </cell>
          <cell r="T169">
            <v>3858.5803470685219</v>
          </cell>
          <cell r="Y169">
            <v>39.757675653667455</v>
          </cell>
          <cell r="AD169">
            <v>27.202620184088257</v>
          </cell>
        </row>
        <row r="170">
          <cell r="D170">
            <v>41334</v>
          </cell>
          <cell r="G170">
            <v>40.380243342385469</v>
          </cell>
          <cell r="L170">
            <v>26.247158172550556</v>
          </cell>
          <cell r="O170">
            <v>92812.9140625</v>
          </cell>
          <cell r="P170">
            <v>68504.765625</v>
          </cell>
          <cell r="Q170">
            <v>22098.3125</v>
          </cell>
          <cell r="R170">
            <v>22098.3125</v>
          </cell>
          <cell r="T170">
            <v>1404.2095300304295</v>
          </cell>
          <cell r="Y170">
            <v>38.361231175266191</v>
          </cell>
          <cell r="AD170">
            <v>26.247158172550556</v>
          </cell>
        </row>
        <row r="171">
          <cell r="D171">
            <v>41365</v>
          </cell>
          <cell r="G171">
            <v>37.784555739076879</v>
          </cell>
          <cell r="L171">
            <v>24.559961230399974</v>
          </cell>
          <cell r="O171">
            <v>96697.796875</v>
          </cell>
          <cell r="P171">
            <v>65655.609375</v>
          </cell>
          <cell r="Q171">
            <v>17581.41796875</v>
          </cell>
          <cell r="R171">
            <v>17581.41796875</v>
          </cell>
          <cell r="T171">
            <v>-3255.2996049591698</v>
          </cell>
          <cell r="Y171">
            <v>35.895327952123033</v>
          </cell>
          <cell r="AD171">
            <v>24.559961230399974</v>
          </cell>
        </row>
        <row r="172">
          <cell r="D172">
            <v>41395</v>
          </cell>
          <cell r="G172">
            <v>37.859236202723203</v>
          </cell>
          <cell r="L172">
            <v>24.608503531770083</v>
          </cell>
          <cell r="O172">
            <v>96142.421875</v>
          </cell>
          <cell r="P172">
            <v>67736.703125</v>
          </cell>
          <cell r="Q172">
            <v>17480.44140625</v>
          </cell>
          <cell r="R172">
            <v>21850.55078125</v>
          </cell>
          <cell r="T172">
            <v>-3500.695120577383</v>
          </cell>
          <cell r="Y172">
            <v>35.966274392587039</v>
          </cell>
          <cell r="AD172">
            <v>24.608503531770083</v>
          </cell>
        </row>
        <row r="173">
          <cell r="D173">
            <v>41426</v>
          </cell>
          <cell r="G173">
            <v>38.289655860869594</v>
          </cell>
          <cell r="L173">
            <v>24.888276309565239</v>
          </cell>
          <cell r="O173">
            <v>86917.390625</v>
          </cell>
          <cell r="P173">
            <v>65188.04296875</v>
          </cell>
          <cell r="Q173">
            <v>21729.34765625</v>
          </cell>
          <cell r="R173">
            <v>21729.34765625</v>
          </cell>
          <cell r="T173">
            <v>-2974.8068916525776</v>
          </cell>
          <cell r="Y173">
            <v>36.375173067826111</v>
          </cell>
          <cell r="AD173">
            <v>24.888276309565239</v>
          </cell>
        </row>
        <row r="174">
          <cell r="D174">
            <v>41456</v>
          </cell>
          <cell r="G174">
            <v>38.795509285891349</v>
          </cell>
          <cell r="L174">
            <v>25.217081035829377</v>
          </cell>
          <cell r="O174">
            <v>95055.4296875</v>
          </cell>
          <cell r="P174">
            <v>66970.875</v>
          </cell>
          <cell r="Q174">
            <v>17282.8046875</v>
          </cell>
          <cell r="R174">
            <v>21603.505859375</v>
          </cell>
          <cell r="T174">
            <v>-2548.9513937218185</v>
          </cell>
          <cell r="Y174">
            <v>36.855733821596779</v>
          </cell>
          <cell r="AD174">
            <v>25.217081035829377</v>
          </cell>
        </row>
        <row r="175">
          <cell r="D175">
            <v>41487</v>
          </cell>
          <cell r="G175">
            <v>39.227844575025038</v>
          </cell>
          <cell r="L175">
            <v>25.498098973766275</v>
          </cell>
          <cell r="O175">
            <v>94510.4921875</v>
          </cell>
          <cell r="P175">
            <v>66586.9375</v>
          </cell>
          <cell r="Q175">
            <v>21479.65625</v>
          </cell>
          <cell r="R175">
            <v>17183.724609375</v>
          </cell>
          <cell r="T175">
            <v>-2183.0897404111379</v>
          </cell>
          <cell r="Y175">
            <v>37.266452346273788</v>
          </cell>
          <cell r="AD175">
            <v>25.498098973766275</v>
          </cell>
        </row>
        <row r="176">
          <cell r="D176">
            <v>41518</v>
          </cell>
          <cell r="G176">
            <v>39.187583897328459</v>
          </cell>
          <cell r="L176">
            <v>25.471929533263499</v>
          </cell>
          <cell r="O176">
            <v>85432.8984375</v>
          </cell>
          <cell r="P176">
            <v>64074.671875</v>
          </cell>
          <cell r="Q176">
            <v>17086.580078125</v>
          </cell>
          <cell r="R176">
            <v>25629.869140625</v>
          </cell>
          <cell r="T176">
            <v>-2457.4498024681575</v>
          </cell>
          <cell r="Y176">
            <v>37.228204702462037</v>
          </cell>
          <cell r="AD176">
            <v>25.471929533263499</v>
          </cell>
        </row>
        <row r="177">
          <cell r="D177">
            <v>41548</v>
          </cell>
          <cell r="G177">
            <v>39.211522995165822</v>
          </cell>
          <cell r="L177">
            <v>25.487489946857782</v>
          </cell>
          <cell r="O177">
            <v>97677.546875</v>
          </cell>
          <cell r="P177">
            <v>66091.6015625</v>
          </cell>
          <cell r="Q177">
            <v>16987.400390625</v>
          </cell>
          <cell r="R177">
            <v>16987.400390625</v>
          </cell>
          <cell r="T177">
            <v>-2884.8188295599894</v>
          </cell>
          <cell r="Y177">
            <v>37.250946845407526</v>
          </cell>
          <cell r="AD177">
            <v>25.487489946857782</v>
          </cell>
        </row>
        <row r="178">
          <cell r="D178">
            <v>41579</v>
          </cell>
          <cell r="G178">
            <v>41.488980318355829</v>
          </cell>
          <cell r="L178">
            <v>26.967837206931289</v>
          </cell>
          <cell r="O178">
            <v>84456.8125</v>
          </cell>
          <cell r="P178">
            <v>63342.609375</v>
          </cell>
          <cell r="Q178">
            <v>21114.203125</v>
          </cell>
          <cell r="R178">
            <v>21114.203125</v>
          </cell>
          <cell r="T178">
            <v>2091.5570542081205</v>
          </cell>
          <cell r="Y178">
            <v>39.414531302438036</v>
          </cell>
          <cell r="AD178">
            <v>26.967837206931289</v>
          </cell>
        </row>
        <row r="179">
          <cell r="D179">
            <v>41609</v>
          </cell>
          <cell r="G179">
            <v>43.15428165929039</v>
          </cell>
          <cell r="L179">
            <v>28.050283078538754</v>
          </cell>
          <cell r="O179">
            <v>88166.96875</v>
          </cell>
          <cell r="P179">
            <v>65075.6171875</v>
          </cell>
          <cell r="Q179">
            <v>16793.708984375</v>
          </cell>
          <cell r="R179">
            <v>25190.5625</v>
          </cell>
          <cell r="T179">
            <v>4352.723988768741</v>
          </cell>
          <cell r="Y179">
            <v>40.996567576325866</v>
          </cell>
          <cell r="AD179">
            <v>28.050283078538754</v>
          </cell>
        </row>
        <row r="180">
          <cell r="D180">
            <v>41640</v>
          </cell>
          <cell r="G180">
            <v>42.770401225290733</v>
          </cell>
          <cell r="L180">
            <v>27.800760796438979</v>
          </cell>
          <cell r="O180">
            <v>91823.65625</v>
          </cell>
          <cell r="P180">
            <v>64693.9375</v>
          </cell>
          <cell r="Q180">
            <v>16695.2109375</v>
          </cell>
          <cell r="R180">
            <v>20869.01171875</v>
          </cell>
          <cell r="T180">
            <v>7532.0119987068729</v>
          </cell>
          <cell r="Y180">
            <v>40.631881164026197</v>
          </cell>
          <cell r="AD180">
            <v>27.800760796438979</v>
          </cell>
        </row>
        <row r="181">
          <cell r="D181">
            <v>41671</v>
          </cell>
          <cell r="G181">
            <v>41.85018489859732</v>
          </cell>
          <cell r="L181">
            <v>27.202620184088257</v>
          </cell>
          <cell r="O181">
            <v>83034.609375</v>
          </cell>
          <cell r="P181">
            <v>58124.2265625</v>
          </cell>
          <cell r="Q181">
            <v>16606.921875</v>
          </cell>
          <cell r="R181">
            <v>16606.921875</v>
          </cell>
          <cell r="T181">
            <v>3603.763735182798</v>
          </cell>
          <cell r="Y181">
            <v>39.757675653667455</v>
          </cell>
          <cell r="AD181">
            <v>27.202620184088257</v>
          </cell>
        </row>
        <row r="182">
          <cell r="D182">
            <v>41699</v>
          </cell>
          <cell r="G182">
            <v>40.380243342385469</v>
          </cell>
          <cell r="L182">
            <v>26.247158172550556</v>
          </cell>
          <cell r="O182">
            <v>86675</v>
          </cell>
          <cell r="P182">
            <v>63974.40625</v>
          </cell>
          <cell r="Q182">
            <v>20636.90625</v>
          </cell>
          <cell r="R182">
            <v>20636.90625</v>
          </cell>
          <cell r="T182">
            <v>1311.3462404539282</v>
          </cell>
          <cell r="Y182">
            <v>38.361231175266191</v>
          </cell>
          <cell r="AD182">
            <v>26.247158172550556</v>
          </cell>
        </row>
        <row r="183">
          <cell r="D183">
            <v>41730</v>
          </cell>
          <cell r="G183">
            <v>37.784555739076879</v>
          </cell>
          <cell r="L183">
            <v>24.559961230399974</v>
          </cell>
          <cell r="O183">
            <v>90285.890625</v>
          </cell>
          <cell r="P183">
            <v>61302.0703125</v>
          </cell>
          <cell r="Q183">
            <v>16415.6171875</v>
          </cell>
          <cell r="R183">
            <v>16415.6171875</v>
          </cell>
          <cell r="T183">
            <v>-3039.4448934772872</v>
          </cell>
          <cell r="Y183">
            <v>35.895327952123033</v>
          </cell>
          <cell r="AD183">
            <v>24.559961230399974</v>
          </cell>
        </row>
        <row r="184">
          <cell r="D184">
            <v>41760</v>
          </cell>
          <cell r="G184">
            <v>37.859236202723203</v>
          </cell>
          <cell r="L184">
            <v>24.608503531770083</v>
          </cell>
          <cell r="O184">
            <v>85672.359375</v>
          </cell>
          <cell r="P184">
            <v>63234.3671875</v>
          </cell>
          <cell r="Q184">
            <v>20398.181640625</v>
          </cell>
          <cell r="R184">
            <v>20398.181640625</v>
          </cell>
          <cell r="T184">
            <v>-3263.8325952397304</v>
          </cell>
          <cell r="Y184">
            <v>35.966274392587039</v>
          </cell>
          <cell r="AD184">
            <v>24.608503531770083</v>
          </cell>
        </row>
        <row r="185">
          <cell r="D185">
            <v>41791</v>
          </cell>
          <cell r="G185">
            <v>38.289655860869594</v>
          </cell>
          <cell r="L185">
            <v>24.888276309565239</v>
          </cell>
          <cell r="O185">
            <v>85187.1640625</v>
          </cell>
          <cell r="P185">
            <v>60847.9765625</v>
          </cell>
          <cell r="Q185">
            <v>16226.126953125</v>
          </cell>
          <cell r="R185">
            <v>20282.658203125</v>
          </cell>
          <cell r="T185">
            <v>-2780.4313600982309</v>
          </cell>
          <cell r="Y185">
            <v>36.375173067826111</v>
          </cell>
          <cell r="AD185">
            <v>24.888276309565239</v>
          </cell>
        </row>
        <row r="186">
          <cell r="D186">
            <v>41821</v>
          </cell>
          <cell r="G186">
            <v>38.795509285891349</v>
          </cell>
          <cell r="L186">
            <v>25.217081035829377</v>
          </cell>
          <cell r="O186">
            <v>88713.78125</v>
          </cell>
          <cell r="P186">
            <v>62502.890625</v>
          </cell>
          <cell r="Q186">
            <v>16129.779296875</v>
          </cell>
          <cell r="R186">
            <v>20162.224609375</v>
          </cell>
          <cell r="T186">
            <v>-2378.8974208246623</v>
          </cell>
          <cell r="Y186">
            <v>36.855733821596779</v>
          </cell>
          <cell r="AD186">
            <v>25.217081035829377</v>
          </cell>
        </row>
        <row r="187">
          <cell r="D187">
            <v>41852</v>
          </cell>
          <cell r="G187">
            <v>39.227844575025038</v>
          </cell>
          <cell r="L187">
            <v>25.498098973766275</v>
          </cell>
          <cell r="O187">
            <v>84181.5703125</v>
          </cell>
          <cell r="P187">
            <v>62134.01171875</v>
          </cell>
          <cell r="Q187">
            <v>20043.23046875</v>
          </cell>
          <cell r="R187">
            <v>20043.23046875</v>
          </cell>
          <cell r="T187">
            <v>-2019.0146332338356</v>
          </cell>
          <cell r="Y187">
            <v>37.266452346273788</v>
          </cell>
          <cell r="AD187">
            <v>25.498098973766275</v>
          </cell>
        </row>
        <row r="188">
          <cell r="D188">
            <v>41883</v>
          </cell>
          <cell r="G188">
            <v>39.187583897328459</v>
          </cell>
          <cell r="L188">
            <v>25.471929533263499</v>
          </cell>
          <cell r="O188">
            <v>83695.7109375</v>
          </cell>
          <cell r="P188">
            <v>59782.65625</v>
          </cell>
          <cell r="Q188">
            <v>15942.041015625</v>
          </cell>
          <cell r="R188">
            <v>19927.55078125</v>
          </cell>
          <cell r="T188">
            <v>-2314.2677307582849</v>
          </cell>
          <cell r="Y188">
            <v>37.228204702462037</v>
          </cell>
          <cell r="AD188">
            <v>25.471929533263499</v>
          </cell>
        </row>
        <row r="189">
          <cell r="D189">
            <v>41913</v>
          </cell>
          <cell r="G189">
            <v>39.211522995165822</v>
          </cell>
          <cell r="L189">
            <v>25.487489946857782</v>
          </cell>
          <cell r="O189">
            <v>91121.28125</v>
          </cell>
          <cell r="P189">
            <v>61655.4296875</v>
          </cell>
          <cell r="Q189">
            <v>15847.1787109375</v>
          </cell>
          <cell r="R189">
            <v>15847.1787109375</v>
          </cell>
          <cell r="T189">
            <v>-2691.1853238755334</v>
          </cell>
          <cell r="Y189">
            <v>37.250946845407526</v>
          </cell>
          <cell r="AD189">
            <v>25.487489946857782</v>
          </cell>
        </row>
        <row r="190">
          <cell r="D190">
            <v>41944</v>
          </cell>
          <cell r="G190">
            <v>41.488980318355829</v>
          </cell>
          <cell r="L190">
            <v>26.967837206931289</v>
          </cell>
          <cell r="O190">
            <v>74836.03125</v>
          </cell>
          <cell r="P190">
            <v>59081.078125</v>
          </cell>
          <cell r="Q190">
            <v>19693.693359375</v>
          </cell>
          <cell r="R190">
            <v>23632.431640625</v>
          </cell>
          <cell r="T190">
            <v>1932.7590602960356</v>
          </cell>
          <cell r="Y190">
            <v>39.414531302438036</v>
          </cell>
          <cell r="AD190">
            <v>26.967837206931289</v>
          </cell>
        </row>
        <row r="191">
          <cell r="D191">
            <v>41974</v>
          </cell>
          <cell r="G191">
            <v>43.15428165929039</v>
          </cell>
          <cell r="L191">
            <v>28.050283078538754</v>
          </cell>
          <cell r="O191">
            <v>86140.8671875</v>
          </cell>
          <cell r="P191">
            <v>60690.15625</v>
          </cell>
          <cell r="Q191">
            <v>15661.9755859375</v>
          </cell>
          <cell r="R191">
            <v>19577.46875</v>
          </cell>
          <cell r="T191">
            <v>4096.033358368275</v>
          </cell>
          <cell r="Y191">
            <v>40.996567576325866</v>
          </cell>
          <cell r="AD191">
            <v>28.050283078538754</v>
          </cell>
        </row>
        <row r="192">
          <cell r="D192">
            <v>42005</v>
          </cell>
          <cell r="G192">
            <v>42.770401225290733</v>
          </cell>
          <cell r="L192">
            <v>27.800760796438979</v>
          </cell>
          <cell r="O192">
            <v>77837.1875</v>
          </cell>
          <cell r="P192">
            <v>60323.8203125</v>
          </cell>
          <cell r="Q192">
            <v>19459.296875</v>
          </cell>
          <cell r="R192">
            <v>23351.158203125</v>
          </cell>
          <cell r="T192">
            <v>6951.421246845407</v>
          </cell>
          <cell r="Y192">
            <v>40.631881164026197</v>
          </cell>
          <cell r="AD192">
            <v>27.800760796438979</v>
          </cell>
        </row>
        <row r="193">
          <cell r="D193">
            <v>42036</v>
          </cell>
          <cell r="G193">
            <v>41.85018489859732</v>
          </cell>
          <cell r="L193">
            <v>27.202620184088257</v>
          </cell>
          <cell r="O193">
            <v>73544.546875</v>
          </cell>
          <cell r="P193">
            <v>54190.71875</v>
          </cell>
          <cell r="Q193">
            <v>15483.0625</v>
          </cell>
          <cell r="R193">
            <v>19353.828125</v>
          </cell>
          <cell r="T193">
            <v>3326.7519860399716</v>
          </cell>
          <cell r="Y193">
            <v>39.757675653667455</v>
          </cell>
          <cell r="AD193">
            <v>27.202620184088257</v>
          </cell>
        </row>
        <row r="194">
          <cell r="D194">
            <v>42064</v>
          </cell>
          <cell r="G194">
            <v>40.380243342385469</v>
          </cell>
          <cell r="L194">
            <v>26.247158172550556</v>
          </cell>
          <cell r="O194">
            <v>84649.171875</v>
          </cell>
          <cell r="P194">
            <v>59639.1875</v>
          </cell>
          <cell r="Q194">
            <v>15390.7587890625</v>
          </cell>
          <cell r="R194">
            <v>19238.447265625</v>
          </cell>
          <cell r="T194">
            <v>1224.0524596871637</v>
          </cell>
          <cell r="Y194">
            <v>38.361231175266191</v>
          </cell>
          <cell r="AD194">
            <v>26.247158172550556</v>
          </cell>
        </row>
        <row r="195">
          <cell r="D195">
            <v>42095</v>
          </cell>
          <cell r="G195">
            <v>37.784555739076879</v>
          </cell>
          <cell r="L195">
            <v>24.559961230399974</v>
          </cell>
          <cell r="O195">
            <v>80328.484375</v>
          </cell>
          <cell r="P195">
            <v>57138.421875</v>
          </cell>
          <cell r="Q195">
            <v>15300.6640625</v>
          </cell>
          <cell r="R195">
            <v>19125.830078125</v>
          </cell>
          <cell r="T195">
            <v>-2806.9893039698559</v>
          </cell>
          <cell r="Y195">
            <v>35.895327952123033</v>
          </cell>
          <cell r="AD195">
            <v>24.559961230399974</v>
          </cell>
        </row>
        <row r="196">
          <cell r="D196">
            <v>42125</v>
          </cell>
          <cell r="G196">
            <v>37.859236202723203</v>
          </cell>
          <cell r="L196">
            <v>24.608503531770083</v>
          </cell>
          <cell r="O196">
            <v>76037.8359375</v>
          </cell>
          <cell r="P196">
            <v>58929.3203125</v>
          </cell>
          <cell r="Q196">
            <v>19009.458984375</v>
          </cell>
          <cell r="R196">
            <v>22811.3515625</v>
          </cell>
          <cell r="T196">
            <v>-3014.3782383677453</v>
          </cell>
          <cell r="Y196">
            <v>35.966274392587039</v>
          </cell>
          <cell r="AD196">
            <v>24.608503531770083</v>
          </cell>
        </row>
        <row r="197">
          <cell r="D197">
            <v>42156</v>
          </cell>
          <cell r="G197">
            <v>38.289655860869594</v>
          </cell>
          <cell r="L197">
            <v>24.888276309565239</v>
          </cell>
          <cell r="O197">
            <v>83156.21875</v>
          </cell>
          <cell r="P197">
            <v>56697.421875</v>
          </cell>
          <cell r="Q197">
            <v>15119.3125</v>
          </cell>
          <cell r="R197">
            <v>15119.3125</v>
          </cell>
          <cell r="T197">
            <v>-2614.7625537130593</v>
          </cell>
          <cell r="Y197">
            <v>36.375173067826111</v>
          </cell>
          <cell r="AD197">
            <v>24.888276309565239</v>
          </cell>
        </row>
        <row r="198">
          <cell r="D198">
            <v>42186</v>
          </cell>
          <cell r="G198">
            <v>38.795509285891349</v>
          </cell>
          <cell r="L198">
            <v>25.217081035829377</v>
          </cell>
          <cell r="O198">
            <v>86409.265625</v>
          </cell>
          <cell r="P198">
            <v>58232.328125</v>
          </cell>
          <cell r="Q198">
            <v>11270.7734375</v>
          </cell>
          <cell r="R198">
            <v>18784.623046875</v>
          </cell>
          <cell r="T198">
            <v>-2219.2021122232077</v>
          </cell>
          <cell r="Y198">
            <v>36.855733821596779</v>
          </cell>
          <cell r="AD198">
            <v>25.217081035829377</v>
          </cell>
        </row>
        <row r="199">
          <cell r="D199">
            <v>42217</v>
          </cell>
          <cell r="G199">
            <v>39.227844575025038</v>
          </cell>
          <cell r="L199">
            <v>25.498098973766275</v>
          </cell>
          <cell r="O199">
            <v>78418.3359375</v>
          </cell>
          <cell r="P199">
            <v>57880.203125</v>
          </cell>
          <cell r="Q199">
            <v>18671.033203125</v>
          </cell>
          <cell r="R199">
            <v>18671.033203125</v>
          </cell>
          <cell r="T199">
            <v>-1880.7890425508949</v>
          </cell>
          <cell r="Y199">
            <v>37.266452346273788</v>
          </cell>
          <cell r="AD199">
            <v>25.498098973766275</v>
          </cell>
        </row>
        <row r="200">
          <cell r="D200">
            <v>42248</v>
          </cell>
          <cell r="G200">
            <v>39.187583897328459</v>
          </cell>
          <cell r="L200">
            <v>25.471929533263499</v>
          </cell>
          <cell r="O200">
            <v>77954.6328125</v>
          </cell>
          <cell r="P200">
            <v>55681.8828125</v>
          </cell>
          <cell r="Q200">
            <v>14848.501953125</v>
          </cell>
          <cell r="R200">
            <v>18560.626953125</v>
          </cell>
          <cell r="T200">
            <v>-2155.5213037941112</v>
          </cell>
          <cell r="Y200">
            <v>37.228204702462037</v>
          </cell>
          <cell r="AD200">
            <v>25.471929533263499</v>
          </cell>
        </row>
        <row r="201">
          <cell r="D201">
            <v>42278</v>
          </cell>
          <cell r="G201">
            <v>39.211522995165822</v>
          </cell>
          <cell r="L201">
            <v>25.487489946857782</v>
          </cell>
          <cell r="O201">
            <v>77477.46875</v>
          </cell>
          <cell r="P201">
            <v>57416.3359375</v>
          </cell>
          <cell r="Q201">
            <v>18447.015625</v>
          </cell>
          <cell r="R201">
            <v>18447.015625</v>
          </cell>
          <cell r="T201">
            <v>-2480.7743292401724</v>
          </cell>
          <cell r="Y201">
            <v>37.250946845407526</v>
          </cell>
          <cell r="AD201">
            <v>25.487489946857782</v>
          </cell>
        </row>
        <row r="202">
          <cell r="D202">
            <v>42309</v>
          </cell>
          <cell r="G202">
            <v>41.488980318355829</v>
          </cell>
          <cell r="L202">
            <v>26.967837206931289</v>
          </cell>
          <cell r="O202">
            <v>69685.9921875</v>
          </cell>
          <cell r="P202">
            <v>55015.2578125</v>
          </cell>
          <cell r="Q202">
            <v>14670.7353515625</v>
          </cell>
          <cell r="R202">
            <v>25673.787109375</v>
          </cell>
          <cell r="T202">
            <v>1785.3098385765052</v>
          </cell>
          <cell r="Y202">
            <v>39.414531302438036</v>
          </cell>
          <cell r="AD202">
            <v>26.967837206931289</v>
          </cell>
        </row>
        <row r="203">
          <cell r="D203">
            <v>42339</v>
          </cell>
          <cell r="G203">
            <v>43.15428165929039</v>
          </cell>
          <cell r="L203">
            <v>28.050283078538754</v>
          </cell>
          <cell r="O203">
            <v>80197.2109375</v>
          </cell>
          <cell r="P203">
            <v>56502.578125</v>
          </cell>
          <cell r="Q203">
            <v>14581.310546875</v>
          </cell>
          <cell r="R203">
            <v>18226.638671875</v>
          </cell>
          <cell r="T203">
            <v>3813.4100498543453</v>
          </cell>
          <cell r="Y203">
            <v>40.996567576325866</v>
          </cell>
          <cell r="AD203">
            <v>28.050283078538754</v>
          </cell>
        </row>
        <row r="204">
          <cell r="D204">
            <v>42370</v>
          </cell>
          <cell r="G204">
            <v>42.770401225290733</v>
          </cell>
          <cell r="L204">
            <v>27.800760796438979</v>
          </cell>
          <cell r="O204">
            <v>68574.3125</v>
          </cell>
          <cell r="P204">
            <v>55942.19921875</v>
          </cell>
          <cell r="Q204">
            <v>18045.87109375</v>
          </cell>
          <cell r="R204">
            <v>25264.220703125</v>
          </cell>
          <cell r="T204">
            <v>6388.2402176231244</v>
          </cell>
          <cell r="Y204">
            <v>40.631881164026197</v>
          </cell>
          <cell r="AD204">
            <v>27.800760796438979</v>
          </cell>
        </row>
        <row r="205">
          <cell r="D205">
            <v>42401</v>
          </cell>
          <cell r="G205">
            <v>41.85018489859732</v>
          </cell>
          <cell r="L205">
            <v>27.202620184088257</v>
          </cell>
          <cell r="O205">
            <v>74063.65625</v>
          </cell>
          <cell r="P205">
            <v>53638.86328125</v>
          </cell>
          <cell r="Q205">
            <v>14812.73046875</v>
          </cell>
          <cell r="R205">
            <v>18401.3359375</v>
          </cell>
          <cell r="T205">
            <v>3299.9664243080488</v>
          </cell>
          <cell r="Y205">
            <v>39.757675653667455</v>
          </cell>
          <cell r="AD205">
            <v>27.202620184088257</v>
          </cell>
        </row>
        <row r="206">
          <cell r="D206">
            <v>42430</v>
          </cell>
          <cell r="G206">
            <v>40.380243342385469</v>
          </cell>
          <cell r="L206">
            <v>26.247158172550556</v>
          </cell>
          <cell r="O206">
            <v>78463.234375</v>
          </cell>
          <cell r="P206">
            <v>55280.91796875</v>
          </cell>
          <cell r="Q206">
            <v>14266.04296875</v>
          </cell>
          <cell r="R206">
            <v>17832.552734375</v>
          </cell>
          <cell r="T206">
            <v>1134.6019708444046</v>
          </cell>
          <cell r="Y206">
            <v>38.361231175266191</v>
          </cell>
          <cell r="AD206">
            <v>26.247158172550556</v>
          </cell>
        </row>
        <row r="207">
          <cell r="D207">
            <v>42461</v>
          </cell>
          <cell r="G207">
            <v>37.784555739076879</v>
          </cell>
          <cell r="L207">
            <v>24.559961230399974</v>
          </cell>
          <cell r="O207">
            <v>74447.6484375</v>
          </cell>
          <cell r="P207">
            <v>52955.3203125</v>
          </cell>
          <cell r="Q207">
            <v>17725.630859375</v>
          </cell>
          <cell r="R207">
            <v>14180.50390625</v>
          </cell>
          <cell r="T207">
            <v>-2622.1624561833387</v>
          </cell>
          <cell r="Y207">
            <v>35.895327952123033</v>
          </cell>
          <cell r="AD207">
            <v>24.559961230399974</v>
          </cell>
        </row>
        <row r="208">
          <cell r="D208">
            <v>42491</v>
          </cell>
          <cell r="G208">
            <v>37.859236202723203</v>
          </cell>
          <cell r="L208">
            <v>24.608503531770083</v>
          </cell>
          <cell r="O208">
            <v>73989.359375</v>
          </cell>
          <cell r="P208">
            <v>54611.1953125</v>
          </cell>
          <cell r="Q208">
            <v>14093.2119140625</v>
          </cell>
          <cell r="R208">
            <v>21139.81640625</v>
          </cell>
          <cell r="T208">
            <v>-2797.1031226691048</v>
          </cell>
          <cell r="Y208">
            <v>35.966274392587039</v>
          </cell>
          <cell r="AD208">
            <v>24.608503531770083</v>
          </cell>
        </row>
        <row r="209">
          <cell r="D209">
            <v>42522</v>
          </cell>
          <cell r="G209">
            <v>38.289655860869594</v>
          </cell>
          <cell r="L209">
            <v>24.888276309565239</v>
          </cell>
          <cell r="O209">
            <v>77050.015625</v>
          </cell>
          <cell r="P209">
            <v>52534.1015625</v>
          </cell>
          <cell r="Q209">
            <v>14009.0927734375</v>
          </cell>
          <cell r="R209">
            <v>14009.0927734375</v>
          </cell>
          <cell r="T209">
            <v>-2422.7591909747593</v>
          </cell>
          <cell r="Y209">
            <v>36.375173067826111</v>
          </cell>
          <cell r="AD209">
            <v>24.888276309565239</v>
          </cell>
        </row>
        <row r="210">
          <cell r="D210">
            <v>42552</v>
          </cell>
          <cell r="G210">
            <v>38.795509285891349</v>
          </cell>
          <cell r="L210">
            <v>25.217081035829377</v>
          </cell>
          <cell r="O210">
            <v>69605.4453125</v>
          </cell>
          <cell r="P210">
            <v>53944.21875</v>
          </cell>
          <cell r="Q210">
            <v>17401.361328125</v>
          </cell>
          <cell r="R210">
            <v>20881.6328125</v>
          </cell>
          <cell r="T210">
            <v>-2032.1396006782018</v>
          </cell>
          <cell r="Y210">
            <v>36.855733821596779</v>
          </cell>
          <cell r="AD210">
            <v>25.217081035829377</v>
          </cell>
        </row>
        <row r="211">
          <cell r="D211">
            <v>42583</v>
          </cell>
          <cell r="G211">
            <v>39.227844575025038</v>
          </cell>
          <cell r="L211">
            <v>25.498098973766275</v>
          </cell>
          <cell r="O211">
            <v>79554.671875</v>
          </cell>
          <cell r="P211">
            <v>53612.9296875</v>
          </cell>
          <cell r="Q211">
            <v>13835.5947265625</v>
          </cell>
          <cell r="R211">
            <v>13835.5947265625</v>
          </cell>
          <cell r="T211">
            <v>-1759.9569258089789</v>
          </cell>
          <cell r="Y211">
            <v>37.266452346273788</v>
          </cell>
          <cell r="AD211">
            <v>25.498098973766275</v>
          </cell>
        </row>
        <row r="212">
          <cell r="D212">
            <v>42614</v>
          </cell>
          <cell r="G212">
            <v>39.187583897328459</v>
          </cell>
          <cell r="L212">
            <v>25.471929533263499</v>
          </cell>
          <cell r="O212">
            <v>72205.0546875</v>
          </cell>
          <cell r="P212">
            <v>51575.04296875</v>
          </cell>
          <cell r="Q212">
            <v>13753.3447265625</v>
          </cell>
          <cell r="R212">
            <v>17191.6796875</v>
          </cell>
          <cell r="T212">
            <v>-1996.5399103346767</v>
          </cell>
          <cell r="Y212">
            <v>37.228204702462037</v>
          </cell>
          <cell r="AD212">
            <v>25.471929533263499</v>
          </cell>
        </row>
        <row r="213">
          <cell r="D213">
            <v>42644</v>
          </cell>
          <cell r="G213">
            <v>39.211522995165822</v>
          </cell>
          <cell r="L213">
            <v>25.487489946857782</v>
          </cell>
          <cell r="O213">
            <v>68370.90625</v>
          </cell>
          <cell r="P213">
            <v>53201.109375</v>
          </cell>
          <cell r="Q213">
            <v>17092.7265625</v>
          </cell>
          <cell r="R213">
            <v>20511.271484375</v>
          </cell>
          <cell r="T213">
            <v>-2278.0752376452274</v>
          </cell>
          <cell r="Y213">
            <v>37.250946845407526</v>
          </cell>
          <cell r="AD213">
            <v>25.487489946857782</v>
          </cell>
        </row>
        <row r="214">
          <cell r="D214">
            <v>42675</v>
          </cell>
          <cell r="G214">
            <v>41.488980318355829</v>
          </cell>
          <cell r="L214">
            <v>26.967837206931289</v>
          </cell>
          <cell r="O214">
            <v>68000.21875</v>
          </cell>
          <cell r="P214">
            <v>51000.16015625</v>
          </cell>
          <cell r="Q214">
            <v>13600.04296875</v>
          </cell>
          <cell r="R214">
            <v>20400.064453125</v>
          </cell>
          <cell r="T214">
            <v>1670.6252083638942</v>
          </cell>
          <cell r="Y214">
            <v>39.414531302438036</v>
          </cell>
          <cell r="AD214">
            <v>26.967837206931289</v>
          </cell>
        </row>
        <row r="215">
          <cell r="D215">
            <v>42705</v>
          </cell>
          <cell r="G215">
            <v>43.15428165929039</v>
          </cell>
          <cell r="L215">
            <v>28.050283078538754</v>
          </cell>
          <cell r="O215">
            <v>71003.171875</v>
          </cell>
          <cell r="P215">
            <v>52407.1015625</v>
          </cell>
          <cell r="Q215">
            <v>16905.515625</v>
          </cell>
          <cell r="R215">
            <v>16905.515625</v>
          </cell>
          <cell r="T215">
            <v>3532.4908674696426</v>
          </cell>
          <cell r="Y215">
            <v>40.996567576325866</v>
          </cell>
          <cell r="AD215">
            <v>28.050283078538754</v>
          </cell>
        </row>
        <row r="216">
          <cell r="D216">
            <v>42736</v>
          </cell>
          <cell r="G216">
            <v>42.770401225290733</v>
          </cell>
          <cell r="L216">
            <v>27.800760796438979</v>
          </cell>
          <cell r="O216">
            <v>67239.4453125</v>
          </cell>
          <cell r="P216">
            <v>52110.5703125</v>
          </cell>
          <cell r="Q216">
            <v>13447.888671875</v>
          </cell>
          <cell r="R216">
            <v>23533.8046875</v>
          </cell>
          <cell r="T216">
            <v>5958.4413329171175</v>
          </cell>
          <cell r="Y216">
            <v>40.631881164026197</v>
          </cell>
          <cell r="AD216">
            <v>27.800760796438979</v>
          </cell>
        </row>
        <row r="217">
          <cell r="D217">
            <v>42767</v>
          </cell>
          <cell r="G217">
            <v>41.85018489859732</v>
          </cell>
          <cell r="L217">
            <v>27.202620184088257</v>
          </cell>
          <cell r="O217">
            <v>63553.30078125</v>
          </cell>
          <cell r="P217">
            <v>46828.75</v>
          </cell>
          <cell r="Q217">
            <v>13379.642578125</v>
          </cell>
          <cell r="R217">
            <v>16724.552734375</v>
          </cell>
          <cell r="T217">
            <v>2874.8028424519266</v>
          </cell>
          <cell r="Y217">
            <v>39.757675653667455</v>
          </cell>
          <cell r="AD217">
            <v>27.202620184088257</v>
          </cell>
        </row>
        <row r="218">
          <cell r="D218">
            <v>42795</v>
          </cell>
          <cell r="G218">
            <v>40.380243342385469</v>
          </cell>
          <cell r="L218">
            <v>26.247158172550556</v>
          </cell>
          <cell r="O218">
            <v>76500.4296875</v>
          </cell>
          <cell r="P218">
            <v>51554.63671875</v>
          </cell>
          <cell r="Q218">
            <v>13304.4228515625</v>
          </cell>
          <cell r="R218">
            <v>13304.4228515625</v>
          </cell>
          <cell r="T218">
            <v>1067.5877657021094</v>
          </cell>
          <cell r="Y218">
            <v>38.361231175266191</v>
          </cell>
          <cell r="AD218">
            <v>26.247158172550556</v>
          </cell>
        </row>
        <row r="219">
          <cell r="D219">
            <v>42826</v>
          </cell>
          <cell r="G219">
            <v>37.784555739076879</v>
          </cell>
          <cell r="L219">
            <v>24.559961230399974</v>
          </cell>
          <cell r="O219">
            <v>62848.921875</v>
          </cell>
          <cell r="P219">
            <v>49410.828125</v>
          </cell>
          <cell r="Q219">
            <v>16539.189453125</v>
          </cell>
          <cell r="R219">
            <v>19847.02734375</v>
          </cell>
          <cell r="T219">
            <v>-2401.6569848567706</v>
          </cell>
          <cell r="Y219">
            <v>35.895327952123033</v>
          </cell>
          <cell r="AD219">
            <v>24.559961230399974</v>
          </cell>
        </row>
        <row r="220">
          <cell r="D220">
            <v>42856</v>
          </cell>
          <cell r="G220">
            <v>37.859236202723203</v>
          </cell>
          <cell r="L220">
            <v>24.608503531770083</v>
          </cell>
          <cell r="O220">
            <v>72365.9375</v>
          </cell>
          <cell r="P220">
            <v>50985.09375</v>
          </cell>
          <cell r="Q220">
            <v>13157.443359375</v>
          </cell>
          <cell r="R220">
            <v>16446.8046875</v>
          </cell>
          <cell r="T220">
            <v>-2634.9563871597493</v>
          </cell>
          <cell r="Y220">
            <v>35.966274392587039</v>
          </cell>
          <cell r="AD220">
            <v>24.608503531770083</v>
          </cell>
        </row>
        <row r="221">
          <cell r="D221">
            <v>42887</v>
          </cell>
          <cell r="G221">
            <v>38.289655860869594</v>
          </cell>
          <cell r="L221">
            <v>24.888276309565239</v>
          </cell>
          <cell r="O221">
            <v>71976.15625</v>
          </cell>
          <cell r="P221">
            <v>49074.6484375</v>
          </cell>
          <cell r="Q221">
            <v>13086.5732421875</v>
          </cell>
          <cell r="R221">
            <v>13086.5732421875</v>
          </cell>
          <cell r="T221">
            <v>-2263.2168221690245</v>
          </cell>
          <cell r="Y221">
            <v>36.375173067826111</v>
          </cell>
          <cell r="AD221">
            <v>24.888276309565239</v>
          </cell>
        </row>
        <row r="222">
          <cell r="D222">
            <v>42917</v>
          </cell>
          <cell r="G222">
            <v>38.795509285891349</v>
          </cell>
          <cell r="L222">
            <v>25.217081035829377</v>
          </cell>
          <cell r="O222">
            <v>65059.140625</v>
          </cell>
          <cell r="P222">
            <v>50420.83203125</v>
          </cell>
          <cell r="Q222">
            <v>16264.78515625</v>
          </cell>
          <cell r="R222">
            <v>19517.7421875</v>
          </cell>
          <cell r="T222">
            <v>-1899.4096725349154</v>
          </cell>
          <cell r="Y222">
            <v>36.855733821596779</v>
          </cell>
          <cell r="AD222">
            <v>25.217081035829377</v>
          </cell>
        </row>
        <row r="223">
          <cell r="D223">
            <v>42948</v>
          </cell>
          <cell r="G223">
            <v>39.227844575025038</v>
          </cell>
          <cell r="L223">
            <v>25.498098973766275</v>
          </cell>
          <cell r="O223">
            <v>74397.2265625</v>
          </cell>
          <cell r="P223">
            <v>50137.2578125</v>
          </cell>
          <cell r="Q223">
            <v>12938.6474609375</v>
          </cell>
          <cell r="R223">
            <v>12938.6474609375</v>
          </cell>
          <cell r="T223">
            <v>-1645.8607530479337</v>
          </cell>
          <cell r="Y223">
            <v>37.266452346273788</v>
          </cell>
          <cell r="AD223">
            <v>25.498098973766275</v>
          </cell>
        </row>
        <row r="224">
          <cell r="D224">
            <v>42979</v>
          </cell>
          <cell r="G224">
            <v>39.187583897328459</v>
          </cell>
          <cell r="L224">
            <v>25.471929533263499</v>
          </cell>
          <cell r="O224">
            <v>64336.328125</v>
          </cell>
          <cell r="P224">
            <v>48252.24609375</v>
          </cell>
          <cell r="Q224">
            <v>16084.08203125</v>
          </cell>
          <cell r="R224">
            <v>16084.08203125</v>
          </cell>
          <cell r="T224">
            <v>-1865.4373781897161</v>
          </cell>
          <cell r="Y224">
            <v>37.228204702462037</v>
          </cell>
          <cell r="AD224">
            <v>25.471929533263499</v>
          </cell>
        </row>
        <row r="225">
          <cell r="D225">
            <v>43009</v>
          </cell>
          <cell r="G225">
            <v>39.211522995165822</v>
          </cell>
          <cell r="L225">
            <v>25.487489946857782</v>
          </cell>
          <cell r="O225">
            <v>67172.5390625</v>
          </cell>
          <cell r="P225">
            <v>49779.6484375</v>
          </cell>
          <cell r="Q225">
            <v>12794.76953125</v>
          </cell>
          <cell r="R225">
            <v>19192.154296875</v>
          </cell>
          <cell r="T225">
            <v>-2134.3223386420168</v>
          </cell>
          <cell r="Y225">
            <v>37.250946845407526</v>
          </cell>
          <cell r="AD225">
            <v>25.487489946857782</v>
          </cell>
        </row>
        <row r="226">
          <cell r="D226">
            <v>43040</v>
          </cell>
          <cell r="G226">
            <v>41.488980318355829</v>
          </cell>
          <cell r="L226">
            <v>26.967837206931289</v>
          </cell>
          <cell r="O226">
            <v>66804.4140625</v>
          </cell>
          <cell r="P226">
            <v>47717.4375</v>
          </cell>
          <cell r="Q226">
            <v>9543.4873046875</v>
          </cell>
          <cell r="R226">
            <v>19086.974609375</v>
          </cell>
          <cell r="T226">
            <v>1565.1716900089846</v>
          </cell>
          <cell r="Y226">
            <v>39.414531302438036</v>
          </cell>
          <cell r="AD226">
            <v>26.967837206931289</v>
          </cell>
        </row>
        <row r="227">
          <cell r="D227">
            <v>43070</v>
          </cell>
          <cell r="G227">
            <v>43.15428165929039</v>
          </cell>
          <cell r="L227">
            <v>28.050283078538754</v>
          </cell>
          <cell r="O227">
            <v>63264.14453125</v>
          </cell>
          <cell r="P227">
            <v>49029.71484375</v>
          </cell>
          <cell r="Q227">
            <v>15816.0361328125</v>
          </cell>
          <cell r="R227">
            <v>18979.244140625</v>
          </cell>
          <cell r="T227">
            <v>3275.2377945436206</v>
          </cell>
          <cell r="Y227">
            <v>40.996567576325866</v>
          </cell>
          <cell r="AD227">
            <v>28.050283078538754</v>
          </cell>
        </row>
        <row r="228">
          <cell r="D228">
            <v>43101</v>
          </cell>
          <cell r="G228">
            <v>42.770401225290733</v>
          </cell>
          <cell r="L228">
            <v>27.800760796438979</v>
          </cell>
          <cell r="O228">
            <v>66048.984375</v>
          </cell>
          <cell r="P228">
            <v>48750.4453125</v>
          </cell>
          <cell r="Q228">
            <v>12580.759765625</v>
          </cell>
          <cell r="R228">
            <v>18871.138671875</v>
          </cell>
          <cell r="T228">
            <v>5625.011075221264</v>
          </cell>
          <cell r="Y228">
            <v>40.631881164026197</v>
          </cell>
          <cell r="AD228">
            <v>27.800760796438979</v>
          </cell>
        </row>
        <row r="229">
          <cell r="D229">
            <v>43132</v>
          </cell>
          <cell r="G229">
            <v>41.85018489859732</v>
          </cell>
          <cell r="L229">
            <v>27.202620184088257</v>
          </cell>
          <cell r="O229">
            <v>59452.07421875</v>
          </cell>
          <cell r="P229">
            <v>43806.79296875</v>
          </cell>
          <cell r="Q229">
            <v>12516.2265625</v>
          </cell>
          <cell r="R229">
            <v>15645.283203125</v>
          </cell>
          <cell r="T229">
            <v>2689.2858460717689</v>
          </cell>
          <cell r="Y229">
            <v>39.757675653667455</v>
          </cell>
          <cell r="AD229">
            <v>27.202620184088257</v>
          </cell>
        </row>
        <row r="230">
          <cell r="D230">
            <v>43160</v>
          </cell>
          <cell r="G230">
            <v>40.380243342385469</v>
          </cell>
          <cell r="L230">
            <v>26.247158172550556</v>
          </cell>
          <cell r="O230">
            <v>65335.26171875</v>
          </cell>
          <cell r="P230">
            <v>48223.64453125</v>
          </cell>
          <cell r="Q230">
            <v>15556.0146484375</v>
          </cell>
          <cell r="R230">
            <v>15556.0146484375</v>
          </cell>
          <cell r="T230">
            <v>988.48742456550474</v>
          </cell>
          <cell r="Y230">
            <v>38.361231175266191</v>
          </cell>
          <cell r="AD230">
            <v>26.247158172550556</v>
          </cell>
        </row>
        <row r="231">
          <cell r="D231">
            <v>43191</v>
          </cell>
          <cell r="G231">
            <v>37.784555739076879</v>
          </cell>
          <cell r="L231">
            <v>24.559961230399974</v>
          </cell>
          <cell r="O231">
            <v>64977.1484375</v>
          </cell>
          <cell r="P231">
            <v>46218.8671875</v>
          </cell>
          <cell r="Q231">
            <v>12376.599609375</v>
          </cell>
          <cell r="R231">
            <v>15470.75</v>
          </cell>
          <cell r="T231">
            <v>-2270.553955584237</v>
          </cell>
          <cell r="Y231">
            <v>35.895327952123033</v>
          </cell>
          <cell r="AD231">
            <v>24.559961230399974</v>
          </cell>
        </row>
        <row r="232">
          <cell r="D232">
            <v>43221</v>
          </cell>
          <cell r="G232">
            <v>37.859236202723203</v>
          </cell>
          <cell r="L232">
            <v>24.608503531770083</v>
          </cell>
          <cell r="O232">
            <v>67683.8046875</v>
          </cell>
          <cell r="P232">
            <v>47686.31640625</v>
          </cell>
          <cell r="Q232">
            <v>12306.1455078125</v>
          </cell>
          <cell r="R232">
            <v>15382.6826171875</v>
          </cell>
          <cell r="T232">
            <v>-2464.4725900446638</v>
          </cell>
          <cell r="Y232">
            <v>35.966274392587039</v>
          </cell>
          <cell r="AD232">
            <v>24.608503531770083</v>
          </cell>
        </row>
        <row r="233">
          <cell r="D233">
            <v>43252</v>
          </cell>
          <cell r="G233">
            <v>38.289655860869594</v>
          </cell>
          <cell r="L233">
            <v>24.888276309565239</v>
          </cell>
          <cell r="O233">
            <v>64254.02734375</v>
          </cell>
          <cell r="P233">
            <v>45895.73046875</v>
          </cell>
          <cell r="Q233">
            <v>15298.5771484375</v>
          </cell>
          <cell r="R233">
            <v>12238.8623046875</v>
          </cell>
          <cell r="T233">
            <v>-2113.836153025879</v>
          </cell>
          <cell r="Y233">
            <v>36.375173067826111</v>
          </cell>
          <cell r="AD233">
            <v>24.888276309565239</v>
          </cell>
        </row>
        <row r="234">
          <cell r="D234">
            <v>43282</v>
          </cell>
          <cell r="G234">
            <v>38.795509285891349</v>
          </cell>
          <cell r="L234">
            <v>25.217081035829377</v>
          </cell>
          <cell r="O234">
            <v>63884.6015625</v>
          </cell>
          <cell r="P234">
            <v>47152.921875</v>
          </cell>
          <cell r="Q234">
            <v>12168.49609375</v>
          </cell>
          <cell r="R234">
            <v>18252.744140625</v>
          </cell>
          <cell r="T234">
            <v>-1778.6072829394811</v>
          </cell>
          <cell r="Y234">
            <v>36.855733821596779</v>
          </cell>
          <cell r="AD234">
            <v>25.217081035829377</v>
          </cell>
        </row>
        <row r="235">
          <cell r="D235">
            <v>43313</v>
          </cell>
          <cell r="G235">
            <v>39.227844575025038</v>
          </cell>
          <cell r="L235">
            <v>25.498098973766275</v>
          </cell>
          <cell r="O235">
            <v>69574.40625</v>
          </cell>
          <cell r="P235">
            <v>46887.1015625</v>
          </cell>
          <cell r="Q235">
            <v>12099.896484375</v>
          </cell>
          <cell r="R235">
            <v>12099.896484375</v>
          </cell>
          <cell r="T235">
            <v>-1539.1674342584306</v>
          </cell>
          <cell r="Y235">
            <v>37.266452346273788</v>
          </cell>
          <cell r="AD235">
            <v>25.498098973766275</v>
          </cell>
        </row>
        <row r="236">
          <cell r="D236">
            <v>43344</v>
          </cell>
          <cell r="G236">
            <v>39.187583897328459</v>
          </cell>
          <cell r="L236">
            <v>25.471929533263499</v>
          </cell>
          <cell r="O236">
            <v>57149.9921875</v>
          </cell>
          <cell r="P236">
            <v>45118.4140625</v>
          </cell>
          <cell r="Q236">
            <v>15039.4716796875</v>
          </cell>
          <cell r="R236">
            <v>18047.365234375</v>
          </cell>
          <cell r="T236">
            <v>-1728.1101678230871</v>
          </cell>
          <cell r="Y236">
            <v>37.228204702462037</v>
          </cell>
          <cell r="AD236">
            <v>25.471929533263499</v>
          </cell>
        </row>
        <row r="237">
          <cell r="D237">
            <v>43374</v>
          </cell>
          <cell r="G237">
            <v>39.211522995165822</v>
          </cell>
          <cell r="L237">
            <v>25.487489946857782</v>
          </cell>
          <cell r="O237">
            <v>65798.40625</v>
          </cell>
          <cell r="P237">
            <v>46544.89453125</v>
          </cell>
          <cell r="Q237">
            <v>11963.3466796875</v>
          </cell>
          <cell r="R237">
            <v>14954.18359375</v>
          </cell>
          <cell r="T237">
            <v>-2013.6297970261826</v>
          </cell>
          <cell r="Y237">
            <v>37.250946845407526</v>
          </cell>
          <cell r="AD237">
            <v>25.487489946857782</v>
          </cell>
        </row>
        <row r="238">
          <cell r="D238">
            <v>43405</v>
          </cell>
          <cell r="G238">
            <v>41.488980318355829</v>
          </cell>
          <cell r="L238">
            <v>26.967837206931289</v>
          </cell>
          <cell r="O238">
            <v>62459.69140625</v>
          </cell>
          <cell r="P238">
            <v>44614.0625</v>
          </cell>
          <cell r="Q238">
            <v>11897.083984375</v>
          </cell>
          <cell r="R238">
            <v>14871.35546875</v>
          </cell>
          <cell r="T238">
            <v>1475.0894830579496</v>
          </cell>
          <cell r="Y238">
            <v>39.414531302438036</v>
          </cell>
          <cell r="AD238">
            <v>26.967837206931289</v>
          </cell>
        </row>
        <row r="239">
          <cell r="D239">
            <v>43435</v>
          </cell>
          <cell r="G239">
            <v>43.15428165929039</v>
          </cell>
          <cell r="L239">
            <v>28.050283078538754</v>
          </cell>
          <cell r="O239">
            <v>59146.08984375</v>
          </cell>
          <cell r="P239">
            <v>45838.21875</v>
          </cell>
          <cell r="Q239">
            <v>14786.5224609375</v>
          </cell>
          <cell r="R239">
            <v>17743.828125</v>
          </cell>
          <cell r="T239">
            <v>3062.0425977304171</v>
          </cell>
          <cell r="Y239">
            <v>40.996567576325866</v>
          </cell>
          <cell r="AD239">
            <v>28.050283078538754</v>
          </cell>
        </row>
        <row r="240">
          <cell r="D240">
            <v>43466</v>
          </cell>
          <cell r="G240">
            <v>42.770401225290733</v>
          </cell>
          <cell r="L240">
            <v>27.800760796438979</v>
          </cell>
          <cell r="O240">
            <v>59895.2578125</v>
          </cell>
          <cell r="P240">
            <v>44208.40234375</v>
          </cell>
          <cell r="Q240">
            <v>11408.6201171875</v>
          </cell>
          <cell r="R240">
            <v>17112.9296875</v>
          </cell>
          <cell r="T240">
            <v>5100.9333933142134</v>
          </cell>
          <cell r="Y240">
            <v>40.631881164026197</v>
          </cell>
          <cell r="AD240">
            <v>27.800760796438979</v>
          </cell>
        </row>
        <row r="241">
          <cell r="D241">
            <v>43497</v>
          </cell>
          <cell r="G241">
            <v>41.85018489859732</v>
          </cell>
          <cell r="L241">
            <v>27.202620184088257</v>
          </cell>
          <cell r="O241">
            <v>53910.015625</v>
          </cell>
          <cell r="P241">
            <v>39723.16796875</v>
          </cell>
          <cell r="Q241">
            <v>11349.4765625</v>
          </cell>
          <cell r="R241">
            <v>14186.845703125</v>
          </cell>
          <cell r="T241">
            <v>2438.593426477451</v>
          </cell>
          <cell r="Y241">
            <v>39.757675653667455</v>
          </cell>
          <cell r="AD241">
            <v>27.202620184088257</v>
          </cell>
        </row>
        <row r="242">
          <cell r="D242">
            <v>43525</v>
          </cell>
          <cell r="G242">
            <v>40.380243342385469</v>
          </cell>
          <cell r="L242">
            <v>26.247158172550556</v>
          </cell>
          <cell r="O242">
            <v>59239.66796875</v>
          </cell>
          <cell r="P242">
            <v>43724.515625</v>
          </cell>
          <cell r="Q242">
            <v>14104.6826171875</v>
          </cell>
          <cell r="R242">
            <v>14104.6826171875</v>
          </cell>
          <cell r="T242">
            <v>896.26436051703092</v>
          </cell>
          <cell r="Y242">
            <v>38.361231175266191</v>
          </cell>
          <cell r="AD242">
            <v>26.247158172550556</v>
          </cell>
        </row>
        <row r="243">
          <cell r="D243">
            <v>43556</v>
          </cell>
          <cell r="G243">
            <v>37.784555739076879</v>
          </cell>
          <cell r="L243">
            <v>24.559961230399974</v>
          </cell>
          <cell r="O243">
            <v>58912.99609375</v>
          </cell>
          <cell r="P243">
            <v>41905.375</v>
          </cell>
          <cell r="Q243">
            <v>11221.5234375</v>
          </cell>
          <cell r="R243">
            <v>14026.904296875</v>
          </cell>
          <cell r="T243">
            <v>-2058.648894769211</v>
          </cell>
          <cell r="Y243">
            <v>35.895327952123033</v>
          </cell>
          <cell r="AD243">
            <v>24.559961230399974</v>
          </cell>
        </row>
        <row r="244">
          <cell r="D244">
            <v>43586</v>
          </cell>
          <cell r="G244">
            <v>37.859236202723203</v>
          </cell>
          <cell r="L244">
            <v>24.608503531770083</v>
          </cell>
          <cell r="O244">
            <v>61363.31640625</v>
          </cell>
          <cell r="P244">
            <v>43233.2421875</v>
          </cell>
          <cell r="Q244">
            <v>11156.966796875</v>
          </cell>
          <cell r="R244">
            <v>13946.2080078125</v>
          </cell>
          <cell r="T244">
            <v>-2234.3337597102741</v>
          </cell>
          <cell r="Y244">
            <v>35.966274392587039</v>
          </cell>
          <cell r="AD244">
            <v>24.608503531770083</v>
          </cell>
        </row>
        <row r="245">
          <cell r="D245">
            <v>43617</v>
          </cell>
          <cell r="G245">
            <v>38.289655860869594</v>
          </cell>
          <cell r="L245">
            <v>24.888276309565239</v>
          </cell>
          <cell r="O245">
            <v>55475.31640625</v>
          </cell>
          <cell r="P245">
            <v>41606.48828125</v>
          </cell>
          <cell r="Q245">
            <v>13868.8291015625</v>
          </cell>
          <cell r="R245">
            <v>13868.8291015625</v>
          </cell>
          <cell r="T245">
            <v>-1898.6804985246872</v>
          </cell>
          <cell r="Y245">
            <v>36.375173067826111</v>
          </cell>
          <cell r="AD245">
            <v>24.888276309565239</v>
          </cell>
        </row>
        <row r="246">
          <cell r="D246">
            <v>43647</v>
          </cell>
          <cell r="G246">
            <v>38.795509285891349</v>
          </cell>
          <cell r="L246">
            <v>25.217081035829377</v>
          </cell>
          <cell r="O246">
            <v>60669.6796875</v>
          </cell>
          <cell r="P246">
            <v>42744.546875</v>
          </cell>
          <cell r="Q246">
            <v>11030.8505859375</v>
          </cell>
          <cell r="R246">
            <v>13788.5634765625</v>
          </cell>
          <cell r="T246">
            <v>-1626.8830009050389</v>
          </cell>
          <cell r="Y246">
            <v>36.855733821596779</v>
          </cell>
          <cell r="AD246">
            <v>25.217081035829377</v>
          </cell>
        </row>
        <row r="247">
          <cell r="D247">
            <v>43678</v>
          </cell>
          <cell r="G247">
            <v>39.227844575025038</v>
          </cell>
          <cell r="L247">
            <v>25.498098973766275</v>
          </cell>
          <cell r="O247">
            <v>60322.69140625</v>
          </cell>
          <cell r="P247">
            <v>42500.07421875</v>
          </cell>
          <cell r="Q247">
            <v>13709.7021484375</v>
          </cell>
          <cell r="R247">
            <v>10967.76171875</v>
          </cell>
          <cell r="T247">
            <v>-1393.3886424884856</v>
          </cell>
          <cell r="Y247">
            <v>37.266452346273788</v>
          </cell>
          <cell r="AD247">
            <v>25.498098973766275</v>
          </cell>
        </row>
        <row r="248">
          <cell r="D248">
            <v>43709</v>
          </cell>
          <cell r="G248">
            <v>39.187583897328459</v>
          </cell>
          <cell r="L248">
            <v>25.471929533263499</v>
          </cell>
          <cell r="O248">
            <v>54529.71484375</v>
          </cell>
          <cell r="P248">
            <v>40897.2890625</v>
          </cell>
          <cell r="Q248">
            <v>10905.943359375</v>
          </cell>
          <cell r="R248">
            <v>16358.9150390625</v>
          </cell>
          <cell r="T248">
            <v>-1568.5297335513692</v>
          </cell>
          <cell r="Y248">
            <v>37.228204702462037</v>
          </cell>
          <cell r="AD248">
            <v>25.471929533263499</v>
          </cell>
        </row>
        <row r="249">
          <cell r="D249">
            <v>43739</v>
          </cell>
          <cell r="G249">
            <v>39.211522995165822</v>
          </cell>
          <cell r="L249">
            <v>25.487489946857782</v>
          </cell>
          <cell r="O249">
            <v>59636.08984375</v>
          </cell>
          <cell r="P249">
            <v>42185.7578125</v>
          </cell>
          <cell r="Q249">
            <v>10842.92578125</v>
          </cell>
          <cell r="R249">
            <v>13553.6572265625</v>
          </cell>
          <cell r="T249">
            <v>-1825.0443443845279</v>
          </cell>
          <cell r="Y249">
            <v>37.250946845407526</v>
          </cell>
          <cell r="AD249">
            <v>25.487489946857782</v>
          </cell>
        </row>
        <row r="250">
          <cell r="D250">
            <v>43770</v>
          </cell>
          <cell r="G250">
            <v>41.488980318355829</v>
          </cell>
          <cell r="L250">
            <v>26.967837206931289</v>
          </cell>
          <cell r="O250">
            <v>51214.3515625</v>
          </cell>
          <cell r="P250">
            <v>40432.3828125</v>
          </cell>
          <cell r="Q250">
            <v>13477.4609375</v>
          </cell>
          <cell r="R250">
            <v>16172.953125</v>
          </cell>
          <cell r="T250">
            <v>1322.6917446326895</v>
          </cell>
          <cell r="Y250">
            <v>39.414531302438036</v>
          </cell>
          <cell r="AD250">
            <v>26.967837206931289</v>
          </cell>
        </row>
        <row r="251">
          <cell r="D251">
            <v>43800</v>
          </cell>
          <cell r="G251">
            <v>43.15428165929039</v>
          </cell>
          <cell r="L251">
            <v>28.050283078538754</v>
          </cell>
          <cell r="O251">
            <v>56280.45703125</v>
          </cell>
          <cell r="P251">
            <v>41540.33984375</v>
          </cell>
          <cell r="Q251">
            <v>10720.0869140625</v>
          </cell>
          <cell r="R251">
            <v>16080.130859375</v>
          </cell>
          <cell r="T251">
            <v>2778.5156331361341</v>
          </cell>
          <cell r="Y251">
            <v>40.996567576325866</v>
          </cell>
          <cell r="AD251">
            <v>28.050283078538754</v>
          </cell>
        </row>
        <row r="252">
          <cell r="D252">
            <v>43831</v>
          </cell>
          <cell r="G252">
            <v>42.770401225290733</v>
          </cell>
          <cell r="L252">
            <v>27.800760796438979</v>
          </cell>
          <cell r="O252">
            <v>54440.2890625</v>
          </cell>
          <cell r="P252">
            <v>40182.1171875</v>
          </cell>
          <cell r="Q252">
            <v>10369.5791015625</v>
          </cell>
          <cell r="R252">
            <v>15554.3681640625</v>
          </cell>
          <cell r="T252">
            <v>4636.3652769086148</v>
          </cell>
          <cell r="Y252">
            <v>40.631881164026197</v>
          </cell>
          <cell r="AD252">
            <v>27.800760796438979</v>
          </cell>
        </row>
        <row r="253">
          <cell r="D253">
            <v>43862</v>
          </cell>
          <cell r="G253">
            <v>41.85018489859732</v>
          </cell>
          <cell r="L253">
            <v>27.202620184088257</v>
          </cell>
          <cell r="O253">
            <v>48987.0234375</v>
          </cell>
          <cell r="P253">
            <v>37384.8359375</v>
          </cell>
          <cell r="Q253">
            <v>12891.322265625</v>
          </cell>
          <cell r="R253">
            <v>12891.322265625</v>
          </cell>
          <cell r="T253">
            <v>2296.2804609854311</v>
          </cell>
          <cell r="Y253">
            <v>39.757675653667455</v>
          </cell>
          <cell r="AD253">
            <v>27.202620184088257</v>
          </cell>
        </row>
        <row r="254">
          <cell r="D254">
            <v>43891</v>
          </cell>
          <cell r="G254">
            <v>40.380243342385469</v>
          </cell>
          <cell r="L254">
            <v>26.247158172550556</v>
          </cell>
          <cell r="O254">
            <v>56394.06640625</v>
          </cell>
          <cell r="P254">
            <v>39732.1796875</v>
          </cell>
          <cell r="Q254">
            <v>10253.466796875</v>
          </cell>
          <cell r="R254">
            <v>12816.8330078125</v>
          </cell>
          <cell r="T254">
            <v>815.47513452306066</v>
          </cell>
          <cell r="Y254">
            <v>38.361231175266191</v>
          </cell>
          <cell r="AD254">
            <v>26.247158172550556</v>
          </cell>
        </row>
        <row r="255">
          <cell r="D255">
            <v>43922</v>
          </cell>
          <cell r="G255">
            <v>37.784555739076879</v>
          </cell>
          <cell r="L255">
            <v>24.559961230399974</v>
          </cell>
          <cell r="O255">
            <v>53528.08203125</v>
          </cell>
          <cell r="P255">
            <v>38075.03515625</v>
          </cell>
          <cell r="Q255">
            <v>10195.8251953125</v>
          </cell>
          <cell r="R255">
            <v>12744.78125</v>
          </cell>
          <cell r="T255">
            <v>-1870.4790800252613</v>
          </cell>
          <cell r="Y255">
            <v>35.895327952123033</v>
          </cell>
          <cell r="AD255">
            <v>24.559961230399974</v>
          </cell>
        </row>
        <row r="256">
          <cell r="D256">
            <v>43952</v>
          </cell>
          <cell r="G256">
            <v>37.859236202723203</v>
          </cell>
          <cell r="L256">
            <v>24.608503531770083</v>
          </cell>
          <cell r="O256">
            <v>50680.17578125</v>
          </cell>
          <cell r="P256">
            <v>39277.13671875</v>
          </cell>
          <cell r="Q256">
            <v>12670.0439453125</v>
          </cell>
          <cell r="R256">
            <v>15204.052734375</v>
          </cell>
          <cell r="T256">
            <v>-2009.1211011949529</v>
          </cell>
          <cell r="Y256">
            <v>35.966274392587039</v>
          </cell>
          <cell r="AD256">
            <v>24.608503531770083</v>
          </cell>
        </row>
        <row r="257">
          <cell r="D257">
            <v>43983</v>
          </cell>
          <cell r="G257">
            <v>38.289655860869594</v>
          </cell>
          <cell r="L257">
            <v>24.888276309565239</v>
          </cell>
          <cell r="O257">
            <v>55437.07421875</v>
          </cell>
          <cell r="P257">
            <v>37798.00390625</v>
          </cell>
          <cell r="Q257">
            <v>10079.4677734375</v>
          </cell>
          <cell r="R257">
            <v>10079.4677734375</v>
          </cell>
          <cell r="T257">
            <v>-1743.1622802581235</v>
          </cell>
          <cell r="Y257">
            <v>36.375173067826111</v>
          </cell>
          <cell r="AD257">
            <v>24.888276309565239</v>
          </cell>
        </row>
        <row r="258">
          <cell r="D258">
            <v>44013</v>
          </cell>
          <cell r="G258">
            <v>38.795509285891349</v>
          </cell>
          <cell r="L258">
            <v>25.217081035829377</v>
          </cell>
          <cell r="O258">
            <v>57619.421875</v>
          </cell>
          <cell r="P258">
            <v>38830.4765625</v>
          </cell>
          <cell r="Q258">
            <v>7515.57666015625</v>
          </cell>
          <cell r="R258">
            <v>12525.9609375</v>
          </cell>
          <cell r="T258">
            <v>-1479.8082181163845</v>
          </cell>
          <cell r="Y258">
            <v>36.855733821596779</v>
          </cell>
          <cell r="AD258">
            <v>25.217081035829377</v>
          </cell>
        </row>
        <row r="259">
          <cell r="D259">
            <v>44044</v>
          </cell>
          <cell r="G259">
            <v>39.227844575025038</v>
          </cell>
          <cell r="L259">
            <v>25.498098973766275</v>
          </cell>
          <cell r="O259">
            <v>52303.72265625</v>
          </cell>
          <cell r="P259">
            <v>38605.1328125</v>
          </cell>
          <cell r="Q259">
            <v>12453.267578125</v>
          </cell>
          <cell r="R259">
            <v>12453.267578125</v>
          </cell>
          <cell r="T259">
            <v>-1254.4549480149783</v>
          </cell>
          <cell r="Y259">
            <v>37.266452346273788</v>
          </cell>
          <cell r="AD259">
            <v>25.498098973766275</v>
          </cell>
        </row>
        <row r="260">
          <cell r="D260">
            <v>44075</v>
          </cell>
          <cell r="G260">
            <v>39.187583897328459</v>
          </cell>
          <cell r="L260">
            <v>25.471929533263499</v>
          </cell>
          <cell r="O260">
            <v>52007.08203125</v>
          </cell>
          <cell r="P260">
            <v>37147.9140625</v>
          </cell>
          <cell r="Q260">
            <v>9906.111328125</v>
          </cell>
          <cell r="R260">
            <v>12382.638671875</v>
          </cell>
          <cell r="T260">
            <v>-1438.0462964161436</v>
          </cell>
          <cell r="Y260">
            <v>37.228204702462037</v>
          </cell>
          <cell r="AD260">
            <v>25.471929533263499</v>
          </cell>
        </row>
        <row r="261">
          <cell r="D261">
            <v>44105</v>
          </cell>
          <cell r="G261">
            <v>39.211522995165822</v>
          </cell>
          <cell r="L261">
            <v>25.487489946857782</v>
          </cell>
          <cell r="O261">
            <v>51702.09765625</v>
          </cell>
          <cell r="P261">
            <v>38314.94921875</v>
          </cell>
          <cell r="Q261">
            <v>12310.0234375</v>
          </cell>
          <cell r="R261">
            <v>12310.0234375</v>
          </cell>
          <cell r="T261">
            <v>-1655.4650430372835</v>
          </cell>
          <cell r="Y261">
            <v>37.250946845407526</v>
          </cell>
          <cell r="AD261">
            <v>25.487489946857782</v>
          </cell>
        </row>
        <row r="262">
          <cell r="D262">
            <v>44136</v>
          </cell>
          <cell r="G262">
            <v>41.488980318355829</v>
          </cell>
          <cell r="L262">
            <v>26.967837206931289</v>
          </cell>
          <cell r="O262">
            <v>46514.703125</v>
          </cell>
          <cell r="P262">
            <v>36722.1328125</v>
          </cell>
          <cell r="Q262">
            <v>9792.5693359375</v>
          </cell>
          <cell r="R262">
            <v>17136.99609375</v>
          </cell>
          <cell r="T262">
            <v>1191.6764548153647</v>
          </cell>
          <cell r="Y262">
            <v>39.414531302438036</v>
          </cell>
          <cell r="AD262">
            <v>26.967837206931289</v>
          </cell>
        </row>
        <row r="263">
          <cell r="D263">
            <v>44166</v>
          </cell>
          <cell r="G263">
            <v>43.15428165929039</v>
          </cell>
          <cell r="L263">
            <v>28.050283078538754</v>
          </cell>
          <cell r="O263">
            <v>53545.48046875</v>
          </cell>
          <cell r="P263">
            <v>37725.2265625</v>
          </cell>
          <cell r="Q263">
            <v>9735.5419921875</v>
          </cell>
          <cell r="R263">
            <v>12169.427734375</v>
          </cell>
          <cell r="T263">
            <v>2546.1094846249202</v>
          </cell>
          <cell r="Y263">
            <v>40.996567576325866</v>
          </cell>
          <cell r="AD263">
            <v>28.050283078538754</v>
          </cell>
        </row>
        <row r="264">
          <cell r="D264">
            <v>44197</v>
          </cell>
          <cell r="G264">
            <v>43.15428165929039</v>
          </cell>
          <cell r="L264">
            <v>28.050283078538754</v>
          </cell>
          <cell r="O264">
            <v>0</v>
          </cell>
          <cell r="P264">
            <v>0</v>
          </cell>
          <cell r="Q264">
            <v>0</v>
          </cell>
          <cell r="R264">
            <v>0</v>
          </cell>
          <cell r="T264">
            <v>0</v>
          </cell>
          <cell r="Y264">
            <v>40.996567576325866</v>
          </cell>
          <cell r="AD264">
            <v>28.050283078538754</v>
          </cell>
        </row>
        <row r="265">
          <cell r="D265">
            <v>44228</v>
          </cell>
          <cell r="G265">
            <v>43.15428165929039</v>
          </cell>
          <cell r="L265">
            <v>28.050283078538754</v>
          </cell>
          <cell r="O265">
            <v>0</v>
          </cell>
          <cell r="P265">
            <v>0</v>
          </cell>
          <cell r="Q265">
            <v>0</v>
          </cell>
          <cell r="R265">
            <v>0</v>
          </cell>
          <cell r="T265">
            <v>0</v>
          </cell>
          <cell r="Y265">
            <v>40.996567576325866</v>
          </cell>
          <cell r="AD265">
            <v>28.050283078538754</v>
          </cell>
        </row>
        <row r="266">
          <cell r="D266">
            <v>44256</v>
          </cell>
          <cell r="G266">
            <v>43.15428165929039</v>
          </cell>
          <cell r="L266">
            <v>28.050283078538754</v>
          </cell>
          <cell r="O266">
            <v>0</v>
          </cell>
          <cell r="P266">
            <v>0</v>
          </cell>
          <cell r="Q266">
            <v>0</v>
          </cell>
          <cell r="R266">
            <v>0</v>
          </cell>
          <cell r="T266">
            <v>0</v>
          </cell>
          <cell r="Y266">
            <v>40.996567576325866</v>
          </cell>
          <cell r="AD266">
            <v>28.050283078538754</v>
          </cell>
        </row>
        <row r="267">
          <cell r="D267">
            <v>44287</v>
          </cell>
          <cell r="G267">
            <v>43.15428165929039</v>
          </cell>
          <cell r="L267">
            <v>28.050283078538754</v>
          </cell>
          <cell r="O267">
            <v>0</v>
          </cell>
          <cell r="P267">
            <v>0</v>
          </cell>
          <cell r="Q267">
            <v>0</v>
          </cell>
          <cell r="R267">
            <v>0</v>
          </cell>
          <cell r="T267">
            <v>0</v>
          </cell>
          <cell r="Y267">
            <v>40.996567576325866</v>
          </cell>
          <cell r="AD267">
            <v>28.050283078538754</v>
          </cell>
        </row>
        <row r="268">
          <cell r="D268">
            <v>44317</v>
          </cell>
          <cell r="G268">
            <v>43.15428165929039</v>
          </cell>
          <cell r="L268">
            <v>28.050283078538754</v>
          </cell>
          <cell r="O268">
            <v>0</v>
          </cell>
          <cell r="P268">
            <v>0</v>
          </cell>
          <cell r="Q268">
            <v>0</v>
          </cell>
          <cell r="R268">
            <v>0</v>
          </cell>
          <cell r="T268">
            <v>0</v>
          </cell>
          <cell r="Y268">
            <v>40.996567576325866</v>
          </cell>
          <cell r="AD268">
            <v>28.050283078538754</v>
          </cell>
        </row>
        <row r="269">
          <cell r="D269">
            <v>44348</v>
          </cell>
          <cell r="G269">
            <v>43.15428165929039</v>
          </cell>
          <cell r="L269">
            <v>28.050283078538754</v>
          </cell>
          <cell r="O269">
            <v>0</v>
          </cell>
          <cell r="P269">
            <v>0</v>
          </cell>
          <cell r="Q269">
            <v>0</v>
          </cell>
          <cell r="R269">
            <v>0</v>
          </cell>
          <cell r="T269">
            <v>0</v>
          </cell>
          <cell r="Y269">
            <v>40.996567576325866</v>
          </cell>
          <cell r="AD269">
            <v>28.050283078538754</v>
          </cell>
        </row>
        <row r="270">
          <cell r="D270">
            <v>44378</v>
          </cell>
          <cell r="G270">
            <v>43.15428165929039</v>
          </cell>
          <cell r="L270">
            <v>28.050283078538754</v>
          </cell>
          <cell r="O270">
            <v>0</v>
          </cell>
          <cell r="P270">
            <v>0</v>
          </cell>
          <cell r="Q270">
            <v>0</v>
          </cell>
          <cell r="R270">
            <v>0</v>
          </cell>
          <cell r="T270">
            <v>0</v>
          </cell>
          <cell r="Y270">
            <v>40.996567576325866</v>
          </cell>
          <cell r="AD270">
            <v>28.050283078538754</v>
          </cell>
        </row>
        <row r="271">
          <cell r="D271">
            <v>44409</v>
          </cell>
          <cell r="G271">
            <v>43.15428165929039</v>
          </cell>
          <cell r="L271">
            <v>28.050283078538754</v>
          </cell>
          <cell r="O271">
            <v>0</v>
          </cell>
          <cell r="P271">
            <v>0</v>
          </cell>
          <cell r="Q271">
            <v>0</v>
          </cell>
          <cell r="R271">
            <v>0</v>
          </cell>
          <cell r="T271">
            <v>0</v>
          </cell>
          <cell r="Y271">
            <v>40.996567576325866</v>
          </cell>
          <cell r="AD271">
            <v>28.050283078538754</v>
          </cell>
        </row>
        <row r="272">
          <cell r="D272">
            <v>44440</v>
          </cell>
          <cell r="G272">
            <v>43.15428165929039</v>
          </cell>
          <cell r="L272">
            <v>28.050283078538754</v>
          </cell>
          <cell r="O272">
            <v>0</v>
          </cell>
          <cell r="P272">
            <v>0</v>
          </cell>
          <cell r="Q272">
            <v>0</v>
          </cell>
          <cell r="R272">
            <v>0</v>
          </cell>
          <cell r="T272">
            <v>0</v>
          </cell>
          <cell r="Y272">
            <v>40.996567576325866</v>
          </cell>
          <cell r="AD272">
            <v>28.050283078538754</v>
          </cell>
        </row>
        <row r="273">
          <cell r="T273">
            <v>0</v>
          </cell>
        </row>
      </sheetData>
      <sheetData sheetId="3">
        <row r="1">
          <cell r="T1">
            <v>538858.926762013</v>
          </cell>
        </row>
        <row r="3">
          <cell r="D3">
            <v>37190</v>
          </cell>
          <cell r="T3">
            <v>0</v>
          </cell>
        </row>
        <row r="4">
          <cell r="D4">
            <v>37191</v>
          </cell>
          <cell r="T4">
            <v>0</v>
          </cell>
        </row>
        <row r="5">
          <cell r="D5">
            <v>37192</v>
          </cell>
          <cell r="T5">
            <v>0</v>
          </cell>
        </row>
        <row r="6">
          <cell r="D6">
            <v>37193</v>
          </cell>
          <cell r="T6">
            <v>0</v>
          </cell>
        </row>
        <row r="7">
          <cell r="D7">
            <v>37194</v>
          </cell>
          <cell r="T7">
            <v>0</v>
          </cell>
        </row>
        <row r="8">
          <cell r="D8">
            <v>37195</v>
          </cell>
          <cell r="T8">
            <v>0</v>
          </cell>
        </row>
        <row r="9">
          <cell r="D9">
            <v>37196</v>
          </cell>
          <cell r="T9">
            <v>0</v>
          </cell>
        </row>
        <row r="10">
          <cell r="D10">
            <v>37197</v>
          </cell>
          <cell r="T10">
            <v>0</v>
          </cell>
        </row>
        <row r="11">
          <cell r="D11">
            <v>37198</v>
          </cell>
          <cell r="T11">
            <v>0</v>
          </cell>
        </row>
        <row r="12">
          <cell r="D12">
            <v>37199</v>
          </cell>
          <cell r="T12">
            <v>0</v>
          </cell>
        </row>
        <row r="13">
          <cell r="D13">
            <v>37200</v>
          </cell>
          <cell r="T13">
            <v>0</v>
          </cell>
        </row>
        <row r="14">
          <cell r="D14">
            <v>37201</v>
          </cell>
          <cell r="T14">
            <v>0</v>
          </cell>
        </row>
        <row r="15">
          <cell r="D15">
            <v>37202</v>
          </cell>
          <cell r="T15">
            <v>0</v>
          </cell>
        </row>
        <row r="16">
          <cell r="D16">
            <v>37203</v>
          </cell>
          <cell r="T16">
            <v>0</v>
          </cell>
        </row>
        <row r="17">
          <cell r="D17">
            <v>37204</v>
          </cell>
          <cell r="T17">
            <v>0</v>
          </cell>
        </row>
        <row r="18">
          <cell r="D18">
            <v>37205</v>
          </cell>
          <cell r="T18">
            <v>0</v>
          </cell>
        </row>
        <row r="19">
          <cell r="D19">
            <v>37206</v>
          </cell>
          <cell r="T19">
            <v>0</v>
          </cell>
        </row>
        <row r="20">
          <cell r="D20">
            <v>37207</v>
          </cell>
          <cell r="T20">
            <v>0</v>
          </cell>
        </row>
        <row r="21">
          <cell r="D21">
            <v>37208</v>
          </cell>
          <cell r="T21">
            <v>0</v>
          </cell>
        </row>
        <row r="22">
          <cell r="D22">
            <v>37209</v>
          </cell>
          <cell r="T22">
            <v>0</v>
          </cell>
        </row>
        <row r="23">
          <cell r="D23">
            <v>37210</v>
          </cell>
          <cell r="T23">
            <v>0</v>
          </cell>
        </row>
        <row r="24">
          <cell r="D24">
            <v>37211</v>
          </cell>
          <cell r="T24">
            <v>0</v>
          </cell>
        </row>
        <row r="25">
          <cell r="D25">
            <v>37212</v>
          </cell>
          <cell r="T25">
            <v>0</v>
          </cell>
        </row>
        <row r="26">
          <cell r="D26">
            <v>37213</v>
          </cell>
          <cell r="T26">
            <v>0</v>
          </cell>
        </row>
        <row r="27">
          <cell r="D27">
            <v>37214</v>
          </cell>
          <cell r="T27">
            <v>0</v>
          </cell>
        </row>
        <row r="28">
          <cell r="D28">
            <v>37215</v>
          </cell>
          <cell r="T28">
            <v>0</v>
          </cell>
        </row>
        <row r="29">
          <cell r="D29">
            <v>37216</v>
          </cell>
          <cell r="T29">
            <v>0</v>
          </cell>
        </row>
        <row r="30">
          <cell r="D30">
            <v>37217</v>
          </cell>
          <cell r="T30">
            <v>0</v>
          </cell>
        </row>
        <row r="31">
          <cell r="D31">
            <v>37218</v>
          </cell>
          <cell r="T31">
            <v>0</v>
          </cell>
        </row>
        <row r="32">
          <cell r="D32">
            <v>37219</v>
          </cell>
          <cell r="T32">
            <v>0</v>
          </cell>
        </row>
        <row r="33">
          <cell r="D33">
            <v>37220</v>
          </cell>
          <cell r="T33">
            <v>0</v>
          </cell>
        </row>
        <row r="34">
          <cell r="D34">
            <v>37225</v>
          </cell>
          <cell r="T34">
            <v>0</v>
          </cell>
        </row>
        <row r="35">
          <cell r="D35">
            <v>37226</v>
          </cell>
          <cell r="T35">
            <v>0</v>
          </cell>
        </row>
        <row r="36">
          <cell r="D36">
            <v>37257</v>
          </cell>
          <cell r="T36">
            <v>15274.224791076627</v>
          </cell>
        </row>
        <row r="37">
          <cell r="D37">
            <v>37288</v>
          </cell>
          <cell r="T37">
            <v>15672.731279639553</v>
          </cell>
        </row>
        <row r="38">
          <cell r="D38">
            <v>37316</v>
          </cell>
          <cell r="T38">
            <v>17740.864373710163</v>
          </cell>
        </row>
        <row r="39">
          <cell r="D39">
            <v>37347</v>
          </cell>
          <cell r="T39">
            <v>9387.8601455811131</v>
          </cell>
        </row>
        <row r="40">
          <cell r="D40">
            <v>37377</v>
          </cell>
          <cell r="T40">
            <v>9368.8716479762625</v>
          </cell>
        </row>
        <row r="41">
          <cell r="D41">
            <v>37408</v>
          </cell>
          <cell r="T41">
            <v>9229.5459538014366</v>
          </cell>
        </row>
        <row r="42">
          <cell r="D42">
            <v>37438</v>
          </cell>
          <cell r="T42">
            <v>9136.0594321965455</v>
          </cell>
        </row>
        <row r="43">
          <cell r="D43">
            <v>37469</v>
          </cell>
          <cell r="T43">
            <v>9810.0390412509223</v>
          </cell>
        </row>
        <row r="44">
          <cell r="D44">
            <v>37500</v>
          </cell>
          <cell r="T44">
            <v>8892.9241971498013</v>
          </cell>
        </row>
        <row r="45">
          <cell r="D45">
            <v>37530</v>
          </cell>
          <cell r="T45">
            <v>11005.974704281169</v>
          </cell>
        </row>
        <row r="46">
          <cell r="D46">
            <v>37561</v>
          </cell>
          <cell r="T46">
            <v>10479.642979353603</v>
          </cell>
        </row>
        <row r="47">
          <cell r="D47">
            <v>37591</v>
          </cell>
          <cell r="T47">
            <v>12526.035611003372</v>
          </cell>
        </row>
        <row r="48">
          <cell r="D48">
            <v>37622</v>
          </cell>
          <cell r="T48">
            <v>10154.23591880134</v>
          </cell>
        </row>
        <row r="49">
          <cell r="D49">
            <v>37653</v>
          </cell>
          <cell r="T49">
            <v>10046.053520882464</v>
          </cell>
        </row>
        <row r="50">
          <cell r="D50">
            <v>37681</v>
          </cell>
          <cell r="T50">
            <v>10508.458783945012</v>
          </cell>
        </row>
        <row r="51">
          <cell r="D51">
            <v>37712</v>
          </cell>
          <cell r="T51">
            <v>10972.092814345835</v>
          </cell>
        </row>
        <row r="52">
          <cell r="D52">
            <v>37742</v>
          </cell>
          <cell r="T52">
            <v>10318.453981499162</v>
          </cell>
        </row>
        <row r="53">
          <cell r="D53">
            <v>37773</v>
          </cell>
          <cell r="T53">
            <v>10268.615242497317</v>
          </cell>
        </row>
        <row r="54">
          <cell r="D54">
            <v>37803</v>
          </cell>
          <cell r="T54">
            <v>10708.952280681799</v>
          </cell>
        </row>
        <row r="55">
          <cell r="D55">
            <v>37834</v>
          </cell>
          <cell r="T55">
            <v>10175.017131022803</v>
          </cell>
        </row>
        <row r="56">
          <cell r="D56">
            <v>37865</v>
          </cell>
          <cell r="T56">
            <v>9590.2087287713239</v>
          </cell>
        </row>
        <row r="57">
          <cell r="D57">
            <v>37895</v>
          </cell>
          <cell r="T57">
            <v>9866.7068252128265</v>
          </cell>
        </row>
        <row r="58">
          <cell r="D58">
            <v>37926</v>
          </cell>
          <cell r="T58">
            <v>7121.0082037061102</v>
          </cell>
        </row>
        <row r="59">
          <cell r="D59">
            <v>37956</v>
          </cell>
          <cell r="T59">
            <v>7605.7334235660983</v>
          </cell>
        </row>
        <row r="60">
          <cell r="D60">
            <v>37987</v>
          </cell>
          <cell r="T60">
            <v>5694.1252408200262</v>
          </cell>
        </row>
        <row r="61">
          <cell r="D61">
            <v>38018</v>
          </cell>
          <cell r="T61">
            <v>5485.3156689303059</v>
          </cell>
        </row>
        <row r="62">
          <cell r="D62">
            <v>38047</v>
          </cell>
          <cell r="T62">
            <v>6274.8562379891691</v>
          </cell>
        </row>
        <row r="63">
          <cell r="D63">
            <v>38078</v>
          </cell>
          <cell r="T63">
            <v>5979.6979944907762</v>
          </cell>
        </row>
        <row r="64">
          <cell r="D64">
            <v>38108</v>
          </cell>
          <cell r="T64">
            <v>5394.8797420385445</v>
          </cell>
        </row>
        <row r="65">
          <cell r="D65">
            <v>38139</v>
          </cell>
          <cell r="T65">
            <v>5882.9142397056276</v>
          </cell>
        </row>
        <row r="66">
          <cell r="D66">
            <v>38169</v>
          </cell>
          <cell r="T66">
            <v>5567.6161166177635</v>
          </cell>
        </row>
        <row r="67">
          <cell r="D67">
            <v>38200</v>
          </cell>
          <cell r="T67">
            <v>5779.7425954061819</v>
          </cell>
        </row>
        <row r="68">
          <cell r="D68">
            <v>38231</v>
          </cell>
          <cell r="T68">
            <v>5475.2306624423836</v>
          </cell>
        </row>
        <row r="69">
          <cell r="D69">
            <v>38261</v>
          </cell>
          <cell r="T69">
            <v>5434.305270025252</v>
          </cell>
        </row>
        <row r="70">
          <cell r="D70">
            <v>38292</v>
          </cell>
          <cell r="T70">
            <v>5269.4234654115762</v>
          </cell>
        </row>
        <row r="71">
          <cell r="D71">
            <v>38322</v>
          </cell>
          <cell r="T71">
            <v>5709.6865584976476</v>
          </cell>
        </row>
        <row r="72">
          <cell r="D72">
            <v>38353</v>
          </cell>
          <cell r="T72">
            <v>4579.2360105059224</v>
          </cell>
        </row>
        <row r="73">
          <cell r="D73">
            <v>38384</v>
          </cell>
          <cell r="T73">
            <v>4435.7442566320724</v>
          </cell>
        </row>
        <row r="74">
          <cell r="D74">
            <v>38412</v>
          </cell>
          <cell r="T74">
            <v>5094.0988331001854</v>
          </cell>
        </row>
        <row r="75">
          <cell r="D75">
            <v>38443</v>
          </cell>
          <cell r="T75">
            <v>4656.6514988005347</v>
          </cell>
        </row>
        <row r="76">
          <cell r="D76">
            <v>38473</v>
          </cell>
          <cell r="T76">
            <v>4627.543702031081</v>
          </cell>
        </row>
        <row r="77">
          <cell r="D77">
            <v>38504</v>
          </cell>
          <cell r="T77">
            <v>4812.4045644678645</v>
          </cell>
        </row>
        <row r="78">
          <cell r="D78">
            <v>38534</v>
          </cell>
          <cell r="T78">
            <v>4343.4741583827263</v>
          </cell>
        </row>
        <row r="79">
          <cell r="D79">
            <v>38565</v>
          </cell>
          <cell r="T79">
            <v>4954.8866738207926</v>
          </cell>
        </row>
        <row r="80">
          <cell r="D80">
            <v>38596</v>
          </cell>
          <cell r="T80">
            <v>4498.2039018280902</v>
          </cell>
        </row>
        <row r="81">
          <cell r="D81">
            <v>38626</v>
          </cell>
          <cell r="T81">
            <v>4470.5740435542384</v>
          </cell>
        </row>
        <row r="82">
          <cell r="D82">
            <v>38657</v>
          </cell>
          <cell r="T82">
            <v>4323.8114865438247</v>
          </cell>
        </row>
        <row r="83">
          <cell r="D83">
            <v>38687</v>
          </cell>
          <cell r="T83">
            <v>4270.0599631127461</v>
          </cell>
        </row>
        <row r="84">
          <cell r="D84">
            <v>38718</v>
          </cell>
          <cell r="T84">
            <v>3458.1379779080034</v>
          </cell>
        </row>
        <row r="85">
          <cell r="D85">
            <v>38749</v>
          </cell>
          <cell r="T85">
            <v>3377.8152509457714</v>
          </cell>
        </row>
        <row r="86">
          <cell r="D86">
            <v>38777</v>
          </cell>
          <cell r="T86">
            <v>3899.7229919195443</v>
          </cell>
        </row>
        <row r="87">
          <cell r="D87">
            <v>38808</v>
          </cell>
          <cell r="T87">
            <v>3414.7133987380148</v>
          </cell>
        </row>
        <row r="88">
          <cell r="D88">
            <v>38838</v>
          </cell>
          <cell r="T88">
            <v>3748.3509881247119</v>
          </cell>
        </row>
        <row r="89">
          <cell r="D89">
            <v>38869</v>
          </cell>
          <cell r="T89">
            <v>3737.0796243577906</v>
          </cell>
        </row>
        <row r="90">
          <cell r="D90">
            <v>38899</v>
          </cell>
          <cell r="T90">
            <v>3389.5818978013585</v>
          </cell>
        </row>
        <row r="91">
          <cell r="D91">
            <v>38930</v>
          </cell>
          <cell r="T91">
            <v>3888.870874500155</v>
          </cell>
        </row>
        <row r="92">
          <cell r="D92">
            <v>38961</v>
          </cell>
          <cell r="T92">
            <v>3381.9538259041969</v>
          </cell>
        </row>
        <row r="93">
          <cell r="D93">
            <v>38991</v>
          </cell>
          <cell r="T93">
            <v>3718.1114965416141</v>
          </cell>
        </row>
        <row r="94">
          <cell r="D94">
            <v>39022</v>
          </cell>
          <cell r="T94">
            <v>3461.2362238835158</v>
          </cell>
        </row>
        <row r="95">
          <cell r="D95">
            <v>39052</v>
          </cell>
          <cell r="T95">
            <v>3265.94281141897</v>
          </cell>
        </row>
        <row r="96">
          <cell r="D96">
            <v>39083</v>
          </cell>
          <cell r="T96">
            <v>3179.9510762708878</v>
          </cell>
        </row>
        <row r="97">
          <cell r="D97">
            <v>39114</v>
          </cell>
          <cell r="T97">
            <v>2958.4503204863045</v>
          </cell>
        </row>
        <row r="98">
          <cell r="D98">
            <v>39142</v>
          </cell>
          <cell r="T98">
            <v>3254.8191448384232</v>
          </cell>
        </row>
        <row r="99">
          <cell r="D99">
            <v>39173</v>
          </cell>
          <cell r="T99">
            <v>3113.3918821850634</v>
          </cell>
        </row>
        <row r="100">
          <cell r="D100">
            <v>39203</v>
          </cell>
          <cell r="T100">
            <v>3246.6090867846588</v>
          </cell>
        </row>
        <row r="101">
          <cell r="D101">
            <v>39234</v>
          </cell>
          <cell r="T101">
            <v>3081.1525290756258</v>
          </cell>
        </row>
        <row r="102">
          <cell r="D102">
            <v>39264</v>
          </cell>
          <cell r="T102">
            <v>3064.2275752541773</v>
          </cell>
        </row>
        <row r="103">
          <cell r="D103">
            <v>39295</v>
          </cell>
          <cell r="T103">
            <v>3335.8791197738292</v>
          </cell>
        </row>
        <row r="104">
          <cell r="D104">
            <v>39326</v>
          </cell>
          <cell r="T104">
            <v>2747.0679777341006</v>
          </cell>
        </row>
        <row r="105">
          <cell r="D105">
            <v>39356</v>
          </cell>
          <cell r="T105">
            <v>3309.9321372884469</v>
          </cell>
        </row>
        <row r="106">
          <cell r="D106">
            <v>39387</v>
          </cell>
          <cell r="T106">
            <v>2921.5829736394799</v>
          </cell>
        </row>
        <row r="107">
          <cell r="D107">
            <v>39417</v>
          </cell>
          <cell r="T107">
            <v>2757.2554432024017</v>
          </cell>
        </row>
        <row r="108">
          <cell r="D108">
            <v>39448</v>
          </cell>
          <cell r="T108">
            <v>2647.5351051112943</v>
          </cell>
        </row>
        <row r="109">
          <cell r="D109">
            <v>39479</v>
          </cell>
          <cell r="T109">
            <v>2595.8103103829417</v>
          </cell>
        </row>
        <row r="110">
          <cell r="D110">
            <v>39508</v>
          </cell>
          <cell r="T110">
            <v>2597.4959003640206</v>
          </cell>
        </row>
        <row r="111">
          <cell r="D111">
            <v>39539</v>
          </cell>
          <cell r="T111">
            <v>2729.5947866328852</v>
          </cell>
        </row>
        <row r="112">
          <cell r="D112">
            <v>39569</v>
          </cell>
          <cell r="T112">
            <v>2595.105775271632</v>
          </cell>
        </row>
        <row r="113">
          <cell r="D113">
            <v>39600</v>
          </cell>
          <cell r="T113">
            <v>2581.3652265223877</v>
          </cell>
        </row>
        <row r="114">
          <cell r="D114">
            <v>39630</v>
          </cell>
          <cell r="T114">
            <v>2690.338049950908</v>
          </cell>
        </row>
        <row r="115">
          <cell r="D115">
            <v>39661</v>
          </cell>
          <cell r="T115">
            <v>2554.7761577352371</v>
          </cell>
        </row>
        <row r="116">
          <cell r="D116">
            <v>39692</v>
          </cell>
          <cell r="T116">
            <v>2546.5001154091606</v>
          </cell>
        </row>
        <row r="117">
          <cell r="D117">
            <v>39722</v>
          </cell>
          <cell r="T117">
            <v>2778.4195201300836</v>
          </cell>
        </row>
        <row r="118">
          <cell r="D118">
            <v>39753</v>
          </cell>
          <cell r="T118">
            <v>2225.0236567819852</v>
          </cell>
        </row>
        <row r="119">
          <cell r="D119">
            <v>39783</v>
          </cell>
          <cell r="T119">
            <v>2560.5573091125348</v>
          </cell>
        </row>
        <row r="120">
          <cell r="D120">
            <v>39814</v>
          </cell>
          <cell r="T120">
            <v>2108.8660839942886</v>
          </cell>
        </row>
        <row r="121">
          <cell r="D121">
            <v>39845</v>
          </cell>
          <cell r="T121">
            <v>2076.9135325489915</v>
          </cell>
        </row>
        <row r="122">
          <cell r="D122">
            <v>39873</v>
          </cell>
          <cell r="T122">
            <v>2290.9857946184961</v>
          </cell>
        </row>
        <row r="123">
          <cell r="D123">
            <v>39904</v>
          </cell>
          <cell r="T123">
            <v>2304.9586096385287</v>
          </cell>
        </row>
        <row r="124">
          <cell r="D124">
            <v>39934</v>
          </cell>
          <cell r="T124">
            <v>2094.1428474285622</v>
          </cell>
        </row>
        <row r="125">
          <cell r="D125">
            <v>39965</v>
          </cell>
          <cell r="T125">
            <v>2299.6926159882178</v>
          </cell>
        </row>
        <row r="126">
          <cell r="D126">
            <v>39995</v>
          </cell>
          <cell r="T126">
            <v>2295.9390382936158</v>
          </cell>
        </row>
        <row r="127">
          <cell r="D127">
            <v>40026</v>
          </cell>
          <cell r="T127">
            <v>2188.6841907415615</v>
          </cell>
        </row>
        <row r="128">
          <cell r="D128">
            <v>40057</v>
          </cell>
          <cell r="T128">
            <v>2189.2800240481133</v>
          </cell>
        </row>
        <row r="129">
          <cell r="D129">
            <v>40087</v>
          </cell>
          <cell r="T129">
            <v>2293.1763497585221</v>
          </cell>
        </row>
        <row r="130">
          <cell r="D130">
            <v>40118</v>
          </cell>
          <cell r="T130">
            <v>2017.8784857060371</v>
          </cell>
        </row>
        <row r="131">
          <cell r="D131">
            <v>40148</v>
          </cell>
          <cell r="T131">
            <v>2214.7061950718603</v>
          </cell>
        </row>
        <row r="132">
          <cell r="D132">
            <v>40179</v>
          </cell>
          <cell r="T132">
            <v>1718.9195840783698</v>
          </cell>
        </row>
        <row r="133">
          <cell r="D133">
            <v>40210</v>
          </cell>
          <cell r="T133">
            <v>1784.2864361236288</v>
          </cell>
        </row>
        <row r="134">
          <cell r="D134">
            <v>40238</v>
          </cell>
          <cell r="T134">
            <v>2056.4573070135439</v>
          </cell>
        </row>
        <row r="135">
          <cell r="D135">
            <v>40269</v>
          </cell>
          <cell r="T135">
            <v>1975.8960865035538</v>
          </cell>
        </row>
        <row r="136">
          <cell r="D136">
            <v>40299</v>
          </cell>
          <cell r="T136">
            <v>1797.6900306776943</v>
          </cell>
        </row>
        <row r="137">
          <cell r="D137">
            <v>40330</v>
          </cell>
          <cell r="T137">
            <v>1979.2258639828947</v>
          </cell>
        </row>
        <row r="138">
          <cell r="D138">
            <v>40360</v>
          </cell>
          <cell r="T138">
            <v>1891.5872484499832</v>
          </cell>
        </row>
        <row r="139">
          <cell r="D139">
            <v>40391</v>
          </cell>
          <cell r="T139">
            <v>1983.4838997491995</v>
          </cell>
        </row>
        <row r="140">
          <cell r="D140">
            <v>40422</v>
          </cell>
          <cell r="T140">
            <v>1897.0201268382198</v>
          </cell>
        </row>
        <row r="141">
          <cell r="D141">
            <v>40452</v>
          </cell>
          <cell r="T141">
            <v>1900.3287384452783</v>
          </cell>
        </row>
        <row r="142">
          <cell r="D142">
            <v>40483</v>
          </cell>
          <cell r="T142">
            <v>1845.2891095649502</v>
          </cell>
        </row>
        <row r="143">
          <cell r="D143">
            <v>40513</v>
          </cell>
          <cell r="T143">
            <v>2026.6395351482863</v>
          </cell>
        </row>
        <row r="144">
          <cell r="D144">
            <v>40544</v>
          </cell>
          <cell r="T144">
            <v>-204.50096104559378</v>
          </cell>
        </row>
        <row r="145">
          <cell r="D145">
            <v>40575</v>
          </cell>
          <cell r="T145">
            <v>-102.65774514590217</v>
          </cell>
        </row>
        <row r="146">
          <cell r="D146">
            <v>40603</v>
          </cell>
          <cell r="T146">
            <v>-39.015727263978569</v>
          </cell>
        </row>
        <row r="147">
          <cell r="D147">
            <v>40634</v>
          </cell>
          <cell r="T147">
            <v>84.628606688087558</v>
          </cell>
        </row>
        <row r="148">
          <cell r="D148">
            <v>40664</v>
          </cell>
          <cell r="T148">
            <v>88.556505685917955</v>
          </cell>
        </row>
        <row r="149">
          <cell r="D149">
            <v>40695</v>
          </cell>
          <cell r="T149">
            <v>81.635871406566523</v>
          </cell>
        </row>
        <row r="150">
          <cell r="D150">
            <v>40725</v>
          </cell>
          <cell r="T150">
            <v>61.352052810645432</v>
          </cell>
        </row>
        <row r="151">
          <cell r="D151">
            <v>40756</v>
          </cell>
          <cell r="T151">
            <v>59.886902038925278</v>
          </cell>
        </row>
        <row r="152">
          <cell r="D152">
            <v>40787</v>
          </cell>
          <cell r="T152">
            <v>64.775571228492055</v>
          </cell>
        </row>
        <row r="153">
          <cell r="D153">
            <v>40817</v>
          </cell>
          <cell r="T153">
            <v>72.040076324389133</v>
          </cell>
        </row>
        <row r="154">
          <cell r="D154">
            <v>40848</v>
          </cell>
          <cell r="T154">
            <v>-54.682864599957817</v>
          </cell>
        </row>
        <row r="155">
          <cell r="D155">
            <v>40878</v>
          </cell>
          <cell r="T155">
            <v>-110.78825636349228</v>
          </cell>
        </row>
        <row r="156">
          <cell r="D156">
            <v>40909</v>
          </cell>
          <cell r="T156">
            <v>-190.11725410427456</v>
          </cell>
        </row>
        <row r="157">
          <cell r="D157">
            <v>40940</v>
          </cell>
          <cell r="T157">
            <v>-100.26139892202043</v>
          </cell>
        </row>
        <row r="158">
          <cell r="D158">
            <v>40969</v>
          </cell>
          <cell r="T158">
            <v>-34.746427448302882</v>
          </cell>
        </row>
        <row r="159">
          <cell r="D159">
            <v>41000</v>
          </cell>
          <cell r="T159">
            <v>78.825273031933548</v>
          </cell>
        </row>
        <row r="160">
          <cell r="D160">
            <v>41030</v>
          </cell>
          <cell r="T160">
            <v>86.501180641684201</v>
          </cell>
        </row>
        <row r="161">
          <cell r="D161">
            <v>41061</v>
          </cell>
          <cell r="T161">
            <v>72.70508097931743</v>
          </cell>
        </row>
        <row r="162">
          <cell r="D162">
            <v>41091</v>
          </cell>
          <cell r="T162">
            <v>60.140255540535712</v>
          </cell>
        </row>
        <row r="163">
          <cell r="D163">
            <v>41122</v>
          </cell>
          <cell r="T163">
            <v>55.962664189107379</v>
          </cell>
        </row>
        <row r="164">
          <cell r="D164">
            <v>41153</v>
          </cell>
          <cell r="T164">
            <v>54.849390167725311</v>
          </cell>
        </row>
        <row r="165">
          <cell r="D165">
            <v>41183</v>
          </cell>
          <cell r="T165">
            <v>73.851945040497796</v>
          </cell>
        </row>
        <row r="166">
          <cell r="D166">
            <v>41214</v>
          </cell>
          <cell r="T166">
            <v>-51.176266917362156</v>
          </cell>
        </row>
        <row r="167">
          <cell r="D167">
            <v>41244</v>
          </cell>
          <cell r="T167">
            <v>-98.749187925509403</v>
          </cell>
        </row>
        <row r="168">
          <cell r="D168">
            <v>41275</v>
          </cell>
          <cell r="T168">
            <v>-186.34353033392719</v>
          </cell>
        </row>
        <row r="169">
          <cell r="D169">
            <v>41306</v>
          </cell>
          <cell r="T169">
            <v>-89.341701034197087</v>
          </cell>
        </row>
        <row r="170">
          <cell r="D170">
            <v>41334</v>
          </cell>
          <cell r="T170">
            <v>-31.033811483566851</v>
          </cell>
        </row>
        <row r="171">
          <cell r="D171">
            <v>41365</v>
          </cell>
          <cell r="T171">
            <v>77.241927034164291</v>
          </cell>
        </row>
        <row r="172">
          <cell r="D172">
            <v>41395</v>
          </cell>
          <cell r="T172">
            <v>80.89887187343011</v>
          </cell>
        </row>
        <row r="173">
          <cell r="D173">
            <v>41426</v>
          </cell>
          <cell r="T173">
            <v>64.760612566647623</v>
          </cell>
        </row>
        <row r="174">
          <cell r="D174">
            <v>41456</v>
          </cell>
          <cell r="T174">
            <v>58.906548864302081</v>
          </cell>
        </row>
        <row r="175">
          <cell r="D175">
            <v>41487</v>
          </cell>
          <cell r="T175">
            <v>50.049467136120221</v>
          </cell>
        </row>
        <row r="176">
          <cell r="D176">
            <v>41518</v>
          </cell>
          <cell r="T176">
            <v>53.945970696571905</v>
          </cell>
        </row>
        <row r="177">
          <cell r="D177">
            <v>41548</v>
          </cell>
          <cell r="T177">
            <v>69.018837216665489</v>
          </cell>
        </row>
        <row r="178">
          <cell r="D178">
            <v>41579</v>
          </cell>
          <cell r="T178">
            <v>-45.551742635412872</v>
          </cell>
        </row>
        <row r="179">
          <cell r="D179">
            <v>41609</v>
          </cell>
          <cell r="T179">
            <v>-96.872612480933057</v>
          </cell>
        </row>
        <row r="180">
          <cell r="D180">
            <v>41640</v>
          </cell>
          <cell r="T180">
            <v>-174.07275363691198</v>
          </cell>
        </row>
        <row r="181">
          <cell r="D181">
            <v>41671</v>
          </cell>
          <cell r="T181">
            <v>-83.447454778531224</v>
          </cell>
        </row>
        <row r="182">
          <cell r="D182">
            <v>41699</v>
          </cell>
          <cell r="T182">
            <v>-28.971406506371004</v>
          </cell>
        </row>
        <row r="183">
          <cell r="D183">
            <v>41730</v>
          </cell>
          <cell r="T183">
            <v>72.125119396004763</v>
          </cell>
        </row>
        <row r="184">
          <cell r="D184">
            <v>41760</v>
          </cell>
          <cell r="T184">
            <v>72.109346514308129</v>
          </cell>
        </row>
        <row r="185">
          <cell r="D185">
            <v>41791</v>
          </cell>
          <cell r="T185">
            <v>63.475516561309604</v>
          </cell>
        </row>
        <row r="186">
          <cell r="D186">
            <v>41821</v>
          </cell>
          <cell r="T186">
            <v>54.980400897113789</v>
          </cell>
        </row>
        <row r="187">
          <cell r="D187">
            <v>41852</v>
          </cell>
          <cell r="T187">
            <v>44.591883888421989</v>
          </cell>
        </row>
        <row r="188">
          <cell r="D188">
            <v>41883</v>
          </cell>
          <cell r="T188">
            <v>52.852701329860899</v>
          </cell>
        </row>
        <row r="189">
          <cell r="D189">
            <v>41913</v>
          </cell>
          <cell r="T189">
            <v>64.390653639477051</v>
          </cell>
        </row>
        <row r="190">
          <cell r="D190">
            <v>41944</v>
          </cell>
          <cell r="T190">
            <v>-40.374575771584283</v>
          </cell>
        </row>
        <row r="191">
          <cell r="D191">
            <v>41974</v>
          </cell>
          <cell r="T191">
            <v>-94.652508611792555</v>
          </cell>
        </row>
        <row r="192">
          <cell r="D192">
            <v>42005</v>
          </cell>
          <cell r="T192">
            <v>-147.60067517673878</v>
          </cell>
        </row>
        <row r="193">
          <cell r="D193">
            <v>42036</v>
          </cell>
          <cell r="T193">
            <v>-73.931500942622364</v>
          </cell>
        </row>
        <row r="194">
          <cell r="D194">
            <v>42064</v>
          </cell>
          <cell r="T194">
            <v>-28.290023804470703</v>
          </cell>
        </row>
        <row r="195">
          <cell r="D195">
            <v>42095</v>
          </cell>
          <cell r="T195">
            <v>64.175070040035635</v>
          </cell>
        </row>
        <row r="196">
          <cell r="D196">
            <v>42125</v>
          </cell>
          <cell r="T196">
            <v>64.018957701067862</v>
          </cell>
        </row>
        <row r="197">
          <cell r="D197">
            <v>42156</v>
          </cell>
          <cell r="T197">
            <v>61.979832703138861</v>
          </cell>
        </row>
        <row r="198">
          <cell r="D198">
            <v>42186</v>
          </cell>
          <cell r="T198">
            <v>51.227369013259974</v>
          </cell>
        </row>
        <row r="199">
          <cell r="D199">
            <v>42217</v>
          </cell>
          <cell r="T199">
            <v>41.541697851015989</v>
          </cell>
        </row>
        <row r="200">
          <cell r="D200">
            <v>42248</v>
          </cell>
          <cell r="T200">
            <v>49.230703128271237</v>
          </cell>
        </row>
        <row r="201">
          <cell r="D201">
            <v>42278</v>
          </cell>
          <cell r="T201">
            <v>54.765255224657295</v>
          </cell>
        </row>
        <row r="202">
          <cell r="D202">
            <v>42309</v>
          </cell>
          <cell r="T202">
            <v>-37.582350227629647</v>
          </cell>
        </row>
        <row r="203">
          <cell r="D203">
            <v>42339</v>
          </cell>
          <cell r="T203">
            <v>-88.127192908138852</v>
          </cell>
        </row>
        <row r="204">
          <cell r="D204">
            <v>42370</v>
          </cell>
          <cell r="T204">
            <v>-130.5618697493762</v>
          </cell>
        </row>
        <row r="205">
          <cell r="D205">
            <v>42401</v>
          </cell>
          <cell r="T205">
            <v>-72.409238618249958</v>
          </cell>
        </row>
        <row r="206">
          <cell r="D206">
            <v>42430</v>
          </cell>
          <cell r="T206">
            <v>-26.328510651732827</v>
          </cell>
        </row>
        <row r="207">
          <cell r="D207">
            <v>42461</v>
          </cell>
          <cell r="T207">
            <v>59.717242699005702</v>
          </cell>
        </row>
        <row r="208">
          <cell r="D208">
            <v>42491</v>
          </cell>
          <cell r="T208">
            <v>62.504484139798727</v>
          </cell>
        </row>
        <row r="209">
          <cell r="D209">
            <v>42522</v>
          </cell>
          <cell r="T209">
            <v>57.634753674769236</v>
          </cell>
        </row>
        <row r="210">
          <cell r="D210">
            <v>42552</v>
          </cell>
          <cell r="T210">
            <v>43.325247651537119</v>
          </cell>
        </row>
        <row r="211">
          <cell r="D211">
            <v>42583</v>
          </cell>
          <cell r="T211">
            <v>42.304268088207678</v>
          </cell>
        </row>
        <row r="212">
          <cell r="D212">
            <v>42614</v>
          </cell>
          <cell r="T212">
            <v>45.770083189042658</v>
          </cell>
        </row>
        <row r="213">
          <cell r="D213">
            <v>42644</v>
          </cell>
          <cell r="T213">
            <v>48.486970298404337</v>
          </cell>
        </row>
        <row r="214">
          <cell r="D214">
            <v>42675</v>
          </cell>
          <cell r="T214">
            <v>-36.801695760226508</v>
          </cell>
        </row>
        <row r="215">
          <cell r="D215">
            <v>42705</v>
          </cell>
          <cell r="T215">
            <v>-78.28262086889103</v>
          </cell>
        </row>
        <row r="216">
          <cell r="D216">
            <v>42736</v>
          </cell>
          <cell r="T216">
            <v>-127.93125824506986</v>
          </cell>
        </row>
        <row r="217">
          <cell r="D217">
            <v>42767</v>
          </cell>
          <cell r="T217">
            <v>-64.101331830290789</v>
          </cell>
        </row>
        <row r="218">
          <cell r="D218">
            <v>42795</v>
          </cell>
          <cell r="T218">
            <v>-25.663334485046708</v>
          </cell>
        </row>
        <row r="219">
          <cell r="D219">
            <v>42826</v>
          </cell>
          <cell r="T219">
            <v>50.409779499348005</v>
          </cell>
        </row>
        <row r="220">
          <cell r="D220">
            <v>42856</v>
          </cell>
          <cell r="T220">
            <v>61.117038889941909</v>
          </cell>
        </row>
        <row r="221">
          <cell r="D221">
            <v>42887</v>
          </cell>
          <cell r="T221">
            <v>53.804096086210386</v>
          </cell>
        </row>
        <row r="222">
          <cell r="D222">
            <v>42917</v>
          </cell>
          <cell r="T222">
            <v>40.466225198836923</v>
          </cell>
        </row>
        <row r="223">
          <cell r="D223">
            <v>42948</v>
          </cell>
          <cell r="T223">
            <v>39.551782988628098</v>
          </cell>
        </row>
        <row r="224">
          <cell r="D224">
            <v>42979</v>
          </cell>
          <cell r="T224">
            <v>40.782558310071387</v>
          </cell>
        </row>
        <row r="225">
          <cell r="D225">
            <v>43009</v>
          </cell>
          <cell r="T225">
            <v>47.638486053716207</v>
          </cell>
        </row>
        <row r="226">
          <cell r="D226">
            <v>43040</v>
          </cell>
          <cell r="T226">
            <v>-36.155567971236174</v>
          </cell>
        </row>
        <row r="227">
          <cell r="D227">
            <v>43070</v>
          </cell>
          <cell r="T227">
            <v>-69.766290397059592</v>
          </cell>
        </row>
        <row r="228">
          <cell r="D228">
            <v>43101</v>
          </cell>
          <cell r="T228">
            <v>-125.66988372506142</v>
          </cell>
        </row>
        <row r="229">
          <cell r="D229">
            <v>43132</v>
          </cell>
          <cell r="T229">
            <v>-59.966465148828718</v>
          </cell>
        </row>
        <row r="230">
          <cell r="D230">
            <v>43160</v>
          </cell>
          <cell r="T230">
            <v>-21.922969810061804</v>
          </cell>
        </row>
        <row r="231">
          <cell r="D231">
            <v>43191</v>
          </cell>
          <cell r="T231">
            <v>52.096893218068004</v>
          </cell>
        </row>
        <row r="232">
          <cell r="D232">
            <v>43221</v>
          </cell>
          <cell r="T232">
            <v>57.164356774446098</v>
          </cell>
        </row>
        <row r="233">
          <cell r="D233">
            <v>43252</v>
          </cell>
          <cell r="T233">
            <v>48.042647779893933</v>
          </cell>
        </row>
        <row r="234">
          <cell r="D234">
            <v>43282</v>
          </cell>
          <cell r="T234">
            <v>39.736817694243435</v>
          </cell>
        </row>
        <row r="235">
          <cell r="D235">
            <v>43313</v>
          </cell>
          <cell r="T235">
            <v>36.973407871144637</v>
          </cell>
        </row>
        <row r="236">
          <cell r="D236">
            <v>43344</v>
          </cell>
          <cell r="T236">
            <v>36.235838597475436</v>
          </cell>
        </row>
        <row r="237">
          <cell r="D237">
            <v>43374</v>
          </cell>
          <cell r="T237">
            <v>46.665297763990729</v>
          </cell>
        </row>
        <row r="238">
          <cell r="D238">
            <v>43405</v>
          </cell>
          <cell r="T238">
            <v>-33.805110251088088</v>
          </cell>
        </row>
        <row r="239">
          <cell r="D239">
            <v>43435</v>
          </cell>
          <cell r="T239">
            <v>-65.226721328753669</v>
          </cell>
        </row>
        <row r="240">
          <cell r="D240">
            <v>43466</v>
          </cell>
          <cell r="T240">
            <v>-117.4858566337974</v>
          </cell>
        </row>
        <row r="241">
          <cell r="D241">
            <v>43497</v>
          </cell>
          <cell r="T241">
            <v>-56.058180621689097</v>
          </cell>
        </row>
        <row r="242">
          <cell r="D242">
            <v>43525</v>
          </cell>
          <cell r="T242">
            <v>-20.49675135062774</v>
          </cell>
        </row>
        <row r="243">
          <cell r="D243">
            <v>43556</v>
          </cell>
          <cell r="T243">
            <v>48.695677685427341</v>
          </cell>
        </row>
        <row r="244">
          <cell r="D244">
            <v>43586</v>
          </cell>
          <cell r="T244">
            <v>53.429058010218931</v>
          </cell>
        </row>
        <row r="245">
          <cell r="D245">
            <v>43617</v>
          </cell>
          <cell r="T245">
            <v>42.770415008656073</v>
          </cell>
        </row>
        <row r="246">
          <cell r="D246">
            <v>43647</v>
          </cell>
          <cell r="T246">
            <v>38.904221978455837</v>
          </cell>
        </row>
        <row r="247">
          <cell r="D247">
            <v>43678</v>
          </cell>
          <cell r="T247">
            <v>33.054962887138323</v>
          </cell>
        </row>
        <row r="248">
          <cell r="D248">
            <v>43709</v>
          </cell>
          <cell r="T248">
            <v>35.628907946160581</v>
          </cell>
        </row>
        <row r="249">
          <cell r="D249">
            <v>43739</v>
          </cell>
          <cell r="T249">
            <v>43.602962062615703</v>
          </cell>
        </row>
        <row r="250">
          <cell r="D250">
            <v>43770</v>
          </cell>
          <cell r="T250">
            <v>-28.582110712546569</v>
          </cell>
        </row>
        <row r="251">
          <cell r="D251">
            <v>43800</v>
          </cell>
          <cell r="T251">
            <v>-63.985852015875459</v>
          </cell>
        </row>
        <row r="252">
          <cell r="D252">
            <v>43831</v>
          </cell>
          <cell r="T252">
            <v>-109.75623812806184</v>
          </cell>
        </row>
        <row r="253">
          <cell r="D253">
            <v>43862</v>
          </cell>
          <cell r="T253">
            <v>-52.367122686743478</v>
          </cell>
        </row>
        <row r="254">
          <cell r="D254">
            <v>43891</v>
          </cell>
          <cell r="T254">
            <v>-20.046515673523221</v>
          </cell>
        </row>
        <row r="255">
          <cell r="D255">
            <v>43922</v>
          </cell>
          <cell r="T255">
            <v>45.475414148199597</v>
          </cell>
        </row>
        <row r="256">
          <cell r="D256">
            <v>43952</v>
          </cell>
        </row>
        <row r="257">
          <cell r="D257">
            <v>43983</v>
          </cell>
        </row>
        <row r="258">
          <cell r="D258">
            <v>44013</v>
          </cell>
        </row>
        <row r="259">
          <cell r="D259">
            <v>44044</v>
          </cell>
        </row>
        <row r="260">
          <cell r="D260">
            <v>44075</v>
          </cell>
        </row>
        <row r="261">
          <cell r="D261">
            <v>44105</v>
          </cell>
        </row>
        <row r="262">
          <cell r="D262">
            <v>44136</v>
          </cell>
        </row>
        <row r="263">
          <cell r="D263">
            <v>44166</v>
          </cell>
        </row>
        <row r="264">
          <cell r="D264">
            <v>44197</v>
          </cell>
        </row>
        <row r="265">
          <cell r="D265">
            <v>44228</v>
          </cell>
        </row>
        <row r="266">
          <cell r="D266">
            <v>44256</v>
          </cell>
        </row>
        <row r="267">
          <cell r="D267">
            <v>44287</v>
          </cell>
        </row>
        <row r="268">
          <cell r="D268">
            <v>44317</v>
          </cell>
        </row>
        <row r="269">
          <cell r="D269">
            <v>44348</v>
          </cell>
        </row>
        <row r="270">
          <cell r="D270">
            <v>44378</v>
          </cell>
        </row>
        <row r="271">
          <cell r="D271">
            <v>44409</v>
          </cell>
        </row>
        <row r="272">
          <cell r="D272">
            <v>44440</v>
          </cell>
        </row>
      </sheetData>
      <sheetData sheetId="4"/>
      <sheetData sheetId="5"/>
      <sheetData sheetId="6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trlProp" Target="../ctrlProps/ctrlProp3.xml"/><Relationship Id="rId5" Type="http://schemas.openxmlformats.org/officeDocument/2006/relationships/ctrlProp" Target="../ctrlProps/ctrlProp2.xml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8.xml"/><Relationship Id="rId3" Type="http://schemas.openxmlformats.org/officeDocument/2006/relationships/vmlDrawing" Target="../drawings/vmlDrawing2.vml"/><Relationship Id="rId7" Type="http://schemas.openxmlformats.org/officeDocument/2006/relationships/ctrlProp" Target="../ctrlProps/ctrlProp7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Relationship Id="rId6" Type="http://schemas.openxmlformats.org/officeDocument/2006/relationships/ctrlProp" Target="../ctrlProps/ctrlProp6.xml"/><Relationship Id="rId5" Type="http://schemas.openxmlformats.org/officeDocument/2006/relationships/ctrlProp" Target="../ctrlProps/ctrlProp5.xml"/><Relationship Id="rId4" Type="http://schemas.openxmlformats.org/officeDocument/2006/relationships/ctrlProp" Target="../ctrlProps/ctrlProp4.xml"/><Relationship Id="rId9" Type="http://schemas.openxmlformats.org/officeDocument/2006/relationships/ctrlProp" Target="../ctrlProps/ctrlProp9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4.bin"/><Relationship Id="rId5" Type="http://schemas.openxmlformats.org/officeDocument/2006/relationships/ctrlProp" Target="../ctrlProps/ctrlProp11.xml"/><Relationship Id="rId4" Type="http://schemas.openxmlformats.org/officeDocument/2006/relationships/ctrlProp" Target="../ctrlProps/ctrlProp10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EW289"/>
  <sheetViews>
    <sheetView tabSelected="1" zoomScale="75" workbookViewId="0">
      <selection activeCell="H9" sqref="H9"/>
    </sheetView>
  </sheetViews>
  <sheetFormatPr defaultRowHeight="0" customHeight="1" zeroHeight="1" x14ac:dyDescent="0.2"/>
  <cols>
    <col min="1" max="1" width="18.7109375" style="25" customWidth="1"/>
    <col min="2" max="2" width="16.5703125" style="25" customWidth="1"/>
    <col min="3" max="3" width="13.28515625" style="25" customWidth="1"/>
    <col min="4" max="4" width="15.7109375" style="25" customWidth="1"/>
    <col min="5" max="6" width="13.85546875" style="25" customWidth="1"/>
    <col min="7" max="7" width="19.42578125" style="25" customWidth="1"/>
    <col min="8" max="8" width="17.42578125" style="25" customWidth="1"/>
    <col min="9" max="9" width="16.42578125" style="25" customWidth="1"/>
    <col min="10" max="10" width="15.7109375" style="25" customWidth="1"/>
    <col min="11" max="11" width="15.42578125" style="25" customWidth="1"/>
    <col min="12" max="12" width="15.28515625" style="25" customWidth="1"/>
    <col min="13" max="13" width="22.28515625" style="25" customWidth="1"/>
    <col min="14" max="14" width="15" style="25" customWidth="1"/>
    <col min="15" max="15" width="14" style="25" customWidth="1"/>
    <col min="16" max="17" width="15.42578125" style="25" customWidth="1"/>
    <col min="18" max="18" width="14" style="25" customWidth="1"/>
    <col min="19" max="19" width="14.7109375" style="25" customWidth="1"/>
    <col min="20" max="20" width="7.140625" style="25" hidden="1" customWidth="1"/>
    <col min="21" max="21" width="0" style="25" hidden="1" customWidth="1"/>
    <col min="22" max="22" width="17.42578125" style="25" customWidth="1"/>
    <col min="23" max="23" width="14.85546875" style="25" customWidth="1"/>
    <col min="24" max="24" width="14.42578125" style="25" customWidth="1"/>
    <col min="25" max="25" width="14" style="25" customWidth="1"/>
    <col min="26" max="26" width="13.28515625" style="25" customWidth="1"/>
    <col min="27" max="27" width="14" style="25" customWidth="1"/>
    <col min="28" max="28" width="15.5703125" style="25" customWidth="1"/>
    <col min="29" max="29" width="15" style="25" customWidth="1"/>
    <col min="30" max="30" width="15.140625" style="25" customWidth="1"/>
    <col min="31" max="31" width="15" style="25" customWidth="1"/>
    <col min="32" max="32" width="13.28515625" style="25" customWidth="1"/>
    <col min="33" max="33" width="10.42578125" style="25" customWidth="1"/>
    <col min="34" max="35" width="9.140625" style="25"/>
    <col min="36" max="36" width="10.85546875" style="25" customWidth="1"/>
    <col min="37" max="37" width="11" style="25" customWidth="1"/>
    <col min="38" max="38" width="12.28515625" style="25" customWidth="1"/>
    <col min="39" max="39" width="9.42578125" style="25" customWidth="1"/>
    <col min="40" max="40" width="11.7109375" style="25" customWidth="1"/>
    <col min="41" max="41" width="9.140625" style="25"/>
    <col min="42" max="42" width="11.85546875" style="25" customWidth="1"/>
    <col min="43" max="43" width="9.42578125" style="25" customWidth="1"/>
    <col min="44" max="44" width="11.7109375" style="25" customWidth="1"/>
    <col min="45" max="45" width="9.140625" style="25"/>
    <col min="46" max="46" width="11.5703125" style="25" customWidth="1"/>
    <col min="47" max="47" width="8.28515625" style="25" customWidth="1"/>
    <col min="48" max="48" width="11.5703125" style="25" customWidth="1"/>
    <col min="49" max="49" width="9.140625" style="25"/>
    <col min="50" max="50" width="11.42578125" style="25" customWidth="1"/>
    <col min="51" max="51" width="9.140625" style="25"/>
    <col min="52" max="52" width="12.5703125" style="25" customWidth="1"/>
    <col min="53" max="53" width="9.42578125" style="25" customWidth="1"/>
    <col min="54" max="54" width="11.28515625" style="25" customWidth="1"/>
    <col min="55" max="55" width="9.140625" style="25"/>
    <col min="56" max="56" width="11" style="25" customWidth="1"/>
    <col min="57" max="57" width="9.140625" style="25"/>
    <col min="58" max="58" width="12.42578125" style="25" customWidth="1"/>
    <col min="59" max="59" width="9.140625" style="25"/>
    <col min="60" max="60" width="11.28515625" style="25" customWidth="1"/>
    <col min="61" max="61" width="9.140625" style="25"/>
    <col min="62" max="62" width="12.42578125" style="25" customWidth="1"/>
    <col min="63" max="63" width="9.140625" style="25"/>
    <col min="64" max="64" width="11" style="25" customWidth="1"/>
    <col min="65" max="65" width="9.140625" style="25"/>
    <col min="66" max="66" width="11.85546875" style="25" customWidth="1"/>
    <col min="67" max="67" width="9.140625" style="25"/>
    <col min="68" max="68" width="12.85546875" style="25" customWidth="1"/>
    <col min="69" max="69" width="9.140625" style="25"/>
    <col min="70" max="70" width="11" style="25" customWidth="1"/>
    <col min="71" max="71" width="9.140625" style="25"/>
    <col min="72" max="72" width="11.5703125" style="25" customWidth="1"/>
    <col min="73" max="73" width="9.140625" style="25"/>
    <col min="74" max="74" width="11" style="25" customWidth="1"/>
    <col min="75" max="75" width="9.140625" style="25"/>
    <col min="76" max="76" width="12" style="25" customWidth="1"/>
    <col min="77" max="80" width="9.140625" style="25"/>
    <col min="81" max="81" width="14.42578125" style="25" customWidth="1"/>
    <col min="82" max="82" width="13.28515625" style="25" bestFit="1" customWidth="1"/>
    <col min="83" max="83" width="17.28515625" style="25" customWidth="1"/>
    <col min="84" max="84" width="17.42578125" style="25" bestFit="1" customWidth="1"/>
    <col min="85" max="85" width="16.5703125" style="25" customWidth="1"/>
    <col min="86" max="87" width="15" style="25" customWidth="1"/>
    <col min="88" max="88" width="15.5703125" style="25" customWidth="1"/>
    <col min="89" max="91" width="9.140625" style="25"/>
    <col min="92" max="92" width="13.28515625" style="25" bestFit="1" customWidth="1"/>
    <col min="93" max="93" width="9.140625" style="25"/>
    <col min="94" max="94" width="13.7109375" style="25" bestFit="1" customWidth="1"/>
    <col min="95" max="95" width="13.28515625" style="25" bestFit="1" customWidth="1"/>
    <col min="96" max="96" width="17.42578125" style="25" bestFit="1" customWidth="1"/>
    <col min="97" max="114" width="9.140625" style="25"/>
    <col min="115" max="117" width="9.140625" style="30"/>
    <col min="118" max="119" width="9.140625" style="25"/>
    <col min="120" max="120" width="9.7109375" style="25" customWidth="1"/>
    <col min="121" max="122" width="12.7109375" style="25" bestFit="1" customWidth="1"/>
    <col min="123" max="123" width="12.85546875" style="25" bestFit="1" customWidth="1"/>
    <col min="124" max="124" width="9.140625" style="25"/>
    <col min="125" max="126" width="12.7109375" style="25" bestFit="1" customWidth="1"/>
    <col min="127" max="127" width="12.85546875" style="25" bestFit="1" customWidth="1"/>
    <col min="128" max="16384" width="9.140625" style="25"/>
  </cols>
  <sheetData>
    <row r="1" spans="1:153" ht="21" thickBot="1" x14ac:dyDescent="0.35">
      <c r="G1" s="26" t="s">
        <v>14</v>
      </c>
      <c r="O1" s="32"/>
      <c r="P1" s="169"/>
      <c r="Q1" s="32"/>
      <c r="R1" s="181"/>
      <c r="S1" s="181"/>
      <c r="T1" s="181"/>
      <c r="U1" s="181"/>
      <c r="V1" s="181"/>
      <c r="W1" s="181"/>
      <c r="DK1" s="25"/>
      <c r="DL1" s="25"/>
      <c r="DM1" s="25"/>
    </row>
    <row r="2" spans="1:153" ht="18.75" thickBot="1" x14ac:dyDescent="0.3">
      <c r="A2" s="66" t="s">
        <v>15</v>
      </c>
      <c r="B2" s="67">
        <f>+[4]Top!$B$4</f>
        <v>37189</v>
      </c>
      <c r="F2" s="71"/>
      <c r="G2" s="71"/>
      <c r="I2" s="71"/>
      <c r="M2"/>
      <c r="N2" s="168"/>
      <c r="O2" s="32"/>
      <c r="P2" s="192"/>
      <c r="Q2" s="32"/>
      <c r="R2" s="195"/>
      <c r="S2" s="195"/>
      <c r="T2" s="173"/>
      <c r="V2" s="195"/>
      <c r="W2" s="195"/>
      <c r="X2" s="181"/>
      <c r="DK2" s="25"/>
      <c r="DL2" s="25"/>
      <c r="DM2" s="25"/>
    </row>
    <row r="3" spans="1:153" ht="18.75" thickBot="1" x14ac:dyDescent="0.3">
      <c r="A3" s="27"/>
      <c r="B3" s="28"/>
      <c r="F3" s="248"/>
      <c r="G3" s="102"/>
      <c r="H3" s="103"/>
      <c r="I3" s="248"/>
      <c r="O3" s="32"/>
      <c r="P3" s="169"/>
      <c r="Q3" s="210"/>
      <c r="R3" s="211"/>
      <c r="S3" s="195"/>
      <c r="V3" s="195"/>
      <c r="W3" s="195"/>
      <c r="X3" s="29"/>
      <c r="DK3" s="25"/>
      <c r="DL3" s="25"/>
      <c r="DM3" s="25"/>
    </row>
    <row r="4" spans="1:153" ht="18.75" thickBot="1" x14ac:dyDescent="0.3">
      <c r="A4" s="27"/>
      <c r="B4" s="154"/>
      <c r="F4" s="249"/>
      <c r="G4" s="104" t="s">
        <v>0</v>
      </c>
      <c r="H4" s="246">
        <f>SUM([4]EnergyCurve!$T$3:$T$273)+[4]OperatingCurve!$T$1</f>
        <v>-18607284.147667393</v>
      </c>
      <c r="I4" s="249"/>
      <c r="J4" s="195"/>
      <c r="K4" s="195"/>
      <c r="L4" s="29"/>
      <c r="M4" s="25" t="s">
        <v>16</v>
      </c>
      <c r="N4" s="27"/>
      <c r="O4" s="32"/>
      <c r="P4" s="170"/>
      <c r="Q4" s="212"/>
      <c r="R4" s="211"/>
      <c r="S4" s="195"/>
      <c r="DK4" s="25"/>
      <c r="DL4" s="25"/>
      <c r="DM4" s="25"/>
    </row>
    <row r="5" spans="1:153" ht="18.75" thickBot="1" x14ac:dyDescent="0.3">
      <c r="A5" s="27" t="s">
        <v>16</v>
      </c>
      <c r="B5" s="28"/>
      <c r="E5" s="27"/>
      <c r="F5" s="249"/>
      <c r="G5" s="104" t="s">
        <v>1</v>
      </c>
      <c r="H5" s="246">
        <f>SUM(K12:K50)+SUM(K56:K94)</f>
        <v>350287.84614861163</v>
      </c>
      <c r="I5" s="249"/>
      <c r="K5" s="240" t="s">
        <v>96</v>
      </c>
      <c r="L5" s="243" t="s">
        <v>98</v>
      </c>
      <c r="N5" s="172"/>
      <c r="O5" s="32"/>
      <c r="P5" s="171"/>
      <c r="Q5" s="212"/>
      <c r="R5" s="211"/>
      <c r="S5" s="195"/>
      <c r="DK5" s="25"/>
      <c r="DL5" s="25"/>
      <c r="DM5" s="25"/>
    </row>
    <row r="6" spans="1:153" ht="19.5" customHeight="1" thickBot="1" x14ac:dyDescent="0.3">
      <c r="A6" s="27"/>
      <c r="B6" s="28"/>
      <c r="F6" s="249"/>
      <c r="G6" s="102" t="s">
        <v>146</v>
      </c>
      <c r="H6" s="247">
        <f>H4+H5</f>
        <v>-18256996.301518783</v>
      </c>
      <c r="I6" s="249"/>
      <c r="J6" s="241" t="s">
        <v>97</v>
      </c>
      <c r="K6" s="242"/>
      <c r="L6" s="239">
        <v>1</v>
      </c>
      <c r="O6" s="32"/>
      <c r="P6" s="169"/>
      <c r="Q6" s="32"/>
      <c r="R6" s="27"/>
      <c r="S6" s="174"/>
      <c r="DK6" s="25"/>
      <c r="DL6" s="25"/>
      <c r="DM6" s="25"/>
    </row>
    <row r="7" spans="1:153" ht="19.5" customHeight="1" thickBot="1" x14ac:dyDescent="0.3">
      <c r="B7" s="28"/>
      <c r="F7" s="71"/>
      <c r="G7" s="102" t="s">
        <v>147</v>
      </c>
      <c r="H7" s="247">
        <f>H6+GasPosn!M6+H8+H9</f>
        <v>-139195.47157801688</v>
      </c>
      <c r="I7" s="71"/>
      <c r="DK7" s="25"/>
      <c r="DL7" s="25"/>
      <c r="DM7" s="25"/>
    </row>
    <row r="8" spans="1:153" ht="34.5" customHeight="1" x14ac:dyDescent="0.5">
      <c r="A8" s="236" t="s">
        <v>100</v>
      </c>
      <c r="B8" s="28"/>
      <c r="E8" s="25" t="s">
        <v>16</v>
      </c>
      <c r="G8" s="25" t="s">
        <v>177</v>
      </c>
      <c r="H8" s="406">
        <v>28000</v>
      </c>
      <c r="I8" s="194"/>
      <c r="K8" s="250"/>
      <c r="L8" s="251"/>
      <c r="N8" s="29"/>
      <c r="R8" s="252" t="s">
        <v>163</v>
      </c>
      <c r="S8" s="180"/>
      <c r="V8" s="31"/>
      <c r="W8" s="182"/>
      <c r="X8" s="182"/>
      <c r="DK8" s="25"/>
      <c r="DL8" s="25"/>
      <c r="DM8" s="25"/>
    </row>
    <row r="9" spans="1:153" ht="21.75" customHeight="1" thickBot="1" x14ac:dyDescent="0.25">
      <c r="A9" s="69"/>
      <c r="B9" s="70"/>
      <c r="C9" s="69"/>
      <c r="D9" s="69"/>
      <c r="E9" s="69"/>
      <c r="F9" s="69"/>
      <c r="G9" s="69" t="s">
        <v>176</v>
      </c>
      <c r="H9" s="69">
        <v>-45000</v>
      </c>
      <c r="I9" s="69"/>
      <c r="J9" s="69"/>
      <c r="K9" s="69"/>
      <c r="L9" s="69"/>
      <c r="M9"/>
      <c r="N9" s="69"/>
      <c r="O9" s="69"/>
      <c r="P9" s="69"/>
      <c r="Q9" s="69"/>
      <c r="R9" s="253" t="b">
        <v>1</v>
      </c>
      <c r="S9" s="69"/>
      <c r="T9" s="69"/>
      <c r="U9" s="69"/>
      <c r="V9" s="69"/>
      <c r="W9" s="69"/>
      <c r="X9" s="69"/>
      <c r="Y9" s="69"/>
      <c r="Z9" s="69"/>
      <c r="AA9" s="69"/>
      <c r="AB9" s="69"/>
      <c r="AC9" s="69"/>
      <c r="AD9" s="69"/>
      <c r="AE9" s="69"/>
      <c r="AF9" s="69"/>
      <c r="AG9" s="69"/>
      <c r="AH9" s="69"/>
      <c r="AI9" s="69"/>
      <c r="CI9" s="32" t="s">
        <v>17</v>
      </c>
      <c r="CJ9" s="32" t="s">
        <v>17</v>
      </c>
      <c r="CK9" s="32" t="s">
        <v>17</v>
      </c>
      <c r="DK9" s="25"/>
      <c r="DL9" s="25"/>
      <c r="DM9" s="25"/>
    </row>
    <row r="10" spans="1:153" ht="13.5" thickBot="1" x14ac:dyDescent="0.25">
      <c r="A10" s="64"/>
      <c r="B10" s="64" t="s">
        <v>2</v>
      </c>
      <c r="C10" s="64" t="s">
        <v>2</v>
      </c>
      <c r="D10" s="64" t="s">
        <v>3</v>
      </c>
      <c r="E10" s="64" t="s">
        <v>4</v>
      </c>
      <c r="F10" s="64" t="s">
        <v>4</v>
      </c>
      <c r="G10" s="64" t="s">
        <v>18</v>
      </c>
      <c r="H10" s="64" t="s">
        <v>3</v>
      </c>
      <c r="I10" s="64" t="s">
        <v>19</v>
      </c>
      <c r="J10" s="64" t="s">
        <v>5</v>
      </c>
      <c r="K10" s="77" t="s">
        <v>6</v>
      </c>
      <c r="L10" s="77"/>
      <c r="M10"/>
      <c r="N10" s="71"/>
      <c r="O10" s="71"/>
      <c r="P10" s="71"/>
      <c r="Q10" s="64" t="s">
        <v>20</v>
      </c>
      <c r="R10" s="153" t="s">
        <v>21</v>
      </c>
      <c r="S10" s="160" t="s">
        <v>22</v>
      </c>
      <c r="T10" s="69"/>
      <c r="U10" s="69"/>
      <c r="V10" s="147" t="s">
        <v>23</v>
      </c>
      <c r="W10" s="77" t="s">
        <v>24</v>
      </c>
      <c r="X10" s="77" t="s">
        <v>25</v>
      </c>
      <c r="Y10" s="80"/>
      <c r="Z10" s="80"/>
      <c r="AA10" s="80"/>
      <c r="AB10" s="80"/>
      <c r="AC10" s="80"/>
      <c r="AD10" s="80"/>
      <c r="AE10" s="80"/>
      <c r="AF10" s="80"/>
      <c r="AG10" s="80"/>
      <c r="AH10" s="80"/>
      <c r="AI10" s="80"/>
      <c r="AJ10" s="33"/>
      <c r="AK10" s="34">
        <v>1</v>
      </c>
      <c r="AL10" s="35"/>
      <c r="AM10" s="34">
        <v>2</v>
      </c>
      <c r="AN10" s="35"/>
      <c r="AO10" s="34">
        <v>3</v>
      </c>
      <c r="AP10" s="35"/>
      <c r="AQ10" s="34">
        <v>4</v>
      </c>
      <c r="AR10" s="35"/>
      <c r="AS10" s="34">
        <v>5</v>
      </c>
      <c r="AT10" s="35"/>
      <c r="AU10" s="34">
        <v>6</v>
      </c>
      <c r="AV10" s="35"/>
      <c r="AW10" s="34">
        <v>7</v>
      </c>
      <c r="AX10" s="35"/>
      <c r="AY10" s="34">
        <v>8</v>
      </c>
      <c r="AZ10" s="35"/>
      <c r="BA10" s="34">
        <v>9</v>
      </c>
      <c r="BB10" s="35"/>
      <c r="BC10" s="34">
        <v>10</v>
      </c>
      <c r="BD10" s="35"/>
      <c r="BE10" s="34">
        <v>11</v>
      </c>
      <c r="BF10" s="35"/>
      <c r="BG10" s="34">
        <v>12</v>
      </c>
      <c r="BH10" s="35"/>
      <c r="BI10" s="34">
        <v>13</v>
      </c>
      <c r="BJ10" s="35"/>
      <c r="BK10" s="34">
        <v>14</v>
      </c>
      <c r="BL10" s="35"/>
      <c r="BM10" s="34">
        <v>15</v>
      </c>
      <c r="BN10" s="35"/>
      <c r="BO10" s="34">
        <v>16</v>
      </c>
      <c r="BP10" s="35"/>
      <c r="BQ10" s="34">
        <v>17</v>
      </c>
      <c r="BR10" s="35"/>
      <c r="BS10" s="34">
        <v>18</v>
      </c>
      <c r="BT10" s="35"/>
      <c r="BU10" s="34">
        <v>19</v>
      </c>
      <c r="BV10" s="35"/>
      <c r="BW10" s="34">
        <v>20</v>
      </c>
      <c r="BX10" s="35"/>
      <c r="BY10" s="36" t="s">
        <v>26</v>
      </c>
      <c r="BZ10" s="37" t="s">
        <v>27</v>
      </c>
      <c r="CA10" s="32"/>
      <c r="CB10" s="32"/>
      <c r="CC10" s="32" t="s">
        <v>28</v>
      </c>
      <c r="CD10" s="32" t="s">
        <v>103</v>
      </c>
      <c r="CE10" s="181" t="s">
        <v>105</v>
      </c>
      <c r="CF10" s="181" t="s">
        <v>104</v>
      </c>
      <c r="CG10" s="32" t="s">
        <v>29</v>
      </c>
      <c r="CH10" s="32" t="s">
        <v>30</v>
      </c>
      <c r="CI10" s="38">
        <f>T20</f>
        <v>2002</v>
      </c>
      <c r="CJ10" s="38">
        <f>T21</f>
        <v>2003</v>
      </c>
      <c r="CK10" s="38">
        <f>T22</f>
        <v>2004</v>
      </c>
      <c r="CL10" s="32" t="s">
        <v>31</v>
      </c>
      <c r="CN10" s="32"/>
      <c r="DK10" s="25"/>
      <c r="DL10" s="25"/>
      <c r="DM10" s="25"/>
      <c r="DN10" s="407" t="s">
        <v>94</v>
      </c>
      <c r="DO10" s="407"/>
      <c r="DP10" s="407"/>
      <c r="DQ10" s="407"/>
      <c r="DR10" s="407"/>
      <c r="DS10" s="39"/>
      <c r="DT10" s="39" t="s">
        <v>95</v>
      </c>
      <c r="DU10" s="39"/>
      <c r="DV10" s="39"/>
      <c r="DW10" s="39"/>
      <c r="DX10" s="39"/>
      <c r="EA10" s="32"/>
      <c r="EB10" s="32"/>
      <c r="EV10" s="167"/>
      <c r="EW10" s="167"/>
    </row>
    <row r="11" spans="1:153" ht="17.25" customHeight="1" thickBot="1" x14ac:dyDescent="0.25">
      <c r="A11" s="40" t="s">
        <v>7</v>
      </c>
      <c r="B11" s="40" t="s">
        <v>8</v>
      </c>
      <c r="C11" s="40" t="s">
        <v>9</v>
      </c>
      <c r="D11" s="40" t="s">
        <v>10</v>
      </c>
      <c r="E11" s="40" t="s">
        <v>8</v>
      </c>
      <c r="F11" s="40" t="s">
        <v>9</v>
      </c>
      <c r="G11" s="40" t="s">
        <v>32</v>
      </c>
      <c r="H11" s="40" t="s">
        <v>33</v>
      </c>
      <c r="I11" s="40" t="s">
        <v>32</v>
      </c>
      <c r="J11" s="40" t="s">
        <v>11</v>
      </c>
      <c r="K11" s="42" t="s">
        <v>12</v>
      </c>
      <c r="L11" s="42" t="s">
        <v>13</v>
      </c>
      <c r="M11"/>
      <c r="N11" s="79" t="s">
        <v>7</v>
      </c>
      <c r="O11" s="79" t="s">
        <v>34</v>
      </c>
      <c r="P11" s="79" t="s">
        <v>35</v>
      </c>
      <c r="Q11" s="40" t="s">
        <v>21</v>
      </c>
      <c r="R11" s="40"/>
      <c r="S11" s="177"/>
      <c r="T11" s="72"/>
      <c r="U11" s="72"/>
      <c r="V11" s="148" t="s">
        <v>36</v>
      </c>
      <c r="W11" s="42" t="s">
        <v>32</v>
      </c>
      <c r="X11" s="42" t="s">
        <v>32</v>
      </c>
      <c r="Y11" s="116" t="str">
        <f>V12</f>
        <v>Q1 2002</v>
      </c>
      <c r="Z11" s="116" t="str">
        <f>V13</f>
        <v>Q2 2002</v>
      </c>
      <c r="AA11" s="116" t="str">
        <f>V14</f>
        <v>Q3 2002</v>
      </c>
      <c r="AB11" s="116" t="str">
        <f>V15</f>
        <v>Q4 2002</v>
      </c>
      <c r="AC11" s="116" t="str">
        <f>V16</f>
        <v>Q1 2003</v>
      </c>
      <c r="AD11" s="116" t="str">
        <f>V17</f>
        <v>Q2 2003</v>
      </c>
      <c r="AE11" s="116" t="str">
        <f>V18</f>
        <v>Q3 2003</v>
      </c>
      <c r="AF11" s="116" t="str">
        <f>V19</f>
        <v>Q4 2003</v>
      </c>
      <c r="AG11" s="81" t="str">
        <f>V20</f>
        <v>Bal 2002</v>
      </c>
      <c r="AH11" s="81">
        <f>V21</f>
        <v>2003</v>
      </c>
      <c r="AI11" s="81">
        <f>V22</f>
        <v>2004</v>
      </c>
      <c r="AJ11" s="40" t="s">
        <v>7</v>
      </c>
      <c r="AK11" s="41" t="s">
        <v>37</v>
      </c>
      <c r="AL11" s="42" t="s">
        <v>32</v>
      </c>
      <c r="AM11" s="41" t="s">
        <v>37</v>
      </c>
      <c r="AN11" s="42" t="s">
        <v>32</v>
      </c>
      <c r="AO11" s="41" t="s">
        <v>37</v>
      </c>
      <c r="AP11" s="42" t="s">
        <v>32</v>
      </c>
      <c r="AQ11" s="41" t="s">
        <v>37</v>
      </c>
      <c r="AR11" s="42" t="s">
        <v>32</v>
      </c>
      <c r="AS11" s="41" t="s">
        <v>37</v>
      </c>
      <c r="AT11" s="42" t="s">
        <v>32</v>
      </c>
      <c r="AU11" s="41" t="s">
        <v>37</v>
      </c>
      <c r="AV11" s="42" t="s">
        <v>32</v>
      </c>
      <c r="AW11" s="41" t="s">
        <v>37</v>
      </c>
      <c r="AX11" s="42" t="s">
        <v>32</v>
      </c>
      <c r="AY11" s="41" t="s">
        <v>37</v>
      </c>
      <c r="AZ11" s="42" t="s">
        <v>32</v>
      </c>
      <c r="BA11" s="41" t="s">
        <v>37</v>
      </c>
      <c r="BB11" s="42" t="s">
        <v>32</v>
      </c>
      <c r="BC11" s="41" t="s">
        <v>37</v>
      </c>
      <c r="BD11" s="42" t="s">
        <v>32</v>
      </c>
      <c r="BE11" s="41" t="s">
        <v>37</v>
      </c>
      <c r="BF11" s="42" t="s">
        <v>32</v>
      </c>
      <c r="BG11" s="41">
        <v>50</v>
      </c>
      <c r="BH11" s="42">
        <v>172.5</v>
      </c>
      <c r="BI11" s="41" t="s">
        <v>37</v>
      </c>
      <c r="BJ11" s="42" t="s">
        <v>32</v>
      </c>
      <c r="BK11" s="41" t="s">
        <v>37</v>
      </c>
      <c r="BL11" s="42" t="s">
        <v>32</v>
      </c>
      <c r="BM11" s="41" t="s">
        <v>37</v>
      </c>
      <c r="BN11" s="42" t="s">
        <v>32</v>
      </c>
      <c r="BO11" s="41" t="s">
        <v>37</v>
      </c>
      <c r="BP11" s="42" t="s">
        <v>32</v>
      </c>
      <c r="BQ11" s="41" t="s">
        <v>37</v>
      </c>
      <c r="BR11" s="42" t="s">
        <v>32</v>
      </c>
      <c r="BS11" s="41" t="s">
        <v>37</v>
      </c>
      <c r="BT11" s="42" t="s">
        <v>32</v>
      </c>
      <c r="BU11" s="41" t="s">
        <v>37</v>
      </c>
      <c r="BV11" s="42" t="s">
        <v>32</v>
      </c>
      <c r="BW11" s="41" t="s">
        <v>37</v>
      </c>
      <c r="BX11" s="42" t="s">
        <v>32</v>
      </c>
      <c r="BY11" s="43" t="s">
        <v>37</v>
      </c>
      <c r="BZ11" s="44" t="s">
        <v>32</v>
      </c>
      <c r="CA11" s="32"/>
      <c r="CB11" s="32"/>
      <c r="CC11" s="32" t="s">
        <v>38</v>
      </c>
      <c r="CD11" s="32" t="s">
        <v>39</v>
      </c>
      <c r="CE11" s="181" t="s">
        <v>39</v>
      </c>
      <c r="CF11" s="181" t="s">
        <v>39</v>
      </c>
      <c r="CG11" s="32"/>
      <c r="CH11" s="32" t="s">
        <v>8</v>
      </c>
      <c r="CI11" s="27" t="s">
        <v>40</v>
      </c>
      <c r="CJ11" s="27" t="s">
        <v>40</v>
      </c>
      <c r="CK11" s="27" t="s">
        <v>40</v>
      </c>
      <c r="CL11" s="32" t="s">
        <v>41</v>
      </c>
      <c r="CN11" s="32"/>
      <c r="DK11" s="25" t="s">
        <v>101</v>
      </c>
      <c r="DL11" s="30" t="s">
        <v>102</v>
      </c>
      <c r="DN11" s="222" t="s">
        <v>82</v>
      </c>
      <c r="DO11" s="223" t="s">
        <v>83</v>
      </c>
      <c r="DP11" s="223" t="s">
        <v>84</v>
      </c>
      <c r="DQ11" s="223" t="s">
        <v>85</v>
      </c>
      <c r="DR11" s="224" t="s">
        <v>46</v>
      </c>
      <c r="DS11" s="27"/>
      <c r="DT11" s="27"/>
      <c r="DU11" s="30"/>
      <c r="DV11" s="222" t="s">
        <v>82</v>
      </c>
      <c r="DW11" s="223" t="s">
        <v>83</v>
      </c>
      <c r="DX11" s="223" t="s">
        <v>84</v>
      </c>
      <c r="DY11" s="223" t="s">
        <v>85</v>
      </c>
      <c r="DZ11" s="224" t="s">
        <v>46</v>
      </c>
      <c r="EA11" s="32"/>
      <c r="EB11" s="32"/>
      <c r="ER11"/>
    </row>
    <row r="12" spans="1:153" ht="18.75" thickBot="1" x14ac:dyDescent="0.3">
      <c r="A12" s="98">
        <f>[4]EnergyCurve!$D34</f>
        <v>37225</v>
      </c>
      <c r="B12" s="99">
        <f t="array" ref="B12">SUM(IF(MONTH([4]EnergyCurve!$D$3:$D$40)&amp;YEAR([4]EnergyCurve!$D$3:$D$40)=MONTH($A12)&amp;YEAR($A12),[4]EnergyCurve!$O$3:$O$40))+SUM(IF(MONTH([4]EnergyCurve!$D$3:$D$40)&amp;YEAR([4]EnergyCurve!$D$3:$D$40)=MONTH($A12)&amp;YEAR($A12),[4]EnergyCurve!$Q$3:$Q$40))</f>
        <v>113232.943359375</v>
      </c>
      <c r="C12" s="90">
        <f t="shared" ref="C12:C47" si="0">B12/(CG12*CD12)</f>
        <v>283.96662006898259</v>
      </c>
      <c r="D12" s="89">
        <f t="shared" ref="D12:D47" si="1">BY12+IF(YEAR(A12)=$T$20,$BY$48,0)+IF(YEAR(A12)=$T$21,$BY$49,0)+IF(YEAR(A12)=$T$22,$BY$50,0)</f>
        <v>0</v>
      </c>
      <c r="E12" s="90">
        <f t="shared" ref="E12:E47" si="2">B12+(D12*CD12*CG12)</f>
        <v>113232.943359375</v>
      </c>
      <c r="F12" s="117">
        <f t="shared" ref="F12:F46" si="3">C12+D12</f>
        <v>283.96662006898259</v>
      </c>
      <c r="G12" s="91">
        <f>([4]EnergyCurve!$E34*CE12+[4]EnergyCurve!$W34*CF12)/CD12</f>
        <v>54.390783538818361</v>
      </c>
      <c r="H12" s="91">
        <f>I12-G12</f>
        <v>-1.8126452167640608</v>
      </c>
      <c r="I12" s="121">
        <f>([4]EnergyCurve!$G34*CE12+[4]EnergyCurve!$Y34*CF12)/CD12</f>
        <v>52.578138322054301</v>
      </c>
      <c r="J12" s="99">
        <f t="array" ref="J12">SUM(IF(MONTH([4]EnergyCurve!$D$3:$D$40)&amp;YEAR([4]EnergyCurve!$D$3:$D$40)=MONTH($A12)&amp;YEAR($A12),[4]EnergyCurve!$F$3:$F$40*[4]EnergyCurve!$O$3:$O$40))+SUM(IF(MONTH([4]EnergyCurve!$D$3:$D$40)&amp;YEAR([4]EnergyCurve!$D$3:$D$40)=MONTH($A12)&amp;YEAR($A12),[4]EnergyCurve!$F$3:$F$40*[4]EnergyCurve!$Q$3:$Q$40))</f>
        <v>-205727.4967529297</v>
      </c>
      <c r="K12" s="92">
        <f t="shared" ref="K12:K47" si="4">(((I12-AL12)*AK12+(I12-AN12)*AM12+(I12-AP12)*AO12+(I12-AR12)*AQ12+(I12-AT12)*AS12+(I12-AV12)*AU12+(I12-AX12)*AW12+(I12-AZ12)*AY12+(I12-BB12)*BA12+(I12-BD12)*BC12+(I12-BF12)*BE12+(I12-BH12)*BG12+(I12-BJ12)*BI12+(I12-BL12)*BK12+(I12-BN12)*BM12+(I12-BP12)*BO12+(I12-BR12)*BQ12+(I12-BT12)*BS12+(I12-BV12)*BU12+(I12-BX12)*BW12)*CD12*CG12)+CI12+CJ12+CK12</f>
        <v>0</v>
      </c>
      <c r="L12" s="92">
        <f t="shared" ref="L12:L50" si="5">J12+K12</f>
        <v>-205727.4967529297</v>
      </c>
      <c r="M12"/>
      <c r="N12" s="78">
        <f>A12</f>
        <v>37225</v>
      </c>
      <c r="O12" s="114">
        <v>79</v>
      </c>
      <c r="P12" s="114">
        <v>79</v>
      </c>
      <c r="Q12" s="105">
        <f>AVERAGE(O12:P12)-G12</f>
        <v>24.609216461181639</v>
      </c>
      <c r="R12" s="376">
        <v>-2</v>
      </c>
      <c r="S12" s="176">
        <f t="shared" ref="S12:S33" si="6">I12</f>
        <v>52.578138322054301</v>
      </c>
      <c r="T12" s="46">
        <f>IF(MONTH(TradeSum!$B$2)&gt;=10,YEAR(TradeSum!$B$2)+1,YEAR(TradeSum!$B$2))</f>
        <v>2002</v>
      </c>
      <c r="U12" s="45">
        <f>IF(INT((MONTH(TradeSum!$B$2)-1)/3)+2=5,1,INT((MONTH(TradeSum!$B$2)-1)/3)+2)</f>
        <v>1</v>
      </c>
      <c r="V12" s="123" t="str">
        <f>"Q"&amp;U12&amp;" "&amp;T12</f>
        <v>Q1 2002</v>
      </c>
      <c r="W12" s="84">
        <f t="array" ref="W12">SUM(IF((INT((MONTH($A$12:$A$47)-1)/3)=U12-1)*(YEAR($A$12:$A$47)=T12),$I$12:$I$47*$DK$12:$DK$47))/SUM(IF((INT((MONTH($A$12:$A$47)-1)/3)=U12-1)*(YEAR($A$12:$A$47)=T12),$DK$12:$DK$47))</f>
        <v>62.072200174242255</v>
      </c>
      <c r="X12" s="175">
        <f t="array" ref="X12">AVERAGE(IF((INT((MONTH($A$12:$A$47)-1)/3)=U12-1)*(YEAR($A$12:$A$47)=T12),$I$12:$I$47))</f>
        <v>62.083358200093414</v>
      </c>
      <c r="Y12" s="130">
        <v>0</v>
      </c>
      <c r="Z12" s="131"/>
      <c r="AA12" s="131"/>
      <c r="AB12" s="131"/>
      <c r="AC12" s="131"/>
      <c r="AD12" s="131"/>
      <c r="AE12" s="131"/>
      <c r="AF12" s="131"/>
      <c r="AG12" s="131"/>
      <c r="AH12" s="131"/>
      <c r="AI12" s="131"/>
      <c r="AJ12" s="47">
        <f t="shared" ref="AJ12:AJ47" si="7">A12</f>
        <v>37225</v>
      </c>
      <c r="AK12" s="1"/>
      <c r="AL12" s="2"/>
      <c r="AM12" s="1"/>
      <c r="AN12" s="2"/>
      <c r="AO12" s="1"/>
      <c r="AP12" s="2"/>
      <c r="AQ12" s="1"/>
      <c r="AR12" s="2"/>
      <c r="AS12" s="1"/>
      <c r="AT12" s="2"/>
      <c r="AU12" s="1"/>
      <c r="AV12" s="2"/>
      <c r="AW12" s="1"/>
      <c r="AX12" s="2"/>
      <c r="AY12" s="1"/>
      <c r="AZ12" s="2"/>
      <c r="BA12" s="1"/>
      <c r="BB12" s="2"/>
      <c r="BC12" s="1"/>
      <c r="BD12" s="2"/>
      <c r="BE12" s="1"/>
      <c r="BF12" s="2"/>
      <c r="BG12" s="1"/>
      <c r="BH12" s="2"/>
      <c r="BI12" s="1"/>
      <c r="BJ12" s="2"/>
      <c r="BK12" s="1"/>
      <c r="BL12" s="2"/>
      <c r="BM12" s="1"/>
      <c r="BN12" s="2"/>
      <c r="BO12" s="1"/>
      <c r="BP12" s="2"/>
      <c r="BQ12" s="1"/>
      <c r="BR12" s="2"/>
      <c r="BS12" s="1"/>
      <c r="BT12" s="2"/>
      <c r="BU12" s="3"/>
      <c r="BV12" s="4"/>
      <c r="BW12" s="3"/>
      <c r="BX12" s="4"/>
      <c r="BY12" s="48">
        <f>AK12+AM12+AO12+AQ12+AS12+AU12+AW12+AY12+BA12+BC12+BE12+BG12+BI12+BK12+BM12+BO12+BQ12+BS12+BU12+BW12</f>
        <v>0</v>
      </c>
      <c r="BZ12" s="49">
        <f>IF(AND(BY12=0,CC12=0),0,(ABS(AK12)*AL12+ABS(AM12)*AN12+ABS(AO12)*AP12+ABS(AQ12)*AR12+ABS(AS12)*AT12+ABS(AU12)*AV12+ABS(AW12)*AX12+ABS(AY12)*AZ12+ABS(BA12)*BB12+ABS(BC12)*BD12+ABS(BE12)*BF12+ABS(BG12)*BH12+ABS(BI12)*BJ12+ABS(BK12)*BL12+ABS(BM12)*BN12+ABS(BO12)*BP12+ABS(BQ12)*BR12+ABS(BS12)*BT12+ABS(BU12)*BV12+ABS(BW12)*BX12)/CC12)</f>
        <v>0</v>
      </c>
      <c r="CA12" s="50"/>
      <c r="CB12" s="51">
        <f t="shared" ref="CB12:CB50" si="8">AJ12</f>
        <v>37225</v>
      </c>
      <c r="CC12" s="50">
        <f>ABS(AK12)+ABS(AM12)+ABS(AO12)+ABS(AQ12)+ABS(AS12)+ABS(AU12)+ABS(AW12)+ABS(AY12)+ABS(BA12)+ABS(BC12)+ABS(BE12)+ABS(BG12)+ABS(BI12)+ABS(BK12)+ABS(BM12)+ABS(BO12)+ABS(BQ12)+ABS(BS12)+ABS(BU12)+ABS(BW12)</f>
        <v>0</v>
      </c>
      <c r="CD12" s="52">
        <f>16*DK12</f>
        <v>400</v>
      </c>
      <c r="CE12" s="50">
        <f>16*DL12</f>
        <v>336</v>
      </c>
      <c r="CF12" s="58">
        <f>CD12-CE12</f>
        <v>64</v>
      </c>
      <c r="CG12" s="50">
        <f>VLOOKUP(A12,Interest!$X$8:$AC$367,6)</f>
        <v>0.99688603656890984</v>
      </c>
      <c r="CH12" s="53">
        <f t="shared" ref="CH12:CH47" si="9">E12-B12</f>
        <v>0</v>
      </c>
      <c r="CI12" s="53">
        <f t="shared" ref="CI12:CI47" si="10">IF(YEAR($AJ12)=$CI$10,(($I12-$AL$48)*$AK$48+($I12-$AN$48)*$AM$48+($I12-$AP$48)*$AO$48+($I12-$AR$48)*$AQ$48+($I12-$AT$48)*$AS$48+($I12-$AV$48)*$AU$48+($I12-$AX$48)*$AW$48+($I12-$AZ$48)*$AY$48+($I12-$BB$48)*$BA$48+($I12-$BD$48)*$BC$48+($I12-$BF$48)*$BE$48+($I12-$BH$48)*$BG$48+($I12-$BJ$48)*$BI$48+($I12-$BL$48)*$BK$48+($I12-$BN$48)*$BM$48+($I12-$BP$48)*$BO$48+($I12-$BR$48)*$BQ$48+($I12-$BT$48)*$BS$48+($I12-$BV$48)*$BU$48+($I12-$BX$48)*$BW$48)*$CD12*$CG12,0)</f>
        <v>0</v>
      </c>
      <c r="CJ12" s="53">
        <f t="shared" ref="CJ12:CJ47" si="11">IF(YEAR($AJ12)=$CJ$10,(($I12-$AL$49)*$AK$49+($I12-$AN$49)*$AM$49+($I12-$AP$49)*$AO$49+($I12-$AR$49)*$AQ$49+($I12-$AT$49)*$AS$49+($I12-$AV$49)*$AU$49+($I12-$AX$49)*$AW$49+($I12-$AZ$49)*$AY$49+($I12-$BB$49)*$BA$49+($I12-$BD$49)*$BC$49+($I12-$BF$49)*$BE$49+($I12-$BH$49)*$BG$49+($I12-$BJ$49)*$BI$49+($I12-$BL$49)*$BK$49+($I12-$BN$49)*$BM$49+($I12-$BP$49)*$BO$49+($I12-$BR$49)*$BQ$49+($I12-$BT$49)*$BS$49+($I12-$BV$49)*$BU$49+($I12-$BX$49)*$BW$49)*$CD12*$CG12,0)</f>
        <v>0</v>
      </c>
      <c r="CK12" s="53">
        <f t="shared" ref="CK12:CK47" si="12">IF(YEAR($AJ12)=$CK$10,(($I12-$AL$50)*$AK$50+($I12-$AN$50)*$AM$50+($I12-$AP$50)*$AO$50+($I12-$AR$50)*$AQ$50+($I12-$AT$50)*$AS$50+($I12-$AV$50)*$AU$50+($I12-$AX$50)*$AW$50+($I12-$AZ$50)*$AY$50+($I12-$BB$50)*$BA$50+($I12-$BD$50)*$BC$50+($I12-$BF$50)*$BE$50+($I12-$BH$50)*$BG$50+($I12-$BJ$50)*$BI$50+($I12-$BL$50)*$BK$50+($I12-$BN$50)*$BM$50+($I12-$BP$50)*$BO$50+($I12-$BR$50)*$BQ$50+($I12-$BT$50)*$BS$50+($I12-$BV$50)*$BU$50+($I12-$BX$50)*$BW$50)*$CD12*$CG12,0)</f>
        <v>0</v>
      </c>
      <c r="CL12" s="25">
        <f t="shared" ref="CL12:CL47" si="13">CC12*CD12</f>
        <v>0</v>
      </c>
      <c r="CN12" s="58"/>
      <c r="DI12" s="25">
        <f>DK12-DL12</f>
        <v>4</v>
      </c>
      <c r="DJ12" s="54">
        <f>[4]EnergyCurve!$D34</f>
        <v>37225</v>
      </c>
      <c r="DK12" s="30">
        <f t="shared" ref="DK12:DK43" si="14">IF($L$6=0,VLOOKUP(DJ12,$DM$13:$DQ$252,2)+VLOOKUP(DJ12,$DU$13:$DY$252,3),VLOOKUP(DJ12,$DU$13:$DY$252,2)+VLOOKUP(DJ12,$DU$13:$DY$252,3))</f>
        <v>25</v>
      </c>
      <c r="DL12" s="30">
        <f t="shared" ref="DL12:DL43" si="15">IF($L$6=0,VLOOKUP(DJ12,$DM$13:$DQ$252,2),VLOOKUP(DJ12,$DU$13:$DY$252,2))</f>
        <v>21</v>
      </c>
      <c r="DN12" s="225" t="s">
        <v>86</v>
      </c>
      <c r="DO12" s="226" t="s">
        <v>86</v>
      </c>
      <c r="DP12" s="226" t="s">
        <v>86</v>
      </c>
      <c r="DQ12" s="226"/>
      <c r="DR12" s="227"/>
      <c r="DS12" s="55"/>
      <c r="DT12" s="55"/>
      <c r="DU12" s="30"/>
      <c r="DV12" s="225" t="s">
        <v>86</v>
      </c>
      <c r="DW12" s="226" t="s">
        <v>86</v>
      </c>
      <c r="DX12" s="226" t="s">
        <v>86</v>
      </c>
      <c r="DY12" s="226"/>
      <c r="DZ12" s="227"/>
      <c r="EA12" s="55"/>
      <c r="EB12" s="55"/>
      <c r="EQ12" s="54"/>
      <c r="ER12" s="190"/>
      <c r="ES12" s="167"/>
      <c r="ET12" s="167"/>
    </row>
    <row r="13" spans="1:153" ht="18.75" thickBot="1" x14ac:dyDescent="0.3">
      <c r="A13" s="100">
        <f>[4]EnergyCurve!$D35</f>
        <v>37226</v>
      </c>
      <c r="B13" s="101">
        <f>[4]EnergyCurve!$O35+[4]EnergyCurve!$Q35</f>
        <v>-52641.654296875</v>
      </c>
      <c r="C13" s="86">
        <f t="shared" si="0"/>
        <v>-132.32333635805836</v>
      </c>
      <c r="D13" s="86">
        <f t="shared" si="1"/>
        <v>0</v>
      </c>
      <c r="E13" s="85">
        <f t="shared" si="2"/>
        <v>-52641.654296875</v>
      </c>
      <c r="F13" s="118">
        <f t="shared" si="3"/>
        <v>-132.32333635805836</v>
      </c>
      <c r="G13" s="87">
        <f>([4]EnergyCurve!$E35*CE13+[4]EnergyCurve!$W35*CF13)/CD13</f>
        <v>60.130881500244143</v>
      </c>
      <c r="H13" s="91">
        <f t="shared" ref="H13:H33" si="16">I13-G13</f>
        <v>-2.6647340438545868</v>
      </c>
      <c r="I13" s="82">
        <f>([4]EnergyCurve!$G35*CE13+[4]EnergyCurve!$Y35*CF13)/CD13</f>
        <v>57.466147456389557</v>
      </c>
      <c r="J13" s="85">
        <f t="shared" ref="J13:J46" si="17">H13*B13</f>
        <v>140276.00832970691</v>
      </c>
      <c r="K13" s="88">
        <f t="shared" si="4"/>
        <v>0</v>
      </c>
      <c r="L13" s="88">
        <f t="shared" si="5"/>
        <v>140276.00832970691</v>
      </c>
      <c r="M13"/>
      <c r="N13" s="78">
        <f>A13</f>
        <v>37226</v>
      </c>
      <c r="O13" s="114">
        <v>33.5</v>
      </c>
      <c r="P13" s="114">
        <v>33.5</v>
      </c>
      <c r="Q13" s="105">
        <f>AVERAGE(O13:P13)-G13</f>
        <v>-26.630881500244143</v>
      </c>
      <c r="R13" s="376">
        <v>-3</v>
      </c>
      <c r="S13" s="178">
        <f t="shared" si="6"/>
        <v>57.466147456389557</v>
      </c>
      <c r="T13" s="46">
        <f>IF(U12=4,T12+1,T12)</f>
        <v>2002</v>
      </c>
      <c r="U13" s="45">
        <f>IF(U12=4,1,U12+1)</f>
        <v>2</v>
      </c>
      <c r="V13" s="125" t="str">
        <f t="shared" ref="V13:V19" si="18">"Q"&amp;U13&amp;" "&amp;T13</f>
        <v>Q2 2002</v>
      </c>
      <c r="W13" s="84">
        <f t="array" ref="W13">SUM(IF((INT((MONTH($A$12:$A$47)-1)/3)=U13-1)*(YEAR($A$12:$A$47)=T13),$I$12:$I$47*$DK$12:$DK$47))/SUM(IF((INT((MONTH($A$12:$A$47)-1)/3)=U13-1)*(YEAR($A$12:$A$47)=T13),$DK$12:$DK$47))</f>
        <v>57.604786290910283</v>
      </c>
      <c r="X13" s="124">
        <f t="array" ref="X13">AVERAGE(IF((INT((MONTH($A$12:$A$47)-1)/3)=U13-1)*(YEAR($A$12:$A$47)=T13),$I$12:$I$47))</f>
        <v>57.611247692374498</v>
      </c>
      <c r="Y13" s="132">
        <f>W13-$W$12</f>
        <v>-4.4674138833319716</v>
      </c>
      <c r="Z13" s="133">
        <v>0</v>
      </c>
      <c r="AA13" s="131"/>
      <c r="AB13" s="131"/>
      <c r="AC13" s="131"/>
      <c r="AD13" s="131"/>
      <c r="AE13" s="131"/>
      <c r="AF13" s="131"/>
      <c r="AG13" s="131"/>
      <c r="AH13" s="131"/>
      <c r="AI13" s="131"/>
      <c r="AJ13" s="47">
        <f t="shared" si="7"/>
        <v>37226</v>
      </c>
      <c r="AK13" s="1"/>
      <c r="AL13" s="2"/>
      <c r="AM13" s="1"/>
      <c r="AN13" s="2"/>
      <c r="AO13" s="1"/>
      <c r="AP13" s="2"/>
      <c r="AQ13" s="1"/>
      <c r="AR13" s="2"/>
      <c r="AS13" s="1"/>
      <c r="AT13" s="2"/>
      <c r="AU13" s="1"/>
      <c r="AV13" s="2"/>
      <c r="AW13" s="1"/>
      <c r="AX13" s="2"/>
      <c r="AY13" s="1"/>
      <c r="AZ13" s="2"/>
      <c r="BA13" s="1"/>
      <c r="BB13" s="2"/>
      <c r="BC13" s="1"/>
      <c r="BD13" s="2"/>
      <c r="BE13" s="1"/>
      <c r="BF13" s="2"/>
      <c r="BG13" s="1"/>
      <c r="BH13" s="2"/>
      <c r="BI13" s="1"/>
      <c r="BJ13" s="2"/>
      <c r="BK13" s="1"/>
      <c r="BL13" s="2"/>
      <c r="BM13" s="1"/>
      <c r="BN13" s="2"/>
      <c r="BO13" s="1"/>
      <c r="BP13" s="2"/>
      <c r="BQ13" s="1"/>
      <c r="BR13" s="2"/>
      <c r="BS13" s="1"/>
      <c r="BT13" s="2"/>
      <c r="BU13" s="1"/>
      <c r="BV13" s="2"/>
      <c r="BW13" s="1"/>
      <c r="BX13" s="2"/>
      <c r="BY13" s="48">
        <f>AK13+AM13+AO13+AQ13+AS13+AU13+AW13+AY13+BA13+BC13+BE13+BG13+BI13+BK13+BM13+BO13+BQ13+BS13+BU13+BW13</f>
        <v>0</v>
      </c>
      <c r="BZ13" s="49">
        <f>IF(AND(BY13=0,CC13=0),0,(ABS(AK13)*AL13+ABS(AM13)*AN13+ABS(AO13)*AP13+ABS(AQ13)*AR13+ABS(AS13)*AT13+ABS(AU13)*AV13+ABS(AW13)*AX13+ABS(AY13)*AZ13+ABS(BA13)*BB13+ABS(BC13)*BD13+ABS(BE13)*BF13+ABS(BG13)*BH13+ABS(BI13)*BJ13+ABS(BK13)*BL13+ABS(BM13)*BN13+ABS(BO13)*BP13+ABS(BQ13)*BR13+ABS(BS13)*BT13+ABS(BU13)*BV13+ABS(BW13)*BX13)/CC13)</f>
        <v>0</v>
      </c>
      <c r="CB13" s="51">
        <f t="shared" si="8"/>
        <v>37226</v>
      </c>
      <c r="CC13" s="50">
        <f>ABS(AK13)+ABS(AM13)+ABS(AO13)+ABS(AQ13)+ABS(AS13)+ABS(AU13)+ABS(AW13)+ABS(AY13)+ABS(BA13)+ABS(BC13)+ABS(BE13)+ABS(BG13)+ABS(BI13)+ABS(BK13)+ABS(BM13)+ABS(BO13)+ABS(BQ13)+ABS(BS13)+ABS(BU13)+ABS(BW13)</f>
        <v>0</v>
      </c>
      <c r="CD13" s="52">
        <f t="shared" ref="CD13:CD44" si="19">16*DK13</f>
        <v>400</v>
      </c>
      <c r="CE13" s="50">
        <f t="shared" ref="CE13:CE47" si="20">16*DL13</f>
        <v>320</v>
      </c>
      <c r="CF13" s="58">
        <f t="shared" ref="CF13:CF47" si="21">CD13-CE13</f>
        <v>80</v>
      </c>
      <c r="CG13" s="50">
        <f>VLOOKUP(A13,Interest!$X$8:$AC$367,6)</f>
        <v>0.99456482404641944</v>
      </c>
      <c r="CH13" s="53">
        <f t="shared" si="9"/>
        <v>0</v>
      </c>
      <c r="CI13" s="53">
        <f t="shared" si="10"/>
        <v>0</v>
      </c>
      <c r="CJ13" s="53">
        <f t="shared" si="11"/>
        <v>0</v>
      </c>
      <c r="CK13" s="53">
        <f t="shared" si="12"/>
        <v>0</v>
      </c>
      <c r="CL13" s="25">
        <f t="shared" si="13"/>
        <v>0</v>
      </c>
      <c r="CN13" s="58"/>
      <c r="DI13" s="25">
        <f t="shared" ref="DI13:DI77" si="22">DK13-DL13</f>
        <v>5</v>
      </c>
      <c r="DJ13" s="54">
        <f>[4]EnergyCurve!$D35</f>
        <v>37226</v>
      </c>
      <c r="DK13" s="30">
        <f t="shared" si="14"/>
        <v>25</v>
      </c>
      <c r="DL13" s="30">
        <f t="shared" si="15"/>
        <v>20</v>
      </c>
      <c r="DM13" s="232">
        <v>36892</v>
      </c>
      <c r="DN13" s="228">
        <v>22</v>
      </c>
      <c r="DO13" s="228">
        <v>4</v>
      </c>
      <c r="DP13" s="228">
        <v>4</v>
      </c>
      <c r="DQ13" s="228">
        <v>1</v>
      </c>
      <c r="DR13" s="229">
        <v>31</v>
      </c>
      <c r="DS13" s="55"/>
      <c r="DT13" s="55"/>
      <c r="DU13" s="232">
        <v>36892</v>
      </c>
      <c r="DV13" s="228">
        <v>22</v>
      </c>
      <c r="DW13" s="228">
        <v>4</v>
      </c>
      <c r="DX13" s="228">
        <v>4</v>
      </c>
      <c r="DY13" s="228">
        <v>1</v>
      </c>
      <c r="DZ13" s="229">
        <v>31</v>
      </c>
      <c r="EA13" s="55"/>
      <c r="EB13" s="55"/>
      <c r="EQ13" s="54"/>
      <c r="ER13" s="190"/>
      <c r="ES13" s="167"/>
      <c r="ET13" s="167"/>
    </row>
    <row r="14" spans="1:153" ht="18.75" thickBot="1" x14ac:dyDescent="0.3">
      <c r="A14" s="98">
        <f>[4]EnergyCurve!$D36</f>
        <v>37257</v>
      </c>
      <c r="B14" s="99">
        <f>[4]EnergyCurve!$O36+[4]EnergyCurve!$Q36</f>
        <v>21503.161865234375</v>
      </c>
      <c r="C14" s="90">
        <f t="shared" si="0"/>
        <v>52.081926509387863</v>
      </c>
      <c r="D14" s="89">
        <f t="shared" si="1"/>
        <v>-30</v>
      </c>
      <c r="E14" s="90">
        <f t="shared" si="2"/>
        <v>9117.0060681604755</v>
      </c>
      <c r="F14" s="117">
        <f t="shared" si="3"/>
        <v>22.081926509387863</v>
      </c>
      <c r="G14" s="91">
        <f>([4]EnergyCurve!$E36*CE14+[4]EnergyCurve!$W36*CF14)/CD14</f>
        <v>65.286293616661652</v>
      </c>
      <c r="H14" s="91">
        <f t="shared" si="16"/>
        <v>-1.938533023867457</v>
      </c>
      <c r="I14" s="121">
        <f>([4]EnergyCurve!$G36*CE14+[4]EnergyCurve!$Y36*CF14)/CD14</f>
        <v>63.347760592794195</v>
      </c>
      <c r="J14" s="99">
        <f t="shared" si="17"/>
        <v>-41684.589393324182</v>
      </c>
      <c r="K14" s="92">
        <f t="shared" si="4"/>
        <v>-136426.41205121999</v>
      </c>
      <c r="L14" s="92">
        <f t="shared" si="5"/>
        <v>-178111.00144454418</v>
      </c>
      <c r="M14"/>
      <c r="N14" s="78">
        <f>A14</f>
        <v>37257</v>
      </c>
      <c r="O14" s="114">
        <v>25.25</v>
      </c>
      <c r="P14" s="114">
        <v>25.25</v>
      </c>
      <c r="Q14" s="105">
        <f t="shared" ref="Q14:Q32" si="23">AVERAGE(O14:P14)-G14</f>
        <v>-40.036293616661652</v>
      </c>
      <c r="R14" s="376"/>
      <c r="S14" s="178">
        <f t="shared" si="6"/>
        <v>63.347760592794195</v>
      </c>
      <c r="T14" s="46">
        <f t="shared" ref="T14:T19" si="24">IF(U13=4,T13+1,T13)</f>
        <v>2002</v>
      </c>
      <c r="U14" s="45">
        <f t="shared" ref="U14:U19" si="25">IF(U13=4,1,U13+1)</f>
        <v>3</v>
      </c>
      <c r="V14" s="126" t="str">
        <f t="shared" si="18"/>
        <v>Q3 2002</v>
      </c>
      <c r="W14" s="84">
        <f t="array" ref="W14">SUM(IF((INT((MONTH($A$12:$A$47)-1)/3)=U14-1)*(YEAR($A$12:$A$47)=T14),$I$12:$I$47*$DK$12:$DK$47))/SUM(IF((INT((MONTH($A$12:$A$47)-1)/3)=U14-1)*(YEAR($A$12:$A$47)=T14),$DK$12:$DK$47))</f>
        <v>50.838220593850323</v>
      </c>
      <c r="X14" s="124">
        <f t="array" ref="X14">AVERAGE(IF((INT((MONTH($A$12:$A$47)-1)/3)=U14-1)*(YEAR($A$12:$A$47)=T14),$I$12:$I$47))</f>
        <v>50.841595102563168</v>
      </c>
      <c r="Y14" s="134">
        <f t="shared" ref="Y14:Y22" si="26">W14-$W$12</f>
        <v>-11.233979580391932</v>
      </c>
      <c r="Z14" s="134">
        <f>W14-$W$13</f>
        <v>-6.7665656970599599</v>
      </c>
      <c r="AA14" s="130">
        <v>0</v>
      </c>
      <c r="AB14" s="131"/>
      <c r="AC14" s="131"/>
      <c r="AD14" s="131"/>
      <c r="AE14" s="131"/>
      <c r="AF14" s="131"/>
      <c r="AG14" s="131"/>
      <c r="AH14" s="131"/>
      <c r="AI14" s="131"/>
      <c r="AJ14" s="47">
        <f t="shared" si="7"/>
        <v>37257</v>
      </c>
      <c r="AK14" s="1">
        <v>-5</v>
      </c>
      <c r="AL14" s="2">
        <v>47.5</v>
      </c>
      <c r="AM14" s="1">
        <v>-15</v>
      </c>
      <c r="AN14" s="2">
        <v>47</v>
      </c>
      <c r="AO14" s="1">
        <v>-10</v>
      </c>
      <c r="AP14" s="2">
        <v>62.75</v>
      </c>
      <c r="AQ14" s="1"/>
      <c r="AR14" s="2"/>
      <c r="AS14" s="1"/>
      <c r="AT14" s="2"/>
      <c r="AU14" s="1"/>
      <c r="AV14" s="2"/>
      <c r="AW14" s="1"/>
      <c r="AX14" s="2"/>
      <c r="AY14" s="1"/>
      <c r="AZ14" s="2"/>
      <c r="BA14" s="1"/>
      <c r="BB14" s="2"/>
      <c r="BC14" s="1"/>
      <c r="BD14" s="2"/>
      <c r="BE14" s="1"/>
      <c r="BF14" s="2"/>
      <c r="BG14" s="1"/>
      <c r="BH14" s="2"/>
      <c r="BI14" s="1"/>
      <c r="BJ14" s="2"/>
      <c r="BK14" s="1"/>
      <c r="BL14" s="2"/>
      <c r="BM14" s="1"/>
      <c r="BN14" s="2"/>
      <c r="BO14" s="1"/>
      <c r="BP14" s="2"/>
      <c r="BQ14" s="1"/>
      <c r="BR14" s="2"/>
      <c r="BS14" s="1"/>
      <c r="BT14" s="2"/>
      <c r="BU14" s="1"/>
      <c r="BV14" s="2"/>
      <c r="BW14" s="1"/>
      <c r="BX14" s="2"/>
      <c r="BY14" s="48">
        <f>AK14+AM14+AO14+AQ14+AS14+AU14+AW14+AY14+BA14+BC14+BE14+BG14+BI14+BK14+BM14+BO14+BQ14+BS14+BU14+BW14</f>
        <v>-30</v>
      </c>
      <c r="BZ14" s="49">
        <f>IF(AND(BY14=0,CC14=0),0,(ABS(AK14)*AL14+ABS(AM14)*AN14+ABS(AO14)*AP14+ABS(AQ14)*AR14+ABS(AS14)*AT14+ABS(AU14)*AV14+ABS(AW14)*AX14+ABS(AY14)*AZ14+ABS(BA14)*BB14+ABS(BC14)*BD14+ABS(BE14)*BF14+ABS(BG14)*BH14+ABS(BI14)*BJ14+ABS(BK14)*BL14+ABS(BM14)*BN14+ABS(BO14)*BP14+ABS(BQ14)*BR14+ABS(BS14)*BT14+ABS(BU14)*BV14+ABS(BW14)*BX14)/CC14)</f>
        <v>52.333333333333336</v>
      </c>
      <c r="CB14" s="51">
        <f t="shared" si="8"/>
        <v>37257</v>
      </c>
      <c r="CC14" s="50">
        <f>ABS(AK14)+ABS(AM14)+ABS(AO14)+ABS(AQ14)+ABS(AS14)+ABS(AU14)+ABS(AW14)+ABS(AY14)+ABS(BA14)+ABS(BC14)+ABS(BE14)+ABS(BG14)+ABS(BI14)+ABS(BK14)+ABS(BM14)+ABS(BO14)+ABS(BQ14)+ABS(BS14)+ABS(BU14)+ABS(BW14)</f>
        <v>30</v>
      </c>
      <c r="CD14" s="52">
        <f t="shared" si="19"/>
        <v>416</v>
      </c>
      <c r="CE14" s="50">
        <f t="shared" si="20"/>
        <v>352</v>
      </c>
      <c r="CF14" s="58">
        <f t="shared" si="21"/>
        <v>64</v>
      </c>
      <c r="CG14" s="50">
        <f>VLOOKUP(A14,Interest!$X$8:$AC$367,6)</f>
        <v>0.99248043245784456</v>
      </c>
      <c r="CH14" s="53">
        <f t="shared" si="9"/>
        <v>-12386.1557970739</v>
      </c>
      <c r="CI14" s="53">
        <f t="shared" si="10"/>
        <v>0</v>
      </c>
      <c r="CJ14" s="53">
        <f t="shared" si="11"/>
        <v>0</v>
      </c>
      <c r="CK14" s="53">
        <f t="shared" si="12"/>
        <v>0</v>
      </c>
      <c r="CL14" s="25">
        <f t="shared" si="13"/>
        <v>12480</v>
      </c>
      <c r="CM14" s="213"/>
      <c r="CN14" s="58"/>
      <c r="CO14" s="213"/>
      <c r="DI14" s="25">
        <f t="shared" si="22"/>
        <v>4</v>
      </c>
      <c r="DJ14" s="54">
        <f>[4]EnergyCurve!$D36</f>
        <v>37257</v>
      </c>
      <c r="DK14" s="30">
        <f t="shared" si="14"/>
        <v>26</v>
      </c>
      <c r="DL14" s="30">
        <f t="shared" si="15"/>
        <v>22</v>
      </c>
      <c r="DM14" s="233">
        <v>36923</v>
      </c>
      <c r="DN14" s="154">
        <v>19</v>
      </c>
      <c r="DO14" s="155">
        <v>4</v>
      </c>
      <c r="DP14" s="155">
        <v>4</v>
      </c>
      <c r="DQ14" s="155">
        <v>1</v>
      </c>
      <c r="DR14" s="154">
        <v>28</v>
      </c>
      <c r="DS14" s="55"/>
      <c r="DT14" s="55"/>
      <c r="DU14" s="233">
        <v>36923</v>
      </c>
      <c r="DV14" s="154">
        <v>20</v>
      </c>
      <c r="DW14" s="155">
        <v>4</v>
      </c>
      <c r="DX14" s="155">
        <v>4</v>
      </c>
      <c r="DY14" s="155">
        <v>0</v>
      </c>
      <c r="DZ14" s="154">
        <v>28</v>
      </c>
      <c r="EA14" s="55"/>
      <c r="EB14" s="55"/>
      <c r="EQ14" s="54"/>
      <c r="ER14" s="190"/>
      <c r="ES14" s="167"/>
      <c r="ET14" s="167"/>
    </row>
    <row r="15" spans="1:153" ht="18.75" thickBot="1" x14ac:dyDescent="0.3">
      <c r="A15" s="100">
        <f>[4]EnergyCurve!$D37</f>
        <v>37288</v>
      </c>
      <c r="B15" s="101">
        <f>[4]EnergyCurve!$O37+[4]EnergyCurve!$Q37</f>
        <v>19531.92236328125</v>
      </c>
      <c r="C15" s="86">
        <f t="shared" si="0"/>
        <v>51.342419106071176</v>
      </c>
      <c r="D15" s="86">
        <f t="shared" si="1"/>
        <v>-30</v>
      </c>
      <c r="E15" s="85">
        <f t="shared" si="2"/>
        <v>8119.1825450059423</v>
      </c>
      <c r="F15" s="118">
        <f t="shared" si="3"/>
        <v>21.342419106071176</v>
      </c>
      <c r="G15" s="87">
        <f>([4]EnergyCurve!$E37*CE15+[4]EnergyCurve!$W37*CF15)/CD15</f>
        <v>64.6978136698405</v>
      </c>
      <c r="H15" s="91">
        <f t="shared" si="16"/>
        <v>-2.190450487403055</v>
      </c>
      <c r="I15" s="82">
        <f>([4]EnergyCurve!$G37*CE15+[4]EnergyCurve!$Y37*CF15)/CD15</f>
        <v>62.507363182437444</v>
      </c>
      <c r="J15" s="85">
        <f t="shared" si="17"/>
        <v>-42783.708860568047</v>
      </c>
      <c r="K15" s="88">
        <f t="shared" si="4"/>
        <v>-116113.555571192</v>
      </c>
      <c r="L15" s="88">
        <f t="shared" si="5"/>
        <v>-158897.26443176006</v>
      </c>
      <c r="M15" s="164"/>
      <c r="N15" s="78">
        <f t="shared" ref="N15:N33" si="27">A15</f>
        <v>37288</v>
      </c>
      <c r="O15" s="114">
        <v>25.25</v>
      </c>
      <c r="P15" s="114">
        <v>25.25</v>
      </c>
      <c r="Q15" s="105">
        <f t="shared" si="23"/>
        <v>-39.4478136698405</v>
      </c>
      <c r="R15" s="376"/>
      <c r="S15" s="178">
        <f t="shared" si="6"/>
        <v>62.507363182437444</v>
      </c>
      <c r="T15" s="46">
        <f t="shared" si="24"/>
        <v>2002</v>
      </c>
      <c r="U15" s="45">
        <f t="shared" si="25"/>
        <v>4</v>
      </c>
      <c r="V15" s="125" t="str">
        <f t="shared" si="18"/>
        <v>Q4 2002</v>
      </c>
      <c r="W15" s="84">
        <f t="array" ref="W15">SUM(IF((INT((MONTH($A$12:$A$47)-1)/3)=U15-1)*(YEAR($A$12:$A$47)=T15),$I$12:$I$47*$DK$12:$DK$47))/SUM(IF((INT((MONTH($A$12:$A$47)-1)/3)=U15-1)*(YEAR($A$12:$A$47)=T15),$DK$12:$DK$47))</f>
        <v>59.59242402045561</v>
      </c>
      <c r="X15" s="124">
        <f t="array" ref="X15">AVERAGE(IF((INT((MONTH($A$12:$A$47)-1)/3)=U15-1)*(YEAR($A$12:$A$47)=T15),$I$12:$I$47))</f>
        <v>59.705453320748781</v>
      </c>
      <c r="Y15" s="132">
        <f t="shared" si="26"/>
        <v>-2.479776153786645</v>
      </c>
      <c r="Z15" s="132">
        <f t="shared" ref="Z15:Z20" si="28">W15-$W$13</f>
        <v>1.9876377295453267</v>
      </c>
      <c r="AA15" s="132">
        <f>W15-$W$14</f>
        <v>8.7542034266052866</v>
      </c>
      <c r="AB15" s="133">
        <v>0</v>
      </c>
      <c r="AC15" s="131"/>
      <c r="AD15" s="131"/>
      <c r="AE15" s="131"/>
      <c r="AF15" s="131"/>
      <c r="AG15" s="131"/>
      <c r="AH15" s="131"/>
      <c r="AI15" s="131"/>
      <c r="AJ15" s="47">
        <f t="shared" si="7"/>
        <v>37288</v>
      </c>
      <c r="AK15" s="1">
        <v>-5</v>
      </c>
      <c r="AL15" s="2">
        <v>47.5</v>
      </c>
      <c r="AM15" s="1">
        <v>-15</v>
      </c>
      <c r="AN15" s="2">
        <v>47</v>
      </c>
      <c r="AO15" s="1">
        <v>-10</v>
      </c>
      <c r="AP15" s="2">
        <v>62.75</v>
      </c>
      <c r="AQ15" s="1"/>
      <c r="AR15" s="2"/>
      <c r="AS15" s="1"/>
      <c r="AT15" s="2"/>
      <c r="AU15" s="1"/>
      <c r="AV15" s="2"/>
      <c r="AW15" s="1"/>
      <c r="AX15" s="2"/>
      <c r="AY15" s="1"/>
      <c r="AZ15" s="2"/>
      <c r="BA15" s="1"/>
      <c r="BB15" s="2"/>
      <c r="BC15" s="1"/>
      <c r="BD15" s="2"/>
      <c r="BE15" s="1"/>
      <c r="BF15" s="2"/>
      <c r="BG15" s="1"/>
      <c r="BH15" s="2"/>
      <c r="BI15" s="1"/>
      <c r="BJ15" s="2"/>
      <c r="BK15" s="1"/>
      <c r="BL15" s="2"/>
      <c r="BM15" s="1"/>
      <c r="BN15" s="2"/>
      <c r="BO15" s="1"/>
      <c r="BP15" s="2"/>
      <c r="BQ15" s="1"/>
      <c r="BR15" s="2"/>
      <c r="BS15" s="1"/>
      <c r="BT15" s="2"/>
      <c r="BU15" s="1"/>
      <c r="BV15" s="2"/>
      <c r="BW15" s="1"/>
      <c r="BX15" s="2"/>
      <c r="BY15" s="48">
        <f>AK15+AM15+AO15+AQ15+AS15+AU15+AW15+AY15+BA15+BC15+BE15+BG15+BI15+BK15+BM15+BO15+BQ15+BS15+BU15+BW15</f>
        <v>-30</v>
      </c>
      <c r="BZ15" s="49">
        <f>IF(AND(BY15=0,CC15=0),0,(ABS(AK15)*AL15+ABS(AM15)*AN15+ABS(AO15)*AP15+ABS(AQ15)*AR15+ABS(AS15)*AT15+ABS(AU15)*AV15+ABS(AW15)*AX15+ABS(AY15)*AZ15+ABS(BA15)*BB15+ABS(BC15)*BD15+ABS(BE15)*BF15+ABS(BG15)*BH15+ABS(BI15)*BJ15+ABS(BK15)*BL15+ABS(BM15)*BN15+ABS(BO15)*BP15+ABS(BQ15)*BR15+ABS(BS15)*BT15+ABS(BU15)*BV15+ABS(BW15)*BX15)/CC15)</f>
        <v>52.333333333333336</v>
      </c>
      <c r="CB15" s="51">
        <f t="shared" si="8"/>
        <v>37288</v>
      </c>
      <c r="CC15" s="50">
        <f>ABS(AK15)+ABS(AM15)+ABS(AO15)+ABS(AQ15)+ABS(AS15)+ABS(AU15)+ABS(AW15)+ABS(AY15)+ABS(BA15)+ABS(BC15)+ABS(BE15)+ABS(BG15)+ABS(BI15)+ABS(BK15)+ABS(BM15)+ABS(BO15)+ABS(BQ15)+ABS(BS15)+ABS(BU15)+ABS(BW15)</f>
        <v>30</v>
      </c>
      <c r="CD15" s="52">
        <f t="shared" si="19"/>
        <v>384</v>
      </c>
      <c r="CE15" s="50">
        <f t="shared" si="20"/>
        <v>320</v>
      </c>
      <c r="CF15" s="58">
        <f t="shared" si="21"/>
        <v>64</v>
      </c>
      <c r="CG15" s="50">
        <f>VLOOKUP(A15,Interest!$X$8:$AC$367,6)</f>
        <v>0.99068922033639828</v>
      </c>
      <c r="CH15" s="53">
        <f t="shared" si="9"/>
        <v>-11412.739818275308</v>
      </c>
      <c r="CI15" s="53">
        <f t="shared" si="10"/>
        <v>0</v>
      </c>
      <c r="CJ15" s="53">
        <f t="shared" si="11"/>
        <v>0</v>
      </c>
      <c r="CK15" s="53">
        <f t="shared" si="12"/>
        <v>0</v>
      </c>
      <c r="CL15" s="25">
        <f t="shared" si="13"/>
        <v>11520</v>
      </c>
      <c r="CM15" s="213"/>
      <c r="CN15" s="58"/>
      <c r="CO15" s="213"/>
      <c r="DI15" s="25">
        <f t="shared" si="22"/>
        <v>4</v>
      </c>
      <c r="DJ15" s="54">
        <f>[4]EnergyCurve!$D37</f>
        <v>37288</v>
      </c>
      <c r="DK15" s="30">
        <f t="shared" si="14"/>
        <v>24</v>
      </c>
      <c r="DL15" s="30">
        <f t="shared" si="15"/>
        <v>20</v>
      </c>
      <c r="DM15" s="233">
        <v>36951</v>
      </c>
      <c r="DN15" s="154">
        <v>22</v>
      </c>
      <c r="DO15" s="155">
        <v>5</v>
      </c>
      <c r="DP15" s="155">
        <v>4</v>
      </c>
      <c r="DQ15" s="155">
        <v>0</v>
      </c>
      <c r="DR15" s="154">
        <v>31</v>
      </c>
      <c r="DS15" s="55"/>
      <c r="DT15" s="55"/>
      <c r="DU15" s="233">
        <v>36951</v>
      </c>
      <c r="DV15" s="154">
        <v>22</v>
      </c>
      <c r="DW15" s="155">
        <v>5</v>
      </c>
      <c r="DX15" s="155">
        <v>4</v>
      </c>
      <c r="DY15" s="155">
        <v>0</v>
      </c>
      <c r="DZ15" s="154">
        <v>31</v>
      </c>
      <c r="EA15" s="55"/>
      <c r="EB15" s="55"/>
      <c r="EQ15" s="54"/>
      <c r="ER15" s="190"/>
      <c r="ES15" s="167"/>
      <c r="ET15" s="167"/>
    </row>
    <row r="16" spans="1:153" ht="18.75" thickBot="1" x14ac:dyDescent="0.3">
      <c r="A16" s="98">
        <f>[4]EnergyCurve!$D38</f>
        <v>37316</v>
      </c>
      <c r="B16" s="99">
        <f>[4]EnergyCurve!$O38+[4]EnergyCurve!$Q38</f>
        <v>20954.990478515625</v>
      </c>
      <c r="C16" s="90">
        <f t="shared" si="0"/>
        <v>50.941332751104987</v>
      </c>
      <c r="D16" s="89">
        <f t="shared" si="1"/>
        <v>-30</v>
      </c>
      <c r="E16" s="90">
        <f t="shared" si="2"/>
        <v>8614.3295573144133</v>
      </c>
      <c r="F16" s="117">
        <f t="shared" si="3"/>
        <v>20.941332751104987</v>
      </c>
      <c r="G16" s="91">
        <f>([4]EnergyCurve!$E38*CE16+[4]EnergyCurve!$W38*CF16)/CD16</f>
        <v>62.750101236196663</v>
      </c>
      <c r="H16" s="91">
        <f t="shared" si="16"/>
        <v>-2.3551504111480526</v>
      </c>
      <c r="I16" s="121">
        <f>([4]EnergyCurve!$G38*CE16+[4]EnergyCurve!$Y38*CF16)/CD16</f>
        <v>60.39495082504861</v>
      </c>
      <c r="J16" s="99">
        <f t="shared" si="17"/>
        <v>-49352.154441079598</v>
      </c>
      <c r="K16" s="92">
        <f t="shared" si="4"/>
        <v>-99485.68794168286</v>
      </c>
      <c r="L16" s="92">
        <f t="shared" si="5"/>
        <v>-148837.84238276246</v>
      </c>
      <c r="M16"/>
      <c r="N16" s="78">
        <f t="shared" si="27"/>
        <v>37316</v>
      </c>
      <c r="O16" s="114">
        <v>25.25</v>
      </c>
      <c r="P16" s="114">
        <v>25.25</v>
      </c>
      <c r="Q16" s="105">
        <f t="shared" si="23"/>
        <v>-37.500101236196663</v>
      </c>
      <c r="R16" s="376"/>
      <c r="S16" s="178">
        <f t="shared" si="6"/>
        <v>60.39495082504861</v>
      </c>
      <c r="T16" s="46">
        <f t="shared" si="24"/>
        <v>2003</v>
      </c>
      <c r="U16" s="45">
        <f t="shared" si="25"/>
        <v>1</v>
      </c>
      <c r="V16" s="126" t="str">
        <f t="shared" si="18"/>
        <v>Q1 2003</v>
      </c>
      <c r="W16" s="84">
        <f t="array" ref="W16">SUM(IF((INT((MONTH($A$12:$A$47)-1)/3)=U16-1)*(YEAR($A$12:$A$47)=T16),$I$12:$I$47*$DK$12:$DK$47))/SUM(IF((INT((MONTH($A$12:$A$47)-1)/3)=U16-1)*(YEAR($A$12:$A$47)=T16),$DK$12:$DK$47))</f>
        <v>50.723754890050536</v>
      </c>
      <c r="X16" s="124">
        <f t="array" ref="X16">AVERAGE(IF((INT((MONTH($A$12:$A$47)-1)/3)=U16-1)*(YEAR($A$12:$A$47)=T16),$I$12:$I$47))</f>
        <v>50.724296171278972</v>
      </c>
      <c r="Y16" s="134">
        <f t="shared" si="26"/>
        <v>-11.348445284191719</v>
      </c>
      <c r="Z16" s="134">
        <f t="shared" si="28"/>
        <v>-6.8810314008597473</v>
      </c>
      <c r="AA16" s="134">
        <f>W16-$W$14</f>
        <v>-0.11446570379978738</v>
      </c>
      <c r="AB16" s="134">
        <f t="shared" ref="AB16:AB22" si="29">W16-$W$15</f>
        <v>-8.868669130405074</v>
      </c>
      <c r="AC16" s="130">
        <v>0</v>
      </c>
      <c r="AD16" s="131"/>
      <c r="AE16" s="131"/>
      <c r="AF16" s="131"/>
      <c r="AG16" s="131"/>
      <c r="AH16" s="131"/>
      <c r="AI16" s="131"/>
      <c r="AJ16" s="47">
        <f t="shared" si="7"/>
        <v>37316</v>
      </c>
      <c r="AK16" s="1">
        <v>-5</v>
      </c>
      <c r="AL16" s="2">
        <v>47.5</v>
      </c>
      <c r="AM16" s="1">
        <v>-15</v>
      </c>
      <c r="AN16" s="2">
        <v>47</v>
      </c>
      <c r="AO16" s="1">
        <v>-10</v>
      </c>
      <c r="AP16" s="2">
        <v>62.75</v>
      </c>
      <c r="AQ16" s="1"/>
      <c r="AR16" s="2"/>
      <c r="AS16" s="1"/>
      <c r="AT16" s="2"/>
      <c r="AU16" s="1"/>
      <c r="AV16" s="2"/>
      <c r="AW16" s="1"/>
      <c r="AX16" s="2"/>
      <c r="AY16" s="1"/>
      <c r="AZ16" s="2"/>
      <c r="BA16" s="1"/>
      <c r="BB16" s="2"/>
      <c r="BC16" s="1"/>
      <c r="BD16" s="2"/>
      <c r="BE16" s="1"/>
      <c r="BF16" s="2"/>
      <c r="BG16" s="1"/>
      <c r="BH16" s="2"/>
      <c r="BI16" s="1"/>
      <c r="BJ16" s="2"/>
      <c r="BK16" s="1"/>
      <c r="BL16" s="2"/>
      <c r="BM16" s="1"/>
      <c r="BN16" s="2"/>
      <c r="BO16" s="1"/>
      <c r="BP16" s="2"/>
      <c r="BQ16" s="1"/>
      <c r="BR16" s="2"/>
      <c r="BS16" s="1"/>
      <c r="BT16" s="2"/>
      <c r="BU16" s="1"/>
      <c r="BV16" s="2"/>
      <c r="BW16" s="1"/>
      <c r="BX16" s="2"/>
      <c r="BY16" s="48">
        <f t="shared" ref="BY16:BY50" si="30">AK16+AM16+AO16+AQ16+AS16+AU16+AW16+AY16+BA16+BC16+BE16+BG16+BI16+BK16+BM16+BO16+BQ16+BS16+BU16+BW16</f>
        <v>-30</v>
      </c>
      <c r="BZ16" s="49">
        <f t="shared" ref="BZ16:BZ50" si="31">IF(AND(BY16=0,CC16=0),0,(ABS(AK16)*AL16+ABS(AM16)*AN16+ABS(AO16)*AP16+ABS(AQ16)*AR16+ABS(AS16)*AT16+ABS(AU16)*AV16+ABS(AW16)*AX16+ABS(AY16)*AZ16+ABS(BA16)*BB16+ABS(BC16)*BD16+ABS(BE16)*BF16+ABS(BG16)*BH16+ABS(BI16)*BJ16+ABS(BK16)*BL16+ABS(BM16)*BN16+ABS(BO16)*BP16+ABS(BQ16)*BR16+ABS(BS16)*BT16+ABS(BU16)*BV16+ABS(BW16)*BX16)/CC16)</f>
        <v>52.333333333333336</v>
      </c>
      <c r="CB16" s="51">
        <f t="shared" si="8"/>
        <v>37316</v>
      </c>
      <c r="CC16" s="50">
        <f t="shared" ref="CC16:CC50" si="32">ABS(AK16)+ABS(AM16)+ABS(AO16)+ABS(AQ16)+ABS(AS16)+ABS(AU16)+ABS(AW16)+ABS(AY16)+ABS(BA16)+ABS(BC16)+ABS(BE16)+ABS(BG16)+ABS(BI16)+ABS(BK16)+ABS(BM16)+ABS(BO16)+ABS(BQ16)+ABS(BS16)+ABS(BU16)+ABS(BW16)</f>
        <v>30</v>
      </c>
      <c r="CD16" s="52">
        <f t="shared" si="19"/>
        <v>416</v>
      </c>
      <c r="CE16" s="50">
        <f t="shared" si="20"/>
        <v>336</v>
      </c>
      <c r="CF16" s="58">
        <f t="shared" si="21"/>
        <v>80</v>
      </c>
      <c r="CG16" s="50">
        <f>VLOOKUP(A16,Interest!$X$8:$AC$367,6)</f>
        <v>0.98883500971163563</v>
      </c>
      <c r="CH16" s="53">
        <f t="shared" si="9"/>
        <v>-12340.660921201212</v>
      </c>
      <c r="CI16" s="53">
        <f t="shared" si="10"/>
        <v>0</v>
      </c>
      <c r="CJ16" s="53">
        <f t="shared" si="11"/>
        <v>0</v>
      </c>
      <c r="CK16" s="53">
        <f t="shared" si="12"/>
        <v>0</v>
      </c>
      <c r="CL16" s="25">
        <f t="shared" si="13"/>
        <v>12480</v>
      </c>
      <c r="CM16" s="213"/>
      <c r="CN16" s="58"/>
      <c r="CO16" s="213"/>
      <c r="DI16" s="25">
        <f t="shared" si="22"/>
        <v>5</v>
      </c>
      <c r="DJ16" s="54">
        <f>[4]EnergyCurve!$D38</f>
        <v>37316</v>
      </c>
      <c r="DK16" s="30">
        <f t="shared" si="14"/>
        <v>26</v>
      </c>
      <c r="DL16" s="30">
        <f t="shared" si="15"/>
        <v>21</v>
      </c>
      <c r="DM16" s="233">
        <v>36982</v>
      </c>
      <c r="DN16" s="154">
        <v>20</v>
      </c>
      <c r="DO16" s="155">
        <v>4</v>
      </c>
      <c r="DP16" s="155">
        <v>5</v>
      </c>
      <c r="DQ16" s="155">
        <v>1</v>
      </c>
      <c r="DR16" s="154">
        <v>30</v>
      </c>
      <c r="DS16" s="55"/>
      <c r="DT16" s="55"/>
      <c r="DU16" s="233">
        <v>36982</v>
      </c>
      <c r="DV16" s="154">
        <v>21</v>
      </c>
      <c r="DW16" s="155">
        <v>4</v>
      </c>
      <c r="DX16" s="155">
        <v>5</v>
      </c>
      <c r="DY16" s="155">
        <v>0</v>
      </c>
      <c r="DZ16" s="154">
        <v>30</v>
      </c>
      <c r="EA16" s="55"/>
      <c r="EB16" s="55"/>
      <c r="EQ16" s="54"/>
      <c r="ER16" s="190"/>
      <c r="ES16" s="167"/>
      <c r="ET16" s="167"/>
    </row>
    <row r="17" spans="1:150" ht="18.75" thickBot="1" x14ac:dyDescent="0.3">
      <c r="A17" s="100">
        <f>[4]EnergyCurve!$D39</f>
        <v>37347</v>
      </c>
      <c r="B17" s="101">
        <f>[4]EnergyCurve!$O39+[4]EnergyCurve!$Q39</f>
        <v>36599.4970703125</v>
      </c>
      <c r="C17" s="86">
        <f t="shared" si="0"/>
        <v>89.133469379271773</v>
      </c>
      <c r="D17" s="86">
        <f t="shared" si="1"/>
        <v>-20</v>
      </c>
      <c r="E17" s="85">
        <f t="shared" si="2"/>
        <v>28387.206597341454</v>
      </c>
      <c r="F17" s="118">
        <f t="shared" si="3"/>
        <v>69.133469379271773</v>
      </c>
      <c r="G17" s="87">
        <f>([4]EnergyCurve!$E39*CE17+[4]EnergyCurve!$W39*CF17)/CD17</f>
        <v>58.231724372276894</v>
      </c>
      <c r="H17" s="91">
        <f t="shared" si="16"/>
        <v>-1.1982516280405591</v>
      </c>
      <c r="I17" s="82">
        <f>([4]EnergyCurve!$G39*CE17+[4]EnergyCurve!$Y39*CF17)/CD17</f>
        <v>57.033472744236335</v>
      </c>
      <c r="J17" s="85">
        <f t="shared" si="17"/>
        <v>-43855.406949967626</v>
      </c>
      <c r="K17" s="88">
        <f t="shared" si="4"/>
        <v>-81371.256319185311</v>
      </c>
      <c r="L17" s="88">
        <f t="shared" si="5"/>
        <v>-125226.66326915294</v>
      </c>
      <c r="M17"/>
      <c r="N17" s="78">
        <f t="shared" si="27"/>
        <v>37347</v>
      </c>
      <c r="O17" s="114">
        <v>30</v>
      </c>
      <c r="P17" s="114">
        <v>30</v>
      </c>
      <c r="Q17" s="105">
        <f t="shared" si="23"/>
        <v>-28.231724372276894</v>
      </c>
      <c r="R17" s="376"/>
      <c r="S17" s="178">
        <f t="shared" si="6"/>
        <v>57.033472744236335</v>
      </c>
      <c r="T17" s="46">
        <f t="shared" si="24"/>
        <v>2003</v>
      </c>
      <c r="U17" s="45">
        <f t="shared" si="25"/>
        <v>2</v>
      </c>
      <c r="V17" s="125" t="str">
        <f t="shared" si="18"/>
        <v>Q2 2003</v>
      </c>
      <c r="W17" s="84">
        <f t="array" ref="W17">SUM(IF((INT((MONTH($A$12:$A$47)-1)/3)=U17-1)*(YEAR($A$12:$A$47)=T17),$I$12:$I$47*$DK$12:$DK$47))/SUM(IF((INT((MONTH($A$12:$A$47)-1)/3)=U17-1)*(YEAR($A$12:$A$47)=T17),$DK$12:$DK$47))</f>
        <v>47.181738100149737</v>
      </c>
      <c r="X17" s="124">
        <f t="array" ref="X17">AVERAGE(IF((INT((MONTH($A$12:$A$47)-1)/3)=U17-1)*(YEAR($A$12:$A$47)=T17),$I$12:$I$47))</f>
        <v>47.184597008824653</v>
      </c>
      <c r="Y17" s="132">
        <f t="shared" si="26"/>
        <v>-14.890462074092518</v>
      </c>
      <c r="Z17" s="132">
        <f t="shared" si="28"/>
        <v>-10.423048190760547</v>
      </c>
      <c r="AA17" s="132">
        <f t="shared" ref="AA17:AA22" si="33">W17-$W$14</f>
        <v>-3.6564824937005866</v>
      </c>
      <c r="AB17" s="132">
        <f t="shared" si="29"/>
        <v>-12.410685920305873</v>
      </c>
      <c r="AC17" s="132">
        <f t="shared" ref="AC17:AC22" si="34">W17-$W$16</f>
        <v>-3.5420167899007993</v>
      </c>
      <c r="AD17" s="133">
        <v>0</v>
      </c>
      <c r="AE17" s="131"/>
      <c r="AF17" s="131"/>
      <c r="AG17" s="131"/>
      <c r="AH17" s="131"/>
      <c r="AI17" s="131"/>
      <c r="AJ17" s="47">
        <f t="shared" si="7"/>
        <v>37347</v>
      </c>
      <c r="AK17" s="1">
        <v>-5</v>
      </c>
      <c r="AL17" s="2">
        <v>47.5</v>
      </c>
      <c r="AM17" s="1">
        <v>-15</v>
      </c>
      <c r="AN17" s="2">
        <v>47</v>
      </c>
      <c r="AO17" s="1"/>
      <c r="AP17" s="2"/>
      <c r="AQ17" s="1"/>
      <c r="AR17" s="2"/>
      <c r="AS17" s="1"/>
      <c r="AT17" s="2"/>
      <c r="AU17" s="1"/>
      <c r="AV17" s="2"/>
      <c r="AW17" s="1"/>
      <c r="AX17" s="2"/>
      <c r="AY17" s="1"/>
      <c r="AZ17" s="2"/>
      <c r="BA17" s="1"/>
      <c r="BB17" s="2"/>
      <c r="BC17" s="1"/>
      <c r="BD17" s="2"/>
      <c r="BE17" s="1"/>
      <c r="BF17" s="2"/>
      <c r="BG17" s="1"/>
      <c r="BH17" s="2"/>
      <c r="BI17" s="1"/>
      <c r="BJ17" s="2"/>
      <c r="BK17" s="1"/>
      <c r="BL17" s="2"/>
      <c r="BM17" s="1"/>
      <c r="BN17" s="2"/>
      <c r="BO17" s="1"/>
      <c r="BP17" s="2"/>
      <c r="BQ17" s="1"/>
      <c r="BR17" s="2"/>
      <c r="BS17" s="1"/>
      <c r="BT17" s="2"/>
      <c r="BU17" s="1"/>
      <c r="BV17" s="2"/>
      <c r="BW17" s="1"/>
      <c r="BX17" s="2"/>
      <c r="BY17" s="48">
        <f t="shared" si="30"/>
        <v>-20</v>
      </c>
      <c r="BZ17" s="49">
        <f t="shared" si="31"/>
        <v>47.125</v>
      </c>
      <c r="CB17" s="51">
        <f t="shared" si="8"/>
        <v>37347</v>
      </c>
      <c r="CC17" s="50">
        <f t="shared" si="32"/>
        <v>20</v>
      </c>
      <c r="CD17" s="52">
        <f t="shared" si="19"/>
        <v>416</v>
      </c>
      <c r="CE17" s="50">
        <f t="shared" si="20"/>
        <v>352</v>
      </c>
      <c r="CF17" s="58">
        <f t="shared" si="21"/>
        <v>64</v>
      </c>
      <c r="CG17" s="50">
        <f>VLOOKUP(A17,Interest!$X$8:$AC$367,6)</f>
        <v>0.98705414338594299</v>
      </c>
      <c r="CH17" s="53">
        <f t="shared" si="9"/>
        <v>-8212.2904729710463</v>
      </c>
      <c r="CI17" s="53">
        <f t="shared" si="10"/>
        <v>0</v>
      </c>
      <c r="CJ17" s="53">
        <f t="shared" si="11"/>
        <v>0</v>
      </c>
      <c r="CK17" s="53">
        <f t="shared" si="12"/>
        <v>0</v>
      </c>
      <c r="CL17" s="25">
        <f t="shared" si="13"/>
        <v>8320</v>
      </c>
      <c r="CM17" s="213"/>
      <c r="CN17" s="58"/>
      <c r="CO17" s="213"/>
      <c r="DI17" s="25">
        <f t="shared" si="22"/>
        <v>4</v>
      </c>
      <c r="DJ17" s="54">
        <f>[4]EnergyCurve!$D39</f>
        <v>37347</v>
      </c>
      <c r="DK17" s="30">
        <f t="shared" si="14"/>
        <v>26</v>
      </c>
      <c r="DL17" s="30">
        <f t="shared" si="15"/>
        <v>22</v>
      </c>
      <c r="DM17" s="233">
        <v>37012</v>
      </c>
      <c r="DN17" s="154">
        <v>22</v>
      </c>
      <c r="DO17" s="155">
        <v>4</v>
      </c>
      <c r="DP17" s="155">
        <v>4</v>
      </c>
      <c r="DQ17" s="155">
        <v>1</v>
      </c>
      <c r="DR17" s="154">
        <v>31</v>
      </c>
      <c r="DS17" s="55"/>
      <c r="DT17" s="55"/>
      <c r="DU17" s="233">
        <v>37012</v>
      </c>
      <c r="DV17" s="154">
        <v>22</v>
      </c>
      <c r="DW17" s="155">
        <v>4</v>
      </c>
      <c r="DX17" s="155">
        <v>4</v>
      </c>
      <c r="DY17" s="155">
        <v>1</v>
      </c>
      <c r="DZ17" s="154">
        <v>31</v>
      </c>
      <c r="EA17" s="55"/>
      <c r="EB17" s="55"/>
      <c r="EQ17" s="54"/>
      <c r="ER17" s="190"/>
      <c r="ES17" s="167"/>
      <c r="ET17" s="167"/>
    </row>
    <row r="18" spans="1:150" ht="18.75" thickBot="1" x14ac:dyDescent="0.3">
      <c r="A18" s="98">
        <f>[4]EnergyCurve!$D40</f>
        <v>37377</v>
      </c>
      <c r="B18" s="99">
        <f>[4]EnergyCurve!$O40+[4]EnergyCurve!$Q40</f>
        <v>36914.43212890625</v>
      </c>
      <c r="C18" s="90">
        <f t="shared" si="0"/>
        <v>90.082680570330609</v>
      </c>
      <c r="D18" s="89">
        <f t="shared" si="1"/>
        <v>-20</v>
      </c>
      <c r="E18" s="90">
        <f t="shared" si="2"/>
        <v>28718.754137267024</v>
      </c>
      <c r="F18" s="117">
        <f t="shared" si="3"/>
        <v>70.082680570330609</v>
      </c>
      <c r="G18" s="91">
        <f>([4]EnergyCurve!$E40*CE18+[4]EnergyCurve!$W40*CF18)/CD18</f>
        <v>58.889483231764572</v>
      </c>
      <c r="H18" s="91">
        <f t="shared" si="16"/>
        <v>-1.1979885039967542</v>
      </c>
      <c r="I18" s="121">
        <f>([4]EnergyCurve!$G40*CE18+[4]EnergyCurve!$Y40*CF18)/CD18</f>
        <v>57.691494727767818</v>
      </c>
      <c r="J18" s="99">
        <f t="shared" si="17"/>
        <v>-44223.065321998118</v>
      </c>
      <c r="K18" s="92">
        <f t="shared" si="4"/>
        <v>-86599.588289138614</v>
      </c>
      <c r="L18" s="92">
        <f t="shared" si="5"/>
        <v>-130822.65361113673</v>
      </c>
      <c r="M18"/>
      <c r="N18" s="78">
        <f t="shared" si="27"/>
        <v>37377</v>
      </c>
      <c r="O18" s="114">
        <v>28</v>
      </c>
      <c r="P18" s="114">
        <v>28</v>
      </c>
      <c r="Q18" s="105">
        <f t="shared" si="23"/>
        <v>-30.889483231764572</v>
      </c>
      <c r="R18" s="376"/>
      <c r="S18" s="178">
        <f t="shared" si="6"/>
        <v>57.691494727767818</v>
      </c>
      <c r="T18" s="46">
        <f t="shared" si="24"/>
        <v>2003</v>
      </c>
      <c r="U18" s="45">
        <f t="shared" si="25"/>
        <v>3</v>
      </c>
      <c r="V18" s="126" t="str">
        <f t="shared" si="18"/>
        <v>Q3 2003</v>
      </c>
      <c r="W18" s="84">
        <f t="array" ref="W18">SUM(IF((INT((MONTH($A$12:$A$47)-1)/3)=U18-1)*(YEAR($A$12:$A$47)=T18),$I$12:$I$47*$DK$12:$DK$47))/SUM(IF((INT((MONTH($A$12:$A$47)-1)/3)=U18-1)*(YEAR($A$12:$A$47)=T18),$DK$12:$DK$47))</f>
        <v>48.142769614181539</v>
      </c>
      <c r="X18" s="124">
        <f t="array" ref="X18">AVERAGE(IF((INT((MONTH($A$12:$A$47)-1)/3)=U18-1)*(YEAR($A$12:$A$47)=T18),$I$12:$I$47))</f>
        <v>48.145740486013999</v>
      </c>
      <c r="Y18" s="134">
        <f t="shared" si="26"/>
        <v>-13.929430560060716</v>
      </c>
      <c r="Z18" s="134">
        <f t="shared" si="28"/>
        <v>-9.4620166767287444</v>
      </c>
      <c r="AA18" s="134">
        <f t="shared" si="33"/>
        <v>-2.6954509796687844</v>
      </c>
      <c r="AB18" s="134">
        <f t="shared" si="29"/>
        <v>-11.449654406274071</v>
      </c>
      <c r="AC18" s="134">
        <f t="shared" si="34"/>
        <v>-2.5809852758689971</v>
      </c>
      <c r="AD18" s="134">
        <f>W18-$W$17</f>
        <v>0.9610315140318022</v>
      </c>
      <c r="AE18" s="130">
        <v>0</v>
      </c>
      <c r="AF18" s="131"/>
      <c r="AG18" s="131"/>
      <c r="AH18" s="131"/>
      <c r="AI18" s="131"/>
      <c r="AJ18" s="47">
        <f t="shared" si="7"/>
        <v>37377</v>
      </c>
      <c r="AK18" s="1">
        <v>-5</v>
      </c>
      <c r="AL18" s="2">
        <v>47.5</v>
      </c>
      <c r="AM18" s="1">
        <v>-15</v>
      </c>
      <c r="AN18" s="2">
        <v>47</v>
      </c>
      <c r="AO18" s="1"/>
      <c r="AP18" s="2"/>
      <c r="AQ18" s="1"/>
      <c r="AR18" s="2"/>
      <c r="AS18" s="1"/>
      <c r="AT18" s="2"/>
      <c r="AU18" s="1"/>
      <c r="AV18" s="2"/>
      <c r="AW18" s="1"/>
      <c r="AX18" s="2"/>
      <c r="AY18" s="1"/>
      <c r="AZ18" s="2"/>
      <c r="BA18" s="1"/>
      <c r="BB18" s="2"/>
      <c r="BC18" s="1"/>
      <c r="BD18" s="2"/>
      <c r="BE18" s="1"/>
      <c r="BF18" s="2"/>
      <c r="BG18" s="1"/>
      <c r="BH18" s="2"/>
      <c r="BI18" s="1"/>
      <c r="BJ18" s="2"/>
      <c r="BK18" s="1"/>
      <c r="BL18" s="2"/>
      <c r="BM18" s="1"/>
      <c r="BN18" s="2"/>
      <c r="BO18" s="1"/>
      <c r="BP18" s="2"/>
      <c r="BQ18" s="1"/>
      <c r="BR18" s="2"/>
      <c r="BS18" s="1"/>
      <c r="BT18" s="2"/>
      <c r="BU18" s="1"/>
      <c r="BV18" s="2"/>
      <c r="BW18" s="1"/>
      <c r="BX18" s="2"/>
      <c r="BY18" s="48">
        <f t="shared" si="30"/>
        <v>-20</v>
      </c>
      <c r="BZ18" s="49">
        <f t="shared" si="31"/>
        <v>47.125</v>
      </c>
      <c r="CB18" s="51">
        <f t="shared" si="8"/>
        <v>37377</v>
      </c>
      <c r="CC18" s="50">
        <f t="shared" si="32"/>
        <v>20</v>
      </c>
      <c r="CD18" s="52">
        <f t="shared" si="19"/>
        <v>416</v>
      </c>
      <c r="CE18" s="50">
        <f t="shared" si="20"/>
        <v>352</v>
      </c>
      <c r="CF18" s="58">
        <f t="shared" si="21"/>
        <v>64</v>
      </c>
      <c r="CG18" s="50">
        <f>VLOOKUP(A18,Interest!$X$8:$AC$367,6)</f>
        <v>0.98505745091817609</v>
      </c>
      <c r="CH18" s="53">
        <f t="shared" si="9"/>
        <v>-8195.6779916392261</v>
      </c>
      <c r="CI18" s="53">
        <f t="shared" si="10"/>
        <v>0</v>
      </c>
      <c r="CJ18" s="53">
        <f t="shared" si="11"/>
        <v>0</v>
      </c>
      <c r="CK18" s="53">
        <f t="shared" si="12"/>
        <v>0</v>
      </c>
      <c r="CL18" s="25">
        <f t="shared" si="13"/>
        <v>8320</v>
      </c>
      <c r="CM18" s="213"/>
      <c r="CN18" s="58"/>
      <c r="CO18" s="213"/>
      <c r="DI18" s="25">
        <f t="shared" si="22"/>
        <v>4</v>
      </c>
      <c r="DJ18" s="54">
        <f>[4]EnergyCurve!$D40</f>
        <v>37377</v>
      </c>
      <c r="DK18" s="30">
        <f t="shared" si="14"/>
        <v>26</v>
      </c>
      <c r="DL18" s="30">
        <f t="shared" si="15"/>
        <v>22</v>
      </c>
      <c r="DM18" s="233">
        <v>37043</v>
      </c>
      <c r="DN18" s="154">
        <v>21</v>
      </c>
      <c r="DO18" s="155">
        <v>5</v>
      </c>
      <c r="DP18" s="155">
        <v>4</v>
      </c>
      <c r="DQ18" s="155">
        <v>0</v>
      </c>
      <c r="DR18" s="154">
        <v>30</v>
      </c>
      <c r="DS18" s="55"/>
      <c r="DT18" s="55"/>
      <c r="DU18" s="233">
        <v>37043</v>
      </c>
      <c r="DV18" s="154">
        <v>21</v>
      </c>
      <c r="DW18" s="155">
        <v>5</v>
      </c>
      <c r="DX18" s="155">
        <v>4</v>
      </c>
      <c r="DY18" s="155">
        <v>0</v>
      </c>
      <c r="DZ18" s="154">
        <v>30</v>
      </c>
      <c r="EA18" s="55"/>
      <c r="EB18" s="55"/>
      <c r="EQ18" s="54"/>
      <c r="ER18" s="190"/>
      <c r="ES18" s="167"/>
      <c r="ET18" s="167"/>
    </row>
    <row r="19" spans="1:150" ht="18.75" thickBot="1" x14ac:dyDescent="0.3">
      <c r="A19" s="100">
        <f>[4]EnergyCurve!$D41</f>
        <v>37408</v>
      </c>
      <c r="B19" s="101">
        <f>[4]EnergyCurve!$O41+[4]EnergyCurve!$Q41</f>
        <v>35530.986328125</v>
      </c>
      <c r="C19" s="86">
        <f t="shared" si="0"/>
        <v>90.349370432454151</v>
      </c>
      <c r="D19" s="86">
        <f t="shared" si="1"/>
        <v>-20</v>
      </c>
      <c r="E19" s="85">
        <f t="shared" si="2"/>
        <v>27665.743624593772</v>
      </c>
      <c r="F19" s="118">
        <f t="shared" si="3"/>
        <v>70.349370432454151</v>
      </c>
      <c r="G19" s="87">
        <f>([4]EnergyCurve!$E41*CE19+[4]EnergyCurve!$W41*CF19)/CD19</f>
        <v>59.399948883056638</v>
      </c>
      <c r="H19" s="91">
        <f t="shared" si="16"/>
        <v>-1.2911732779372826</v>
      </c>
      <c r="I19" s="82">
        <f>([4]EnergyCurve!$G41*CE19+[4]EnergyCurve!$Y41*CF19)/CD19</f>
        <v>58.108775605119355</v>
      </c>
      <c r="J19" s="85">
        <f t="shared" si="17"/>
        <v>-45876.660085629934</v>
      </c>
      <c r="K19" s="88">
        <f t="shared" si="4"/>
        <v>-86390.060935389309</v>
      </c>
      <c r="L19" s="88">
        <f t="shared" si="5"/>
        <v>-132266.72102101924</v>
      </c>
      <c r="M19"/>
      <c r="N19" s="78">
        <f t="shared" si="27"/>
        <v>37408</v>
      </c>
      <c r="O19" s="114">
        <v>33</v>
      </c>
      <c r="P19" s="114">
        <v>35</v>
      </c>
      <c r="Q19" s="105">
        <f t="shared" si="23"/>
        <v>-25.399948883056638</v>
      </c>
      <c r="R19" s="373"/>
      <c r="S19" s="178">
        <f t="shared" si="6"/>
        <v>58.108775605119355</v>
      </c>
      <c r="T19" s="46">
        <f t="shared" si="24"/>
        <v>2003</v>
      </c>
      <c r="U19" s="45">
        <f t="shared" si="25"/>
        <v>4</v>
      </c>
      <c r="V19" s="125" t="str">
        <f t="shared" si="18"/>
        <v>Q4 2003</v>
      </c>
      <c r="W19" s="84">
        <f t="array" ref="W19">SUM(IF((INT((MONTH($A$12:$A$47)-1)/3)=U19-1)*(YEAR($A$12:$A$47)=T19),$I$12:$I$47*$DK$12:$DK$47))/SUM(IF((INT((MONTH($A$12:$A$47)-1)/3)=U19-1)*(YEAR($A$12:$A$47)=T19),$DK$12:$DK$47))</f>
        <v>51.431726851279095</v>
      </c>
      <c r="X19" s="124">
        <f t="array" ref="X19">AVERAGE(IF((INT((MONTH($A$12:$A$47)-1)/3)=U19-1)*(YEAR($A$12:$A$47)=T19),$I$12:$I$47))</f>
        <v>51.472102959359745</v>
      </c>
      <c r="Y19" s="132">
        <f t="shared" si="26"/>
        <v>-10.64047332296316</v>
      </c>
      <c r="Z19" s="132">
        <f t="shared" si="28"/>
        <v>-6.1730594396311886</v>
      </c>
      <c r="AA19" s="132">
        <f t="shared" si="33"/>
        <v>0.59350625742877128</v>
      </c>
      <c r="AB19" s="132">
        <f t="shared" si="29"/>
        <v>-8.1606971691765153</v>
      </c>
      <c r="AC19" s="132">
        <f t="shared" si="34"/>
        <v>0.70797196122855865</v>
      </c>
      <c r="AD19" s="132">
        <f>W19-$W$17</f>
        <v>4.2499887511293579</v>
      </c>
      <c r="AE19" s="132">
        <f>W19-$W$18</f>
        <v>3.2889572370975557</v>
      </c>
      <c r="AF19" s="133">
        <v>0</v>
      </c>
      <c r="AG19" s="131"/>
      <c r="AH19" s="131"/>
      <c r="AI19" s="131"/>
      <c r="AJ19" s="47">
        <f t="shared" si="7"/>
        <v>37408</v>
      </c>
      <c r="AK19" s="1">
        <v>-5</v>
      </c>
      <c r="AL19" s="2">
        <v>47.5</v>
      </c>
      <c r="AM19" s="1">
        <v>-15</v>
      </c>
      <c r="AN19" s="2">
        <v>47</v>
      </c>
      <c r="AO19" s="1"/>
      <c r="AP19" s="2"/>
      <c r="AQ19" s="1"/>
      <c r="AR19" s="2"/>
      <c r="AS19" s="1"/>
      <c r="AT19" s="2"/>
      <c r="AU19" s="1"/>
      <c r="AV19" s="2"/>
      <c r="AW19" s="1"/>
      <c r="AX19" s="2"/>
      <c r="AY19" s="1"/>
      <c r="AZ19" s="2"/>
      <c r="BA19" s="1"/>
      <c r="BB19" s="2"/>
      <c r="BC19" s="1"/>
      <c r="BD19" s="2"/>
      <c r="BE19" s="1"/>
      <c r="BF19" s="2"/>
      <c r="BG19" s="1"/>
      <c r="BH19" s="2"/>
      <c r="BI19" s="1"/>
      <c r="BJ19" s="2"/>
      <c r="BK19" s="1"/>
      <c r="BL19" s="2"/>
      <c r="BM19" s="1"/>
      <c r="BN19" s="2"/>
      <c r="BO19" s="1"/>
      <c r="BP19" s="2"/>
      <c r="BQ19" s="1"/>
      <c r="BR19" s="2"/>
      <c r="BS19" s="1"/>
      <c r="BT19" s="2"/>
      <c r="BU19" s="1"/>
      <c r="BV19" s="2"/>
      <c r="BW19" s="1"/>
      <c r="BX19" s="2"/>
      <c r="BY19" s="48">
        <f t="shared" si="30"/>
        <v>-20</v>
      </c>
      <c r="BZ19" s="49">
        <f t="shared" si="31"/>
        <v>47.125</v>
      </c>
      <c r="CB19" s="51">
        <f t="shared" si="8"/>
        <v>37408</v>
      </c>
      <c r="CC19" s="50">
        <f t="shared" si="32"/>
        <v>20</v>
      </c>
      <c r="CD19" s="52">
        <f t="shared" si="19"/>
        <v>400</v>
      </c>
      <c r="CE19" s="50">
        <f t="shared" si="20"/>
        <v>320</v>
      </c>
      <c r="CF19" s="58">
        <f t="shared" si="21"/>
        <v>80</v>
      </c>
      <c r="CG19" s="50">
        <f>VLOOKUP(A19,Interest!$X$8:$AC$367,6)</f>
        <v>0.98315533794140342</v>
      </c>
      <c r="CH19" s="53">
        <f t="shared" si="9"/>
        <v>-7865.2427035312285</v>
      </c>
      <c r="CI19" s="53">
        <f t="shared" si="10"/>
        <v>0</v>
      </c>
      <c r="CJ19" s="53">
        <f t="shared" si="11"/>
        <v>0</v>
      </c>
      <c r="CK19" s="53">
        <f t="shared" si="12"/>
        <v>0</v>
      </c>
      <c r="CL19" s="25">
        <f t="shared" si="13"/>
        <v>8000</v>
      </c>
      <c r="CM19" s="213"/>
      <c r="CN19" s="58"/>
      <c r="CO19" s="213"/>
      <c r="DI19" s="25">
        <f t="shared" si="22"/>
        <v>5</v>
      </c>
      <c r="DJ19" s="54">
        <f>[4]EnergyCurve!$D41</f>
        <v>37408</v>
      </c>
      <c r="DK19" s="30">
        <f t="shared" si="14"/>
        <v>25</v>
      </c>
      <c r="DL19" s="30">
        <f t="shared" si="15"/>
        <v>20</v>
      </c>
      <c r="DM19" s="233">
        <v>37073</v>
      </c>
      <c r="DN19" s="154">
        <v>21</v>
      </c>
      <c r="DO19" s="155">
        <v>4</v>
      </c>
      <c r="DP19" s="155">
        <v>5</v>
      </c>
      <c r="DQ19" s="155">
        <v>1</v>
      </c>
      <c r="DR19" s="154">
        <v>31</v>
      </c>
      <c r="DS19" s="55"/>
      <c r="DT19" s="55"/>
      <c r="DU19" s="233">
        <v>37073</v>
      </c>
      <c r="DV19" s="154">
        <v>21</v>
      </c>
      <c r="DW19" s="155">
        <v>4</v>
      </c>
      <c r="DX19" s="155">
        <v>5</v>
      </c>
      <c r="DY19" s="155">
        <v>1</v>
      </c>
      <c r="DZ19" s="154">
        <v>31</v>
      </c>
      <c r="EA19" s="55"/>
      <c r="EB19" s="55"/>
      <c r="EQ19" s="54"/>
      <c r="ER19" s="190"/>
      <c r="ES19" s="167"/>
      <c r="ET19" s="167"/>
    </row>
    <row r="20" spans="1:150" ht="18.75" thickBot="1" x14ac:dyDescent="0.3">
      <c r="A20" s="98">
        <f>[4]EnergyCurve!$D42</f>
        <v>37438</v>
      </c>
      <c r="B20" s="99">
        <f>[4]EnergyCurve!$O42+[4]EnergyCurve!$Q42</f>
        <v>158260.427734375</v>
      </c>
      <c r="C20" s="90">
        <f t="shared" si="0"/>
        <v>387.7591717052328</v>
      </c>
      <c r="D20" s="89">
        <f t="shared" si="1"/>
        <v>-20</v>
      </c>
      <c r="E20" s="90">
        <f t="shared" si="2"/>
        <v>150097.60713423809</v>
      </c>
      <c r="F20" s="117">
        <f t="shared" si="3"/>
        <v>367.7591717052328</v>
      </c>
      <c r="G20" s="91">
        <f>([4]EnergyCurve!$E42*CE20+[4]EnergyCurve!$W42*CF20)/CD20</f>
        <v>51.634941394512467</v>
      </c>
      <c r="H20" s="91">
        <f t="shared" si="16"/>
        <v>-1.1971342409350996</v>
      </c>
      <c r="I20" s="121">
        <f>([4]EnergyCurve!$G42*CE20+[4]EnergyCurve!$Y42*CF20)/CD20</f>
        <v>50.437807153577367</v>
      </c>
      <c r="J20" s="99">
        <f t="shared" si="17"/>
        <v>-189458.97702585519</v>
      </c>
      <c r="K20" s="92">
        <f t="shared" si="4"/>
        <v>-27041.850477502252</v>
      </c>
      <c r="L20" s="92">
        <f t="shared" si="5"/>
        <v>-216500.82750335743</v>
      </c>
      <c r="M20"/>
      <c r="N20" s="78">
        <f t="shared" si="27"/>
        <v>37438</v>
      </c>
      <c r="O20" s="114">
        <v>33</v>
      </c>
      <c r="P20" s="114">
        <v>35</v>
      </c>
      <c r="Q20" s="105">
        <f t="shared" si="23"/>
        <v>-17.634941394512467</v>
      </c>
      <c r="R20" s="374"/>
      <c r="S20" s="178">
        <f t="shared" si="6"/>
        <v>50.437807153577367</v>
      </c>
      <c r="T20" s="46">
        <f>IF(MONTH(TradeSum!$B$2)&gt;8,YEAR(TradeSum!$B$2)+1,YEAR(TradeSum!$B$2))</f>
        <v>2002</v>
      </c>
      <c r="U20" s="45"/>
      <c r="V20" s="126" t="str">
        <f>"Bal "&amp;T20</f>
        <v>Bal 2002</v>
      </c>
      <c r="W20" s="84">
        <f t="array" ref="W20">SUM(IF((YEAR($A$12:$A$47)=T20),$I$12:$I$47*$DK$12:$DK$47))/SUM(IF((YEAR($A$12:$A$47)=T20),$DK$12:$DK$47))</f>
        <v>57.512102257146779</v>
      </c>
      <c r="X20" s="124">
        <f t="array" ref="X20">AVERAGE(IF((YEAR($A$12:$A$47)=T20),$I$12:$I$47))</f>
        <v>57.560413578944967</v>
      </c>
      <c r="Y20" s="134">
        <f t="shared" si="26"/>
        <v>-4.5600979170954759</v>
      </c>
      <c r="Z20" s="134">
        <f t="shared" si="28"/>
        <v>-9.2684033763504203E-2</v>
      </c>
      <c r="AA20" s="134">
        <f t="shared" si="33"/>
        <v>6.6738816632964557</v>
      </c>
      <c r="AB20" s="134">
        <f t="shared" si="29"/>
        <v>-2.0803217633088309</v>
      </c>
      <c r="AC20" s="134">
        <f t="shared" si="34"/>
        <v>6.7883473670962431</v>
      </c>
      <c r="AD20" s="134">
        <f>W20-$W$17</f>
        <v>10.330364156997042</v>
      </c>
      <c r="AE20" s="134">
        <f>W20-$W$18</f>
        <v>9.3693326429652402</v>
      </c>
      <c r="AF20" s="134">
        <f>W20-$W$19</f>
        <v>6.0803754058676844</v>
      </c>
      <c r="AG20" s="130">
        <v>0</v>
      </c>
      <c r="AH20" s="135"/>
      <c r="AI20" s="131"/>
      <c r="AJ20" s="47">
        <f t="shared" si="7"/>
        <v>37438</v>
      </c>
      <c r="AK20" s="1">
        <v>-5</v>
      </c>
      <c r="AL20" s="2">
        <v>47.5</v>
      </c>
      <c r="AM20" s="1">
        <v>-15</v>
      </c>
      <c r="AN20" s="2">
        <v>47</v>
      </c>
      <c r="AO20" s="1"/>
      <c r="AP20" s="2"/>
      <c r="AQ20" s="1"/>
      <c r="AR20" s="2"/>
      <c r="AS20" s="1"/>
      <c r="AT20" s="2"/>
      <c r="AU20" s="1"/>
      <c r="AV20" s="2"/>
      <c r="AW20" s="1"/>
      <c r="AX20" s="2"/>
      <c r="AY20" s="1"/>
      <c r="AZ20" s="2"/>
      <c r="BA20" s="1"/>
      <c r="BB20" s="2"/>
      <c r="BC20" s="1"/>
      <c r="BD20" s="2"/>
      <c r="BE20" s="1"/>
      <c r="BF20" s="2"/>
      <c r="BG20" s="1"/>
      <c r="BH20" s="2"/>
      <c r="BI20" s="1"/>
      <c r="BJ20" s="2"/>
      <c r="BK20" s="1"/>
      <c r="BL20" s="2"/>
      <c r="BM20" s="1"/>
      <c r="BN20" s="2"/>
      <c r="BO20" s="1"/>
      <c r="BP20" s="2"/>
      <c r="BQ20" s="1"/>
      <c r="BR20" s="2"/>
      <c r="BS20" s="1"/>
      <c r="BT20" s="2"/>
      <c r="BU20" s="1"/>
      <c r="BV20" s="2"/>
      <c r="BW20" s="1"/>
      <c r="BX20" s="2"/>
      <c r="BY20" s="48">
        <f t="shared" si="30"/>
        <v>-20</v>
      </c>
      <c r="BZ20" s="49">
        <f t="shared" si="31"/>
        <v>47.125</v>
      </c>
      <c r="CB20" s="51">
        <f t="shared" si="8"/>
        <v>37438</v>
      </c>
      <c r="CC20" s="50">
        <f t="shared" si="32"/>
        <v>20</v>
      </c>
      <c r="CD20" s="52">
        <f t="shared" si="19"/>
        <v>416</v>
      </c>
      <c r="CE20" s="50">
        <f t="shared" si="20"/>
        <v>352</v>
      </c>
      <c r="CF20" s="58">
        <f t="shared" si="21"/>
        <v>64</v>
      </c>
      <c r="CG20" s="50">
        <f>VLOOKUP(A20,Interest!$X$8:$AC$367,6)</f>
        <v>0.98110824520876327</v>
      </c>
      <c r="CH20" s="53">
        <f t="shared" si="9"/>
        <v>-8162.8206001369108</v>
      </c>
      <c r="CI20" s="53">
        <f t="shared" si="10"/>
        <v>0</v>
      </c>
      <c r="CJ20" s="53">
        <f t="shared" si="11"/>
        <v>0</v>
      </c>
      <c r="CK20" s="53">
        <f t="shared" si="12"/>
        <v>0</v>
      </c>
      <c r="CL20" s="25">
        <f t="shared" si="13"/>
        <v>8320</v>
      </c>
      <c r="CM20" s="213"/>
      <c r="CN20" s="58"/>
      <c r="CO20" s="213"/>
      <c r="DI20" s="25">
        <f t="shared" si="22"/>
        <v>4</v>
      </c>
      <c r="DJ20" s="54">
        <f>[4]EnergyCurve!$D42</f>
        <v>37438</v>
      </c>
      <c r="DK20" s="30">
        <f t="shared" si="14"/>
        <v>26</v>
      </c>
      <c r="DL20" s="30">
        <f t="shared" si="15"/>
        <v>22</v>
      </c>
      <c r="DM20" s="233">
        <v>37104</v>
      </c>
      <c r="DN20" s="154">
        <v>22</v>
      </c>
      <c r="DO20" s="155">
        <v>4</v>
      </c>
      <c r="DP20" s="155">
        <v>4</v>
      </c>
      <c r="DQ20" s="155">
        <v>1</v>
      </c>
      <c r="DR20" s="154">
        <v>31</v>
      </c>
      <c r="DS20" s="55"/>
      <c r="DT20" s="55"/>
      <c r="DU20" s="233">
        <v>37104</v>
      </c>
      <c r="DV20" s="154">
        <v>23</v>
      </c>
      <c r="DW20" s="155">
        <v>4</v>
      </c>
      <c r="DX20" s="155">
        <v>4</v>
      </c>
      <c r="DY20" s="155">
        <v>0</v>
      </c>
      <c r="DZ20" s="154">
        <v>31</v>
      </c>
      <c r="EA20" s="55"/>
      <c r="EB20" s="55"/>
      <c r="EQ20" s="54"/>
      <c r="ER20" s="190"/>
      <c r="ES20" s="167"/>
      <c r="ET20" s="167"/>
    </row>
    <row r="21" spans="1:150" ht="18.75" thickBot="1" x14ac:dyDescent="0.3">
      <c r="A21" s="100">
        <f>[4]EnergyCurve!$D43</f>
        <v>37469</v>
      </c>
      <c r="B21" s="101">
        <f>[4]EnergyCurve!$O43+[4]EnergyCurve!$Q43</f>
        <v>164915.052734375</v>
      </c>
      <c r="C21" s="86">
        <f t="shared" si="0"/>
        <v>389.96565602698502</v>
      </c>
      <c r="D21" s="86">
        <f t="shared" si="1"/>
        <v>-20</v>
      </c>
      <c r="E21" s="85">
        <f t="shared" si="2"/>
        <v>156457.1257253892</v>
      </c>
      <c r="F21" s="118">
        <f t="shared" si="3"/>
        <v>369.96565602698502</v>
      </c>
      <c r="G21" s="87">
        <f>([4]EnergyCurve!$E43*CE21+[4]EnergyCurve!$W43*CF21)/CD21</f>
        <v>52.311107211642792</v>
      </c>
      <c r="H21" s="91">
        <f t="shared" si="16"/>
        <v>-1.2869325333853112</v>
      </c>
      <c r="I21" s="82">
        <f>([4]EnergyCurve!$G43*CE21+[4]EnergyCurve!$Y43*CF21)/CD21</f>
        <v>51.024174678257481</v>
      </c>
      <c r="J21" s="85">
        <f t="shared" si="17"/>
        <v>-212234.5466088214</v>
      </c>
      <c r="K21" s="88">
        <f t="shared" si="4"/>
        <v>-32978.934823987431</v>
      </c>
      <c r="L21" s="88">
        <f t="shared" si="5"/>
        <v>-245213.48143280883</v>
      </c>
      <c r="M21"/>
      <c r="N21" s="78">
        <f t="shared" si="27"/>
        <v>37469</v>
      </c>
      <c r="O21" s="114">
        <v>27</v>
      </c>
      <c r="P21" s="114">
        <v>28</v>
      </c>
      <c r="Q21" s="105">
        <f t="shared" si="23"/>
        <v>-24.811107211642792</v>
      </c>
      <c r="R21" s="374"/>
      <c r="S21" s="178">
        <f t="shared" si="6"/>
        <v>51.024174678257481</v>
      </c>
      <c r="T21" s="46">
        <f>T20+1</f>
        <v>2003</v>
      </c>
      <c r="U21" s="45"/>
      <c r="V21" s="127">
        <f>T21</f>
        <v>2003</v>
      </c>
      <c r="W21" s="84">
        <f t="array" ref="W21">SUM(IF((YEAR($A$12:$A$47)=T21),$I$12:$I$47*$DK$12:$DK$47))/SUM(IF((YEAR($A$12:$A$47)=T21),$DK$12:$DK$47))</f>
        <v>49.365587730279607</v>
      </c>
      <c r="X21" s="124">
        <f t="array" ref="X21">AVERAGE(IF((YEAR($A$12:$A$47)=T21),$I$12:$I$47))</f>
        <v>49.381684156369339</v>
      </c>
      <c r="Y21" s="132">
        <f t="shared" si="26"/>
        <v>-12.706612443962648</v>
      </c>
      <c r="Z21" s="132">
        <f>W21-$W$13</f>
        <v>-8.2391985606306761</v>
      </c>
      <c r="AA21" s="132">
        <f t="shared" si="33"/>
        <v>-1.4726328635707162</v>
      </c>
      <c r="AB21" s="132">
        <f t="shared" si="29"/>
        <v>-10.226836290176003</v>
      </c>
      <c r="AC21" s="132">
        <f t="shared" si="34"/>
        <v>-1.3581671597709288</v>
      </c>
      <c r="AD21" s="132">
        <f>W21-$W$17</f>
        <v>2.1838496301298704</v>
      </c>
      <c r="AE21" s="132">
        <f>W21-$W$18</f>
        <v>1.2228181160980682</v>
      </c>
      <c r="AF21" s="132">
        <f>W21-$W$19</f>
        <v>-2.0661391209994875</v>
      </c>
      <c r="AG21" s="132">
        <f>W21-$W$20</f>
        <v>-8.1465145268671719</v>
      </c>
      <c r="AH21" s="133">
        <v>0</v>
      </c>
      <c r="AI21" s="135"/>
      <c r="AJ21" s="47">
        <f t="shared" si="7"/>
        <v>37469</v>
      </c>
      <c r="AK21" s="1">
        <v>-5</v>
      </c>
      <c r="AL21" s="2">
        <v>47.5</v>
      </c>
      <c r="AM21" s="1">
        <v>-15</v>
      </c>
      <c r="AN21" s="2">
        <v>47</v>
      </c>
      <c r="AO21" s="1"/>
      <c r="AP21" s="2"/>
      <c r="AQ21" s="1"/>
      <c r="AR21" s="2"/>
      <c r="AS21" s="1"/>
      <c r="AT21" s="2"/>
      <c r="AU21" s="1"/>
      <c r="AV21" s="2"/>
      <c r="AW21" s="1"/>
      <c r="AX21" s="2"/>
      <c r="AY21" s="1"/>
      <c r="AZ21" s="2"/>
      <c r="BA21" s="1"/>
      <c r="BB21" s="2"/>
      <c r="BC21" s="1"/>
      <c r="BD21" s="2"/>
      <c r="BE21" s="1"/>
      <c r="BF21" s="2"/>
      <c r="BG21" s="1"/>
      <c r="BH21" s="2"/>
      <c r="BI21" s="1"/>
      <c r="BJ21" s="2"/>
      <c r="BK21" s="1"/>
      <c r="BL21" s="2"/>
      <c r="BM21" s="1"/>
      <c r="BN21" s="2"/>
      <c r="BO21" s="1"/>
      <c r="BP21" s="2"/>
      <c r="BQ21" s="1"/>
      <c r="BR21" s="2"/>
      <c r="BS21" s="1"/>
      <c r="BT21" s="2"/>
      <c r="BU21" s="1"/>
      <c r="BV21" s="2"/>
      <c r="BW21" s="1"/>
      <c r="BX21" s="2"/>
      <c r="BY21" s="48">
        <f t="shared" si="30"/>
        <v>-20</v>
      </c>
      <c r="BZ21" s="49">
        <f t="shared" si="31"/>
        <v>47.125</v>
      </c>
      <c r="CB21" s="51">
        <f t="shared" si="8"/>
        <v>37469</v>
      </c>
      <c r="CC21" s="50">
        <f t="shared" si="32"/>
        <v>20</v>
      </c>
      <c r="CD21" s="52">
        <f t="shared" si="19"/>
        <v>432</v>
      </c>
      <c r="CE21" s="50">
        <f t="shared" si="20"/>
        <v>352</v>
      </c>
      <c r="CF21" s="58">
        <f t="shared" si="21"/>
        <v>80</v>
      </c>
      <c r="CG21" s="50">
        <f>VLOOKUP(A21,Interest!$X$8:$AC$367,6)</f>
        <v>0.97892673715113343</v>
      </c>
      <c r="CH21" s="53">
        <f t="shared" si="9"/>
        <v>-8457.9270089858037</v>
      </c>
      <c r="CI21" s="53">
        <f t="shared" si="10"/>
        <v>0</v>
      </c>
      <c r="CJ21" s="53">
        <f t="shared" si="11"/>
        <v>0</v>
      </c>
      <c r="CK21" s="53">
        <f t="shared" si="12"/>
        <v>0</v>
      </c>
      <c r="CL21" s="25">
        <f t="shared" si="13"/>
        <v>8640</v>
      </c>
      <c r="CM21" s="213"/>
      <c r="CN21" s="58"/>
      <c r="CO21" s="213"/>
      <c r="DI21" s="25">
        <f t="shared" si="22"/>
        <v>5</v>
      </c>
      <c r="DJ21" s="54">
        <f>[4]EnergyCurve!$D43</f>
        <v>37469</v>
      </c>
      <c r="DK21" s="30">
        <f t="shared" si="14"/>
        <v>27</v>
      </c>
      <c r="DL21" s="30">
        <f t="shared" si="15"/>
        <v>22</v>
      </c>
      <c r="DM21" s="233">
        <v>37135</v>
      </c>
      <c r="DN21" s="154">
        <v>19</v>
      </c>
      <c r="DO21" s="155">
        <v>5</v>
      </c>
      <c r="DP21" s="155">
        <v>5</v>
      </c>
      <c r="DQ21" s="155">
        <v>1</v>
      </c>
      <c r="DR21" s="154">
        <v>30</v>
      </c>
      <c r="DS21" s="55"/>
      <c r="DT21" s="55"/>
      <c r="DU21" s="233">
        <v>37135</v>
      </c>
      <c r="DV21" s="154">
        <v>19</v>
      </c>
      <c r="DW21" s="155">
        <v>5</v>
      </c>
      <c r="DX21" s="155">
        <v>5</v>
      </c>
      <c r="DY21" s="155">
        <v>1</v>
      </c>
      <c r="DZ21" s="154">
        <v>30</v>
      </c>
      <c r="EA21" s="55"/>
      <c r="EB21" s="55"/>
      <c r="EQ21" s="54"/>
      <c r="ER21" s="190"/>
      <c r="ES21" s="167"/>
      <c r="ET21" s="167"/>
    </row>
    <row r="22" spans="1:150" ht="18.75" thickBot="1" x14ac:dyDescent="0.3">
      <c r="A22" s="98">
        <f>[4]EnergyCurve!$D44</f>
        <v>37500</v>
      </c>
      <c r="B22" s="99">
        <f>[4]EnergyCurve!$O44+[4]EnergyCurve!$Q44</f>
        <v>146225.4921875</v>
      </c>
      <c r="C22" s="90">
        <f t="shared" si="0"/>
        <v>389.84427769971404</v>
      </c>
      <c r="D22" s="89">
        <f t="shared" si="1"/>
        <v>-20</v>
      </c>
      <c r="E22" s="90">
        <f t="shared" si="2"/>
        <v>138723.75364459731</v>
      </c>
      <c r="F22" s="117">
        <f t="shared" si="3"/>
        <v>369.84427769971404</v>
      </c>
      <c r="G22" s="91">
        <f>([4]EnergyCurve!$E44*CE22+[4]EnergyCurve!$W44*CF22)/CD22</f>
        <v>52.349845886230469</v>
      </c>
      <c r="H22" s="91">
        <f t="shared" si="16"/>
        <v>-1.2870424103758182</v>
      </c>
      <c r="I22" s="121">
        <f>([4]EnergyCurve!$G44*CE22+[4]EnergyCurve!$Y44*CF22)/CD22</f>
        <v>51.062803475854651</v>
      </c>
      <c r="J22" s="99">
        <f t="shared" si="17"/>
        <v>-188198.40992339037</v>
      </c>
      <c r="K22" s="92">
        <f t="shared" si="4"/>
        <v>-29540.372109194966</v>
      </c>
      <c r="L22" s="92">
        <f t="shared" si="5"/>
        <v>-217738.78203258532</v>
      </c>
      <c r="M22"/>
      <c r="N22" s="78">
        <f t="shared" si="27"/>
        <v>37500</v>
      </c>
      <c r="O22" s="114">
        <v>29</v>
      </c>
      <c r="P22" s="114">
        <v>30</v>
      </c>
      <c r="Q22" s="105">
        <f t="shared" si="23"/>
        <v>-22.849845886230469</v>
      </c>
      <c r="R22" s="374"/>
      <c r="S22" s="178">
        <f t="shared" si="6"/>
        <v>51.062803475854651</v>
      </c>
      <c r="T22" s="46">
        <f>T21+1</f>
        <v>2004</v>
      </c>
      <c r="U22" s="45"/>
      <c r="V22" s="128">
        <f>T22</f>
        <v>2004</v>
      </c>
      <c r="W22" s="113">
        <f t="array" ref="W22">SUM(IF((YEAR($A$12:$A$50)=T22),$I$12:$I$50*$DK$12:$DK$50))/SUM(IF((YEAR($A$12:$A$50)=T22),$DK$12:$DK$50))</f>
        <v>47.302692903622351</v>
      </c>
      <c r="X22" s="129">
        <f t="array" ref="X22">AVERAGE(IF((YEAR($A$12:$A$50)=T22),$I$12:$I$50))</f>
        <v>47.310187012431818</v>
      </c>
      <c r="Y22" s="136">
        <f t="shared" si="26"/>
        <v>-14.769507270619904</v>
      </c>
      <c r="Z22" s="136">
        <f>W22-$W$13</f>
        <v>-10.302093387287933</v>
      </c>
      <c r="AA22" s="136">
        <f t="shared" si="33"/>
        <v>-3.5355276902279726</v>
      </c>
      <c r="AB22" s="136">
        <f t="shared" si="29"/>
        <v>-12.289731116833259</v>
      </c>
      <c r="AC22" s="136">
        <f t="shared" si="34"/>
        <v>-3.4210619864281853</v>
      </c>
      <c r="AD22" s="136">
        <f>W22-$W$17</f>
        <v>0.120954803472614</v>
      </c>
      <c r="AE22" s="136">
        <f>W22-$W$18</f>
        <v>-0.8400767105591882</v>
      </c>
      <c r="AF22" s="136">
        <f>W22-$W$19</f>
        <v>-4.1290339476567439</v>
      </c>
      <c r="AG22" s="136">
        <f>W22-$W$20</f>
        <v>-10.209409353524428</v>
      </c>
      <c r="AH22" s="136">
        <f>W22-$W$21</f>
        <v>-2.0628948266572564</v>
      </c>
      <c r="AI22" s="137">
        <v>0</v>
      </c>
      <c r="AJ22" s="47">
        <f t="shared" si="7"/>
        <v>37500</v>
      </c>
      <c r="AK22" s="1">
        <v>-5</v>
      </c>
      <c r="AL22" s="2">
        <v>47.5</v>
      </c>
      <c r="AM22" s="1">
        <v>-15</v>
      </c>
      <c r="AN22" s="2">
        <v>47</v>
      </c>
      <c r="AO22" s="1"/>
      <c r="AP22" s="2"/>
      <c r="AQ22" s="1"/>
      <c r="AR22" s="2"/>
      <c r="AS22" s="1"/>
      <c r="AT22" s="2"/>
      <c r="AU22" s="1"/>
      <c r="AV22" s="2"/>
      <c r="AW22" s="1"/>
      <c r="AX22" s="2"/>
      <c r="AY22" s="1"/>
      <c r="AZ22" s="2"/>
      <c r="BA22" s="1"/>
      <c r="BB22" s="2"/>
      <c r="BC22" s="1"/>
      <c r="BD22" s="2"/>
      <c r="BE22" s="1"/>
      <c r="BF22" s="2"/>
      <c r="BG22" s="1"/>
      <c r="BH22" s="2"/>
      <c r="BI22" s="1"/>
      <c r="BJ22" s="2"/>
      <c r="BK22" s="1"/>
      <c r="BL22" s="2"/>
      <c r="BM22" s="1"/>
      <c r="BN22" s="2"/>
      <c r="BO22" s="1"/>
      <c r="BP22" s="2"/>
      <c r="BQ22" s="1"/>
      <c r="BR22" s="2"/>
      <c r="BS22" s="1"/>
      <c r="BT22" s="2"/>
      <c r="BU22" s="1"/>
      <c r="BV22" s="2"/>
      <c r="BW22" s="1"/>
      <c r="BX22" s="2"/>
      <c r="BY22" s="48">
        <f t="shared" si="30"/>
        <v>-20</v>
      </c>
      <c r="BZ22" s="49">
        <f t="shared" si="31"/>
        <v>47.125</v>
      </c>
      <c r="CB22" s="51">
        <f t="shared" si="8"/>
        <v>37500</v>
      </c>
      <c r="CC22" s="50">
        <f t="shared" si="32"/>
        <v>20</v>
      </c>
      <c r="CD22" s="52">
        <f t="shared" si="19"/>
        <v>384</v>
      </c>
      <c r="CE22" s="50">
        <f t="shared" si="20"/>
        <v>320</v>
      </c>
      <c r="CF22" s="58">
        <f t="shared" si="21"/>
        <v>64</v>
      </c>
      <c r="CG22" s="50">
        <f>VLOOKUP(A22,Interest!$X$8:$AC$367,6)</f>
        <v>0.97678887277378623</v>
      </c>
      <c r="CH22" s="53">
        <f t="shared" si="9"/>
        <v>-7501.7385429026908</v>
      </c>
      <c r="CI22" s="53">
        <f t="shared" si="10"/>
        <v>0</v>
      </c>
      <c r="CJ22" s="53">
        <f t="shared" si="11"/>
        <v>0</v>
      </c>
      <c r="CK22" s="53">
        <f t="shared" si="12"/>
        <v>0</v>
      </c>
      <c r="CL22" s="25">
        <f t="shared" si="13"/>
        <v>7680</v>
      </c>
      <c r="CM22" s="213"/>
      <c r="CN22" s="58"/>
      <c r="CO22" s="213"/>
      <c r="DI22" s="25">
        <f t="shared" si="22"/>
        <v>4</v>
      </c>
      <c r="DJ22" s="54">
        <f>[4]EnergyCurve!$D44</f>
        <v>37500</v>
      </c>
      <c r="DK22" s="30">
        <f t="shared" si="14"/>
        <v>24</v>
      </c>
      <c r="DL22" s="30">
        <f t="shared" si="15"/>
        <v>20</v>
      </c>
      <c r="DM22" s="233">
        <v>37165</v>
      </c>
      <c r="DN22" s="154">
        <v>22</v>
      </c>
      <c r="DO22" s="155">
        <v>4</v>
      </c>
      <c r="DP22" s="155">
        <v>4</v>
      </c>
      <c r="DQ22" s="155">
        <v>1</v>
      </c>
      <c r="DR22" s="154">
        <v>31</v>
      </c>
      <c r="DS22" s="55"/>
      <c r="DT22" s="55"/>
      <c r="DU22" s="233">
        <v>37165</v>
      </c>
      <c r="DV22" s="154">
        <v>23</v>
      </c>
      <c r="DW22" s="155">
        <v>4</v>
      </c>
      <c r="DX22" s="155">
        <v>4</v>
      </c>
      <c r="DY22" s="155">
        <v>0</v>
      </c>
      <c r="DZ22" s="154">
        <v>31</v>
      </c>
      <c r="EA22" s="55"/>
      <c r="EB22" s="55"/>
      <c r="EQ22" s="54"/>
      <c r="ER22" s="190"/>
      <c r="ES22" s="167"/>
      <c r="ET22" s="167"/>
    </row>
    <row r="23" spans="1:150" ht="18" x14ac:dyDescent="0.25">
      <c r="A23" s="100">
        <f>[4]EnergyCurve!$D45</f>
        <v>37530</v>
      </c>
      <c r="B23" s="101">
        <f>[4]EnergyCurve!$O45+[4]EnergyCurve!$Q45</f>
        <v>48819.88232421875</v>
      </c>
      <c r="C23" s="86">
        <f t="shared" si="0"/>
        <v>115.97113882480747</v>
      </c>
      <c r="D23" s="86">
        <f t="shared" si="1"/>
        <v>-20</v>
      </c>
      <c r="E23" s="85">
        <f t="shared" si="2"/>
        <v>40400.566480822781</v>
      </c>
      <c r="F23" s="118">
        <f t="shared" si="3"/>
        <v>95.971138824807468</v>
      </c>
      <c r="G23" s="87">
        <f>([4]EnergyCurve!$E45*CE23+[4]EnergyCurve!$W45*CF23)/CD23</f>
        <v>56.732599470350479</v>
      </c>
      <c r="H23" s="91">
        <f t="shared" si="16"/>
        <v>-1.3787742108889134</v>
      </c>
      <c r="I23" s="82">
        <f>([4]EnergyCurve!$G45*CE23+[4]EnergyCurve!$Y45*CF23)/CD23</f>
        <v>55.353825259461566</v>
      </c>
      <c r="J23" s="85">
        <f t="shared" si="17"/>
        <v>-67311.594727264324</v>
      </c>
      <c r="K23" s="88">
        <f t="shared" si="4"/>
        <v>-69281.078879521709</v>
      </c>
      <c r="L23" s="88">
        <f t="shared" si="5"/>
        <v>-136592.67360678603</v>
      </c>
      <c r="M23"/>
      <c r="N23" s="78">
        <f t="shared" si="27"/>
        <v>37530</v>
      </c>
      <c r="O23" s="114">
        <v>37</v>
      </c>
      <c r="P23" s="114">
        <v>40</v>
      </c>
      <c r="Q23" s="105">
        <f t="shared" si="23"/>
        <v>-18.232599470350479</v>
      </c>
      <c r="R23" s="374"/>
      <c r="S23" s="178">
        <f t="shared" si="6"/>
        <v>55.353825259461566</v>
      </c>
      <c r="T23" s="46"/>
      <c r="U23" s="45"/>
      <c r="V23" s="244"/>
      <c r="W23" s="245"/>
      <c r="X23" s="69"/>
      <c r="Y23" s="69"/>
      <c r="Z23" s="69"/>
      <c r="AA23" s="69"/>
      <c r="AB23" s="69"/>
      <c r="AC23" s="69"/>
      <c r="AD23" s="69"/>
      <c r="AE23" s="69"/>
      <c r="AF23" s="69"/>
      <c r="AG23" s="69"/>
      <c r="AH23" s="69"/>
      <c r="AI23" s="69"/>
      <c r="AJ23" s="47">
        <f t="shared" si="7"/>
        <v>37530</v>
      </c>
      <c r="AK23" s="1">
        <v>-5</v>
      </c>
      <c r="AL23" s="2">
        <v>47.5</v>
      </c>
      <c r="AM23" s="1">
        <v>-15</v>
      </c>
      <c r="AN23" s="2">
        <v>47</v>
      </c>
      <c r="AO23" s="1"/>
      <c r="AP23" s="2"/>
      <c r="AQ23" s="1"/>
      <c r="AR23" s="2"/>
      <c r="AS23" s="1"/>
      <c r="AT23" s="2"/>
      <c r="AU23" s="1"/>
      <c r="AV23" s="2"/>
      <c r="AW23" s="1"/>
      <c r="AX23" s="2"/>
      <c r="AY23" s="1"/>
      <c r="AZ23" s="2"/>
      <c r="BA23" s="1"/>
      <c r="BB23" s="2"/>
      <c r="BC23" s="1"/>
      <c r="BD23" s="2"/>
      <c r="BE23" s="1"/>
      <c r="BF23" s="2"/>
      <c r="BG23" s="1"/>
      <c r="BH23" s="2"/>
      <c r="BI23" s="1"/>
      <c r="BJ23" s="2"/>
      <c r="BK23" s="1"/>
      <c r="BL23" s="2"/>
      <c r="BM23" s="1"/>
      <c r="BN23" s="2"/>
      <c r="BO23" s="1"/>
      <c r="BP23" s="2"/>
      <c r="BQ23" s="1"/>
      <c r="BR23" s="2"/>
      <c r="BS23" s="1"/>
      <c r="BT23" s="2"/>
      <c r="BU23" s="1"/>
      <c r="BV23" s="2"/>
      <c r="BW23" s="1"/>
      <c r="BX23" s="2"/>
      <c r="BY23" s="48">
        <f t="shared" si="30"/>
        <v>-20</v>
      </c>
      <c r="BZ23" s="49">
        <f t="shared" si="31"/>
        <v>47.125</v>
      </c>
      <c r="CB23" s="51">
        <f t="shared" si="8"/>
        <v>37530</v>
      </c>
      <c r="CC23" s="50">
        <f t="shared" si="32"/>
        <v>20</v>
      </c>
      <c r="CD23" s="52">
        <f t="shared" si="19"/>
        <v>432</v>
      </c>
      <c r="CE23" s="50">
        <f t="shared" si="20"/>
        <v>368</v>
      </c>
      <c r="CF23" s="58">
        <f t="shared" si="21"/>
        <v>64</v>
      </c>
      <c r="CG23" s="50">
        <f>VLOOKUP(A23,Interest!$X$8:$AC$367,6)</f>
        <v>0.97445785224490389</v>
      </c>
      <c r="CH23" s="53">
        <f t="shared" si="9"/>
        <v>-8419.3158433959688</v>
      </c>
      <c r="CI23" s="53">
        <f t="shared" si="10"/>
        <v>0</v>
      </c>
      <c r="CJ23" s="53">
        <f t="shared" si="11"/>
        <v>0</v>
      </c>
      <c r="CK23" s="53">
        <f t="shared" si="12"/>
        <v>0</v>
      </c>
      <c r="CL23" s="25">
        <f t="shared" si="13"/>
        <v>8640</v>
      </c>
      <c r="CM23" s="213"/>
      <c r="CN23" s="58"/>
      <c r="CO23" s="213"/>
      <c r="DI23" s="25">
        <f t="shared" si="22"/>
        <v>4</v>
      </c>
      <c r="DJ23" s="54">
        <f>[4]EnergyCurve!$D45</f>
        <v>37530</v>
      </c>
      <c r="DK23" s="30">
        <f t="shared" si="14"/>
        <v>27</v>
      </c>
      <c r="DL23" s="30">
        <f t="shared" si="15"/>
        <v>23</v>
      </c>
      <c r="DM23" s="233">
        <v>37196</v>
      </c>
      <c r="DN23" s="154">
        <v>21</v>
      </c>
      <c r="DO23" s="155">
        <v>4</v>
      </c>
      <c r="DP23" s="155">
        <v>4</v>
      </c>
      <c r="DQ23" s="155">
        <v>1</v>
      </c>
      <c r="DR23" s="154">
        <v>30</v>
      </c>
      <c r="DS23" s="55"/>
      <c r="DT23" s="55"/>
      <c r="DU23" s="233">
        <v>37196</v>
      </c>
      <c r="DV23" s="154">
        <v>21</v>
      </c>
      <c r="DW23" s="155">
        <v>4</v>
      </c>
      <c r="DX23" s="155">
        <v>4</v>
      </c>
      <c r="DY23" s="155">
        <v>1</v>
      </c>
      <c r="DZ23" s="154">
        <v>30</v>
      </c>
      <c r="EA23" s="55"/>
      <c r="EB23" s="55"/>
      <c r="EQ23" s="54"/>
      <c r="ER23" s="190"/>
      <c r="ES23" s="167"/>
      <c r="ET23" s="167"/>
    </row>
    <row r="24" spans="1:150" ht="18" x14ac:dyDescent="0.25">
      <c r="A24" s="98">
        <f>[4]EnergyCurve!$D46</f>
        <v>37561</v>
      </c>
      <c r="B24" s="99">
        <f>[4]EnergyCurve!$O46+[4]EnergyCurve!$Q46</f>
        <v>46267.265625</v>
      </c>
      <c r="C24" s="90">
        <f t="shared" si="0"/>
        <v>118.99803292178252</v>
      </c>
      <c r="D24" s="89">
        <f t="shared" si="1"/>
        <v>-20</v>
      </c>
      <c r="E24" s="90">
        <f t="shared" si="2"/>
        <v>38491.126055464178</v>
      </c>
      <c r="F24" s="117">
        <f t="shared" si="3"/>
        <v>98.998032921782524</v>
      </c>
      <c r="G24" s="91">
        <f>([4]EnergyCurve!$E46*CE24+[4]EnergyCurve!$W46*CF24)/CD24</f>
        <v>61.398011779785158</v>
      </c>
      <c r="H24" s="91">
        <f t="shared" si="16"/>
        <v>-1.5061252053117471</v>
      </c>
      <c r="I24" s="121">
        <f>([4]EnergyCurve!$G46*CE24+[4]EnergyCurve!$Y46*CF24)/CD24</f>
        <v>59.891886574473411</v>
      </c>
      <c r="J24" s="99">
        <f t="shared" si="17"/>
        <v>-69684.294938666266</v>
      </c>
      <c r="K24" s="92">
        <f t="shared" si="4"/>
        <v>-99277.091871538389</v>
      </c>
      <c r="L24" s="92">
        <f t="shared" si="5"/>
        <v>-168961.38681020465</v>
      </c>
      <c r="M24" s="164"/>
      <c r="N24" s="78">
        <f t="shared" si="27"/>
        <v>37561</v>
      </c>
      <c r="O24" s="114">
        <v>68</v>
      </c>
      <c r="P24" s="114">
        <v>70</v>
      </c>
      <c r="Q24" s="105">
        <f t="shared" si="23"/>
        <v>7.6019882202148423</v>
      </c>
      <c r="R24" s="373"/>
      <c r="S24" s="178">
        <f t="shared" si="6"/>
        <v>59.891886574473411</v>
      </c>
      <c r="T24" s="46"/>
      <c r="U24" s="45"/>
      <c r="V24" s="244"/>
      <c r="W24" s="245"/>
      <c r="X24" s="71"/>
      <c r="Y24" s="71"/>
      <c r="Z24" s="277"/>
      <c r="AA24" s="277"/>
      <c r="AB24" s="277"/>
      <c r="AC24" s="277"/>
      <c r="AD24" s="277"/>
      <c r="AE24" s="69"/>
      <c r="AF24" s="69"/>
      <c r="AG24" s="69"/>
      <c r="AH24" s="69"/>
      <c r="AI24" s="69"/>
      <c r="AJ24" s="47">
        <f t="shared" si="7"/>
        <v>37561</v>
      </c>
      <c r="AK24" s="1">
        <v>-5</v>
      </c>
      <c r="AL24" s="2">
        <v>47.5</v>
      </c>
      <c r="AM24" s="1">
        <v>-15</v>
      </c>
      <c r="AN24" s="2">
        <v>47</v>
      </c>
      <c r="AO24" s="1"/>
      <c r="AP24" s="2"/>
      <c r="AQ24" s="1"/>
      <c r="AR24" s="2"/>
      <c r="AS24" s="1"/>
      <c r="AT24" s="2"/>
      <c r="AU24" s="1"/>
      <c r="AV24" s="2"/>
      <c r="AW24" s="1"/>
      <c r="AX24" s="2"/>
      <c r="AY24" s="1"/>
      <c r="AZ24" s="2"/>
      <c r="BA24" s="1"/>
      <c r="BB24" s="2"/>
      <c r="BC24" s="1"/>
      <c r="BD24" s="2"/>
      <c r="BE24" s="1"/>
      <c r="BF24" s="2"/>
      <c r="BG24" s="1"/>
      <c r="BH24" s="2"/>
      <c r="BI24" s="1"/>
      <c r="BJ24" s="2"/>
      <c r="BK24" s="1"/>
      <c r="BL24" s="2"/>
      <c r="BM24" s="1"/>
      <c r="BN24" s="2"/>
      <c r="BO24" s="1"/>
      <c r="BP24" s="2"/>
      <c r="BQ24" s="1"/>
      <c r="BR24" s="2"/>
      <c r="BS24" s="1"/>
      <c r="BT24" s="2"/>
      <c r="BU24" s="1"/>
      <c r="BV24" s="2"/>
      <c r="BW24" s="1"/>
      <c r="BX24" s="2"/>
      <c r="BY24" s="48">
        <f t="shared" si="30"/>
        <v>-20</v>
      </c>
      <c r="BZ24" s="49">
        <f t="shared" si="31"/>
        <v>47.125</v>
      </c>
      <c r="CB24" s="51">
        <f t="shared" si="8"/>
        <v>37561</v>
      </c>
      <c r="CC24" s="50">
        <f t="shared" si="32"/>
        <v>20</v>
      </c>
      <c r="CD24" s="52">
        <f t="shared" si="19"/>
        <v>400</v>
      </c>
      <c r="CE24" s="50">
        <f t="shared" si="20"/>
        <v>320</v>
      </c>
      <c r="CF24" s="58">
        <f t="shared" si="21"/>
        <v>80</v>
      </c>
      <c r="CG24" s="50">
        <f>VLOOKUP(A24,Interest!$X$8:$AC$367,6)</f>
        <v>0.97201744619197827</v>
      </c>
      <c r="CH24" s="53">
        <f t="shared" si="9"/>
        <v>-7776.1395695358224</v>
      </c>
      <c r="CI24" s="53">
        <f t="shared" si="10"/>
        <v>0</v>
      </c>
      <c r="CJ24" s="53">
        <f t="shared" si="11"/>
        <v>0</v>
      </c>
      <c r="CK24" s="53">
        <f t="shared" si="12"/>
        <v>0</v>
      </c>
      <c r="CL24" s="25">
        <f t="shared" si="13"/>
        <v>8000</v>
      </c>
      <c r="CM24" s="213"/>
      <c r="CN24" s="58"/>
      <c r="CO24" s="213"/>
      <c r="DI24" s="25">
        <f t="shared" si="22"/>
        <v>5</v>
      </c>
      <c r="DJ24" s="54">
        <f>[4]EnergyCurve!$D46</f>
        <v>37561</v>
      </c>
      <c r="DK24" s="30">
        <f t="shared" si="14"/>
        <v>25</v>
      </c>
      <c r="DL24" s="30">
        <f t="shared" si="15"/>
        <v>20</v>
      </c>
      <c r="DM24" s="233">
        <v>37226</v>
      </c>
      <c r="DN24" s="154">
        <v>19</v>
      </c>
      <c r="DO24" s="155">
        <v>5</v>
      </c>
      <c r="DP24" s="155">
        <v>5</v>
      </c>
      <c r="DQ24" s="155">
        <v>2</v>
      </c>
      <c r="DR24" s="154">
        <v>31</v>
      </c>
      <c r="DS24" s="55"/>
      <c r="DT24" s="55"/>
      <c r="DU24" s="233">
        <v>37226</v>
      </c>
      <c r="DV24" s="154">
        <v>20</v>
      </c>
      <c r="DW24" s="155">
        <v>5</v>
      </c>
      <c r="DX24" s="155">
        <v>5</v>
      </c>
      <c r="DY24" s="155">
        <v>1</v>
      </c>
      <c r="DZ24" s="154">
        <v>31</v>
      </c>
      <c r="EA24" s="55"/>
      <c r="EB24" s="55"/>
      <c r="EQ24" s="54"/>
      <c r="ER24" s="190"/>
      <c r="ES24" s="167"/>
      <c r="ET24" s="167"/>
    </row>
    <row r="25" spans="1:150" ht="18" x14ac:dyDescent="0.25">
      <c r="A25" s="100">
        <f>[4]EnergyCurve!$D47</f>
        <v>37591</v>
      </c>
      <c r="B25" s="101">
        <f>[4]EnergyCurve!$O47+[4]EnergyCurve!$Q47</f>
        <v>46893.43017578125</v>
      </c>
      <c r="C25" s="86">
        <f t="shared" si="0"/>
        <v>120.92594821814548</v>
      </c>
      <c r="D25" s="86">
        <f t="shared" si="1"/>
        <v>-20</v>
      </c>
      <c r="E25" s="85">
        <f t="shared" si="2"/>
        <v>39137.703490688415</v>
      </c>
      <c r="F25" s="118">
        <f t="shared" si="3"/>
        <v>100.92594821814548</v>
      </c>
      <c r="G25" s="87">
        <f>([4]EnergyCurve!$E47*CE25+[4]EnergyCurve!$W47*CF25)/CD25</f>
        <v>65.59681121826172</v>
      </c>
      <c r="H25" s="91">
        <f t="shared" si="16"/>
        <v>-1.7261630899503544</v>
      </c>
      <c r="I25" s="82">
        <f>([4]EnergyCurve!$G47*CE25+[4]EnergyCurve!$Y47*CF25)/CD25</f>
        <v>63.870648128311366</v>
      </c>
      <c r="J25" s="85">
        <f t="shared" si="17"/>
        <v>-80945.708330597758</v>
      </c>
      <c r="K25" s="88">
        <f t="shared" si="4"/>
        <v>-129874.6700479193</v>
      </c>
      <c r="L25" s="88">
        <f t="shared" si="5"/>
        <v>-210820.37837851705</v>
      </c>
      <c r="M25" s="164"/>
      <c r="N25" s="78">
        <f t="shared" si="27"/>
        <v>37591</v>
      </c>
      <c r="O25" s="114">
        <v>127.5</v>
      </c>
      <c r="P25" s="114">
        <v>130</v>
      </c>
      <c r="Q25" s="105">
        <f t="shared" si="23"/>
        <v>63.15318878173828</v>
      </c>
      <c r="R25" s="373"/>
      <c r="S25" s="178">
        <f t="shared" si="6"/>
        <v>63.870648128311366</v>
      </c>
      <c r="T25" s="45"/>
      <c r="U25" s="45"/>
      <c r="V25" s="298"/>
      <c r="W25" s="282"/>
      <c r="X25" s="282"/>
      <c r="Y25" s="276"/>
      <c r="Z25" s="71"/>
      <c r="AA25" s="299"/>
      <c r="AB25" s="299"/>
      <c r="AC25" s="299"/>
      <c r="AD25" s="299"/>
      <c r="AE25" s="69"/>
      <c r="AF25" s="69"/>
      <c r="AG25" s="69"/>
      <c r="AH25" s="69"/>
      <c r="AI25" s="69"/>
      <c r="AJ25" s="47">
        <f t="shared" si="7"/>
        <v>37591</v>
      </c>
      <c r="AK25" s="1">
        <v>-5</v>
      </c>
      <c r="AL25" s="2">
        <v>47.5</v>
      </c>
      <c r="AM25" s="1">
        <v>-15</v>
      </c>
      <c r="AN25" s="2">
        <v>47</v>
      </c>
      <c r="AO25" s="1"/>
      <c r="AP25" s="2"/>
      <c r="AQ25" s="1"/>
      <c r="AR25" s="2"/>
      <c r="AS25" s="1"/>
      <c r="AT25" s="2"/>
      <c r="AU25" s="1"/>
      <c r="AV25" s="2"/>
      <c r="AW25" s="1"/>
      <c r="AX25" s="2"/>
      <c r="AY25" s="1"/>
      <c r="AZ25" s="2"/>
      <c r="BA25" s="1"/>
      <c r="BB25" s="2"/>
      <c r="BC25" s="1"/>
      <c r="BD25" s="2"/>
      <c r="BE25" s="1"/>
      <c r="BF25" s="2"/>
      <c r="BG25" s="1"/>
      <c r="BH25" s="2"/>
      <c r="BI25" s="1"/>
      <c r="BJ25" s="2"/>
      <c r="BK25" s="1"/>
      <c r="BL25" s="2"/>
      <c r="BM25" s="1"/>
      <c r="BN25" s="2"/>
      <c r="BO25" s="1"/>
      <c r="BP25" s="2"/>
      <c r="BQ25" s="1"/>
      <c r="BR25" s="2"/>
      <c r="BS25" s="1"/>
      <c r="BT25" s="2"/>
      <c r="BU25" s="1"/>
      <c r="BV25" s="2"/>
      <c r="BW25" s="1"/>
      <c r="BX25" s="2"/>
      <c r="BY25" s="48">
        <f t="shared" si="30"/>
        <v>-20</v>
      </c>
      <c r="BZ25" s="49">
        <f t="shared" si="31"/>
        <v>47.125</v>
      </c>
      <c r="CB25" s="51">
        <f t="shared" si="8"/>
        <v>37591</v>
      </c>
      <c r="CC25" s="50">
        <f t="shared" si="32"/>
        <v>20</v>
      </c>
      <c r="CD25" s="52">
        <f t="shared" si="19"/>
        <v>400</v>
      </c>
      <c r="CE25" s="50">
        <f t="shared" si="20"/>
        <v>336</v>
      </c>
      <c r="CF25" s="58">
        <f t="shared" si="21"/>
        <v>64</v>
      </c>
      <c r="CG25" s="50">
        <f>VLOOKUP(A25,Interest!$X$8:$AC$367,6)</f>
        <v>0.96946583563660405</v>
      </c>
      <c r="CH25" s="53">
        <f t="shared" si="9"/>
        <v>-7755.7266850928354</v>
      </c>
      <c r="CI25" s="53">
        <f t="shared" si="10"/>
        <v>0</v>
      </c>
      <c r="CJ25" s="53">
        <f t="shared" si="11"/>
        <v>0</v>
      </c>
      <c r="CK25" s="53">
        <f t="shared" si="12"/>
        <v>0</v>
      </c>
      <c r="CL25" s="25">
        <f t="shared" si="13"/>
        <v>8000</v>
      </c>
      <c r="CM25" s="213"/>
      <c r="CN25" s="58"/>
      <c r="CO25" s="213"/>
      <c r="DI25" s="25">
        <f t="shared" si="22"/>
        <v>4</v>
      </c>
      <c r="DJ25" s="54">
        <f>[4]EnergyCurve!$D47</f>
        <v>37591</v>
      </c>
      <c r="DK25" s="30">
        <f t="shared" si="14"/>
        <v>25</v>
      </c>
      <c r="DL25" s="30">
        <f t="shared" si="15"/>
        <v>21</v>
      </c>
      <c r="DM25" s="233">
        <v>37257</v>
      </c>
      <c r="DN25" s="154">
        <v>22</v>
      </c>
      <c r="DO25" s="155">
        <v>4</v>
      </c>
      <c r="DP25" s="155">
        <v>4</v>
      </c>
      <c r="DQ25" s="155">
        <v>1</v>
      </c>
      <c r="DR25" s="154">
        <v>31</v>
      </c>
      <c r="DS25" s="55"/>
      <c r="DT25" s="55"/>
      <c r="DU25" s="233">
        <v>37257</v>
      </c>
      <c r="DV25" s="154">
        <v>22</v>
      </c>
      <c r="DW25" s="155">
        <v>4</v>
      </c>
      <c r="DX25" s="155">
        <v>4</v>
      </c>
      <c r="DY25" s="155">
        <v>1</v>
      </c>
      <c r="DZ25" s="154">
        <v>31</v>
      </c>
      <c r="EA25" s="55"/>
      <c r="EB25" s="55"/>
      <c r="EQ25" s="54"/>
      <c r="ER25" s="190"/>
      <c r="ES25" s="167"/>
      <c r="ET25" s="167"/>
    </row>
    <row r="26" spans="1:150" ht="18" x14ac:dyDescent="0.25">
      <c r="A26" s="98">
        <f>[4]EnergyCurve!$D48</f>
        <v>37622</v>
      </c>
      <c r="B26" s="99">
        <f>[4]EnergyCurve!$O48+[4]EnergyCurve!$Q48</f>
        <v>242733.0078125</v>
      </c>
      <c r="C26" s="90">
        <f t="shared" si="0"/>
        <v>603.57871193771427</v>
      </c>
      <c r="D26" s="89">
        <f t="shared" si="1"/>
        <v>0</v>
      </c>
      <c r="E26" s="90">
        <f t="shared" si="2"/>
        <v>242733.0078125</v>
      </c>
      <c r="F26" s="117">
        <f t="shared" si="3"/>
        <v>603.57871193771427</v>
      </c>
      <c r="G26" s="91">
        <f>([4]EnergyCurve!$E48*CE26+[4]EnergyCurve!$W48*CF26)/CD26</f>
        <v>53.548643845778244</v>
      </c>
      <c r="H26" s="91">
        <f t="shared" si="16"/>
        <v>-1.354769957853776</v>
      </c>
      <c r="I26" s="121">
        <f>([4]EnergyCurve!$G48*CE26+[4]EnergyCurve!$Y48*CF26)/CD26</f>
        <v>52.193873887924468</v>
      </c>
      <c r="J26" s="99">
        <f t="shared" si="17"/>
        <v>-328847.38676386088</v>
      </c>
      <c r="K26" s="92">
        <f t="shared" si="4"/>
        <v>0</v>
      </c>
      <c r="L26" s="92">
        <f t="shared" si="5"/>
        <v>-328847.38676386088</v>
      </c>
      <c r="M26" s="164"/>
      <c r="N26" s="78">
        <f t="shared" si="27"/>
        <v>37622</v>
      </c>
      <c r="O26" s="114">
        <v>127.5</v>
      </c>
      <c r="P26" s="114">
        <v>130</v>
      </c>
      <c r="Q26" s="105">
        <f t="shared" si="23"/>
        <v>75.201356154221756</v>
      </c>
      <c r="R26" s="373"/>
      <c r="S26" s="178">
        <f t="shared" si="6"/>
        <v>52.193873887924468</v>
      </c>
      <c r="T26" s="45"/>
      <c r="U26" s="45"/>
      <c r="V26" s="298"/>
      <c r="W26" s="276"/>
      <c r="X26" s="276"/>
      <c r="Y26" s="300"/>
      <c r="Z26" s="301"/>
      <c r="AA26" s="302"/>
      <c r="AB26" s="303"/>
      <c r="AC26" s="303"/>
      <c r="AD26" s="303"/>
      <c r="AE26" s="69"/>
      <c r="AF26" s="69"/>
      <c r="AG26" s="69"/>
      <c r="AH26" s="69"/>
      <c r="AI26" s="69"/>
      <c r="AJ26" s="47">
        <f t="shared" si="7"/>
        <v>37622</v>
      </c>
      <c r="AK26" s="1"/>
      <c r="AL26" s="2"/>
      <c r="AM26" s="1"/>
      <c r="AN26" s="2"/>
      <c r="AO26" s="1"/>
      <c r="AP26" s="2"/>
      <c r="AQ26" s="1"/>
      <c r="AR26" s="2"/>
      <c r="AS26" s="1"/>
      <c r="AT26" s="2"/>
      <c r="AU26" s="1"/>
      <c r="AV26" s="2"/>
      <c r="AW26" s="1"/>
      <c r="AX26" s="2"/>
      <c r="AY26" s="1"/>
      <c r="AZ26" s="2"/>
      <c r="BA26" s="1"/>
      <c r="BB26" s="2"/>
      <c r="BC26" s="1"/>
      <c r="BD26" s="2"/>
      <c r="BE26" s="1"/>
      <c r="BF26" s="2"/>
      <c r="BG26" s="1"/>
      <c r="BH26" s="2"/>
      <c r="BI26" s="1"/>
      <c r="BJ26" s="2"/>
      <c r="BK26" s="1"/>
      <c r="BL26" s="2"/>
      <c r="BM26" s="1"/>
      <c r="BN26" s="2"/>
      <c r="BO26" s="1"/>
      <c r="BP26" s="2"/>
      <c r="BQ26" s="1"/>
      <c r="BR26" s="2"/>
      <c r="BS26" s="1"/>
      <c r="BT26" s="2"/>
      <c r="BU26" s="1"/>
      <c r="BV26" s="2"/>
      <c r="BW26" s="1"/>
      <c r="BX26" s="2"/>
      <c r="BY26" s="48">
        <f t="shared" si="30"/>
        <v>0</v>
      </c>
      <c r="BZ26" s="49">
        <f t="shared" si="31"/>
        <v>0</v>
      </c>
      <c r="CB26" s="51">
        <f t="shared" si="8"/>
        <v>37622</v>
      </c>
      <c r="CC26" s="50">
        <f t="shared" si="32"/>
        <v>0</v>
      </c>
      <c r="CD26" s="52">
        <f t="shared" si="19"/>
        <v>416</v>
      </c>
      <c r="CE26" s="50">
        <f t="shared" si="20"/>
        <v>352</v>
      </c>
      <c r="CF26" s="58">
        <f t="shared" si="21"/>
        <v>64</v>
      </c>
      <c r="CG26" s="50">
        <f>VLOOKUP(A26,Interest!$X$8:$AC$367,6)</f>
        <v>0.96672197958797379</v>
      </c>
      <c r="CH26" s="53">
        <f t="shared" si="9"/>
        <v>0</v>
      </c>
      <c r="CI26" s="53">
        <f t="shared" si="10"/>
        <v>0</v>
      </c>
      <c r="CJ26" s="53">
        <f t="shared" si="11"/>
        <v>0</v>
      </c>
      <c r="CK26" s="53">
        <f t="shared" si="12"/>
        <v>0</v>
      </c>
      <c r="CL26" s="25">
        <f t="shared" si="13"/>
        <v>0</v>
      </c>
      <c r="CM26" s="213"/>
      <c r="CN26" s="58"/>
      <c r="CO26" s="213"/>
      <c r="DI26" s="25">
        <f t="shared" si="22"/>
        <v>4</v>
      </c>
      <c r="DJ26" s="54">
        <f>[4]EnergyCurve!$D48</f>
        <v>37622</v>
      </c>
      <c r="DK26" s="30">
        <f t="shared" si="14"/>
        <v>26</v>
      </c>
      <c r="DL26" s="30">
        <f t="shared" si="15"/>
        <v>22</v>
      </c>
      <c r="DM26" s="233">
        <v>37288</v>
      </c>
      <c r="DN26" s="154">
        <v>19</v>
      </c>
      <c r="DO26" s="155">
        <v>4</v>
      </c>
      <c r="DP26" s="155">
        <v>4</v>
      </c>
      <c r="DQ26" s="155">
        <v>1</v>
      </c>
      <c r="DR26" s="154">
        <v>28</v>
      </c>
      <c r="DS26" s="55"/>
      <c r="DT26" s="55"/>
      <c r="DU26" s="233">
        <v>37288</v>
      </c>
      <c r="DV26" s="154">
        <v>20</v>
      </c>
      <c r="DW26" s="155">
        <v>4</v>
      </c>
      <c r="DX26" s="155">
        <v>4</v>
      </c>
      <c r="DY26" s="155">
        <v>0</v>
      </c>
      <c r="DZ26" s="154">
        <v>28</v>
      </c>
      <c r="EA26" s="55"/>
      <c r="EB26" s="55"/>
      <c r="EQ26" s="54"/>
      <c r="ER26" s="190"/>
      <c r="ES26" s="167"/>
      <c r="ET26" s="167"/>
    </row>
    <row r="27" spans="1:150" ht="18" x14ac:dyDescent="0.25">
      <c r="A27" s="100">
        <f>[4]EnergyCurve!$D49</f>
        <v>37653</v>
      </c>
      <c r="B27" s="101">
        <f>[4]EnergyCurve!$O49+[4]EnergyCurve!$Q49</f>
        <v>223342.76171875</v>
      </c>
      <c r="C27" s="86">
        <f t="shared" si="0"/>
        <v>603.34245697960228</v>
      </c>
      <c r="D27" s="86">
        <f t="shared" si="1"/>
        <v>0</v>
      </c>
      <c r="E27" s="85">
        <f t="shared" si="2"/>
        <v>223342.76171875</v>
      </c>
      <c r="F27" s="118">
        <f t="shared" si="3"/>
        <v>603.34245697960228</v>
      </c>
      <c r="G27" s="87">
        <f>([4]EnergyCurve!$E49*CE27+[4]EnergyCurve!$W49*CF27)/CD27</f>
        <v>52.22291692097982</v>
      </c>
      <c r="H27" s="91">
        <f t="shared" si="16"/>
        <v>-1.478052063020435</v>
      </c>
      <c r="I27" s="82">
        <f>([4]EnergyCurve!$G49*CE27+[4]EnergyCurve!$Y49*CF27)/CD27</f>
        <v>50.744864857959385</v>
      </c>
      <c r="J27" s="85">
        <f t="shared" si="17"/>
        <v>-330112.22971907986</v>
      </c>
      <c r="K27" s="88">
        <f t="shared" si="4"/>
        <v>0</v>
      </c>
      <c r="L27" s="88">
        <f t="shared" si="5"/>
        <v>-330112.22971907986</v>
      </c>
      <c r="M27" s="164"/>
      <c r="N27" s="78">
        <f t="shared" si="27"/>
        <v>37653</v>
      </c>
      <c r="O27" s="114">
        <v>34</v>
      </c>
      <c r="P27" s="114">
        <v>35</v>
      </c>
      <c r="Q27" s="105">
        <f t="shared" si="23"/>
        <v>-17.72291692097982</v>
      </c>
      <c r="R27" s="373"/>
      <c r="S27" s="178">
        <f t="shared" si="6"/>
        <v>50.744864857959385</v>
      </c>
      <c r="T27" s="46">
        <f>IF(MONTH(TradeSum!$B$2)&gt;=10,YEAR(TradeSum!$B$2)+1,YEAR(TradeSum!$B$2))</f>
        <v>2002</v>
      </c>
      <c r="U27" s="45">
        <f>IF(INT((MONTH(TradeSum!$B$2)-1)/3)+2=5,1,INT((MONTH(TradeSum!$B$2)-1)/3)+2)</f>
        <v>1</v>
      </c>
      <c r="V27" s="304"/>
      <c r="W27" s="304"/>
      <c r="X27" s="304"/>
      <c r="Y27" s="71"/>
      <c r="Z27" s="301"/>
      <c r="AA27" s="305"/>
      <c r="AB27" s="304"/>
      <c r="AC27" s="304"/>
      <c r="AD27" s="304"/>
      <c r="AE27" s="69"/>
      <c r="AF27" s="69"/>
      <c r="AG27" s="69"/>
      <c r="AH27" s="69"/>
      <c r="AI27" s="69"/>
      <c r="AJ27" s="47">
        <f t="shared" si="7"/>
        <v>37653</v>
      </c>
      <c r="AK27" s="1"/>
      <c r="AL27" s="2"/>
      <c r="AM27" s="1"/>
      <c r="AN27" s="2"/>
      <c r="AO27" s="1"/>
      <c r="AP27" s="2"/>
      <c r="AQ27" s="1"/>
      <c r="AR27" s="2"/>
      <c r="AS27" s="1"/>
      <c r="AT27" s="2"/>
      <c r="AU27" s="1"/>
      <c r="AV27" s="2"/>
      <c r="AW27" s="1"/>
      <c r="AX27" s="2"/>
      <c r="AY27" s="1"/>
      <c r="AZ27" s="2"/>
      <c r="BA27" s="1"/>
      <c r="BB27" s="2"/>
      <c r="BC27" s="1"/>
      <c r="BD27" s="2"/>
      <c r="BE27" s="1"/>
      <c r="BF27" s="2"/>
      <c r="BG27" s="1"/>
      <c r="BH27" s="2"/>
      <c r="BI27" s="1"/>
      <c r="BJ27" s="2"/>
      <c r="BK27" s="1"/>
      <c r="BL27" s="2"/>
      <c r="BM27" s="1"/>
      <c r="BN27" s="2"/>
      <c r="BO27" s="1"/>
      <c r="BP27" s="2"/>
      <c r="BQ27" s="1"/>
      <c r="BR27" s="2"/>
      <c r="BS27" s="1"/>
      <c r="BT27" s="2"/>
      <c r="BU27" s="1"/>
      <c r="BV27" s="2"/>
      <c r="BW27" s="1"/>
      <c r="BX27" s="2"/>
      <c r="BY27" s="48">
        <f t="shared" si="30"/>
        <v>0</v>
      </c>
      <c r="BZ27" s="49">
        <f t="shared" si="31"/>
        <v>0</v>
      </c>
      <c r="CB27" s="51">
        <f t="shared" si="8"/>
        <v>37653</v>
      </c>
      <c r="CC27" s="50">
        <f t="shared" si="32"/>
        <v>0</v>
      </c>
      <c r="CD27" s="52">
        <f t="shared" si="19"/>
        <v>384</v>
      </c>
      <c r="CE27" s="50">
        <f t="shared" si="20"/>
        <v>320</v>
      </c>
      <c r="CF27" s="58">
        <f t="shared" si="21"/>
        <v>64</v>
      </c>
      <c r="CG27" s="50">
        <f>VLOOKUP(A27,Interest!$X$8:$AC$367,6)</f>
        <v>0.96399941456284444</v>
      </c>
      <c r="CH27" s="53">
        <f t="shared" si="9"/>
        <v>0</v>
      </c>
      <c r="CI27" s="53">
        <f t="shared" si="10"/>
        <v>0</v>
      </c>
      <c r="CJ27" s="53">
        <f t="shared" si="11"/>
        <v>0</v>
      </c>
      <c r="CK27" s="53">
        <f t="shared" si="12"/>
        <v>0</v>
      </c>
      <c r="CL27" s="25">
        <f t="shared" si="13"/>
        <v>0</v>
      </c>
      <c r="CM27" s="213"/>
      <c r="CN27" s="58"/>
      <c r="CO27" s="213"/>
      <c r="DI27" s="25">
        <f t="shared" si="22"/>
        <v>4</v>
      </c>
      <c r="DJ27" s="54">
        <f>[4]EnergyCurve!$D49</f>
        <v>37653</v>
      </c>
      <c r="DK27" s="30">
        <f t="shared" si="14"/>
        <v>24</v>
      </c>
      <c r="DL27" s="30">
        <f t="shared" si="15"/>
        <v>20</v>
      </c>
      <c r="DM27" s="233">
        <v>37316</v>
      </c>
      <c r="DN27" s="154">
        <v>20</v>
      </c>
      <c r="DO27" s="155">
        <v>5</v>
      </c>
      <c r="DP27" s="155">
        <v>5</v>
      </c>
      <c r="DQ27" s="155">
        <v>1</v>
      </c>
      <c r="DR27" s="154">
        <v>31</v>
      </c>
      <c r="DS27" s="55"/>
      <c r="DT27" s="55"/>
      <c r="DU27" s="233">
        <v>37316</v>
      </c>
      <c r="DV27" s="154">
        <v>21</v>
      </c>
      <c r="DW27" s="155">
        <v>5</v>
      </c>
      <c r="DX27" s="155">
        <v>5</v>
      </c>
      <c r="DY27" s="155">
        <v>0</v>
      </c>
      <c r="DZ27" s="154">
        <v>31</v>
      </c>
      <c r="EA27" s="55"/>
      <c r="EB27" s="55"/>
      <c r="EQ27" s="54"/>
      <c r="ER27" s="190"/>
      <c r="ES27" s="167"/>
      <c r="ET27" s="167"/>
    </row>
    <row r="28" spans="1:150" ht="18" x14ac:dyDescent="0.25">
      <c r="A28" s="98">
        <f>[4]EnergyCurve!$D50</f>
        <v>37681</v>
      </c>
      <c r="B28" s="99">
        <f>[4]EnergyCurve!$O50+[4]EnergyCurve!$Q50</f>
        <v>241321.66796875</v>
      </c>
      <c r="C28" s="90">
        <f t="shared" si="0"/>
        <v>603.60500110086184</v>
      </c>
      <c r="D28" s="89">
        <f t="shared" si="1"/>
        <v>0</v>
      </c>
      <c r="E28" s="90">
        <f t="shared" si="2"/>
        <v>241321.66796875</v>
      </c>
      <c r="F28" s="117">
        <f t="shared" si="3"/>
        <v>603.60500110086184</v>
      </c>
      <c r="G28" s="91">
        <f>([4]EnergyCurve!$E50*CE28+[4]EnergyCurve!$W50*CF28)/CD28</f>
        <v>50.710417527418869</v>
      </c>
      <c r="H28" s="91">
        <f t="shared" si="16"/>
        <v>-1.47626775946582</v>
      </c>
      <c r="I28" s="121">
        <f>([4]EnergyCurve!$G50*CE28+[4]EnergyCurve!$Y50*CF28)/CD28</f>
        <v>49.234149767953049</v>
      </c>
      <c r="J28" s="99">
        <f t="shared" si="17"/>
        <v>-356255.39808278112</v>
      </c>
      <c r="K28" s="92">
        <f t="shared" si="4"/>
        <v>0</v>
      </c>
      <c r="L28" s="92">
        <f t="shared" si="5"/>
        <v>-356255.39808278112</v>
      </c>
      <c r="M28" s="164"/>
      <c r="N28" s="78">
        <f t="shared" si="27"/>
        <v>37681</v>
      </c>
      <c r="O28" s="114">
        <v>27.5</v>
      </c>
      <c r="P28" s="114">
        <v>29</v>
      </c>
      <c r="Q28" s="105">
        <f t="shared" si="23"/>
        <v>-22.460417527418869</v>
      </c>
      <c r="R28" s="373"/>
      <c r="S28" s="178">
        <f t="shared" si="6"/>
        <v>49.234149767953049</v>
      </c>
      <c r="T28" s="46">
        <f>IF(U27=4,T27+1,T27)</f>
        <v>2002</v>
      </c>
      <c r="U28" s="45">
        <f>IF(U27=4,1,U27+1)</f>
        <v>2</v>
      </c>
      <c r="V28" s="304"/>
      <c r="W28" s="304"/>
      <c r="X28" s="304"/>
      <c r="Y28" s="71"/>
      <c r="Z28" s="301"/>
      <c r="AA28" s="302"/>
      <c r="AB28" s="303"/>
      <c r="AC28" s="303"/>
      <c r="AD28" s="303"/>
      <c r="AE28" s="69"/>
      <c r="AF28" s="69"/>
      <c r="AG28" s="69"/>
      <c r="AH28" s="69"/>
      <c r="AI28" s="69"/>
      <c r="AJ28" s="47">
        <f t="shared" si="7"/>
        <v>37681</v>
      </c>
      <c r="AK28" s="1"/>
      <c r="AL28" s="2"/>
      <c r="AM28" s="1"/>
      <c r="AN28" s="2"/>
      <c r="AO28" s="1"/>
      <c r="AP28" s="2"/>
      <c r="AQ28" s="1"/>
      <c r="AR28" s="2"/>
      <c r="AS28" s="1"/>
      <c r="AT28" s="2"/>
      <c r="AU28" s="1"/>
      <c r="AV28" s="2"/>
      <c r="AW28" s="1"/>
      <c r="AX28" s="2"/>
      <c r="AY28" s="1"/>
      <c r="AZ28" s="2"/>
      <c r="BA28" s="1"/>
      <c r="BB28" s="2"/>
      <c r="BC28" s="1"/>
      <c r="BD28" s="2"/>
      <c r="BE28" s="1"/>
      <c r="BF28" s="2"/>
      <c r="BG28" s="1"/>
      <c r="BH28" s="2"/>
      <c r="BI28" s="1"/>
      <c r="BJ28" s="2"/>
      <c r="BK28" s="1"/>
      <c r="BL28" s="2"/>
      <c r="BM28" s="1"/>
      <c r="BN28" s="2"/>
      <c r="BO28" s="1"/>
      <c r="BP28" s="2"/>
      <c r="BQ28" s="1"/>
      <c r="BR28" s="2"/>
      <c r="BS28" s="1"/>
      <c r="BT28" s="2"/>
      <c r="BU28" s="1"/>
      <c r="BV28" s="2"/>
      <c r="BW28" s="1"/>
      <c r="BX28" s="2"/>
      <c r="BY28" s="48">
        <f t="shared" si="30"/>
        <v>0</v>
      </c>
      <c r="BZ28" s="49">
        <f t="shared" si="31"/>
        <v>0</v>
      </c>
      <c r="CB28" s="51">
        <f t="shared" si="8"/>
        <v>37681</v>
      </c>
      <c r="CC28" s="50">
        <f t="shared" si="32"/>
        <v>0</v>
      </c>
      <c r="CD28" s="52">
        <f t="shared" si="19"/>
        <v>416</v>
      </c>
      <c r="CE28" s="50">
        <f t="shared" si="20"/>
        <v>336</v>
      </c>
      <c r="CF28" s="58">
        <f t="shared" si="21"/>
        <v>80</v>
      </c>
      <c r="CG28" s="50">
        <f>VLOOKUP(A28,Interest!$X$8:$AC$367,6)</f>
        <v>0.96105923961601514</v>
      </c>
      <c r="CH28" s="53">
        <f t="shared" si="9"/>
        <v>0</v>
      </c>
      <c r="CI28" s="53">
        <f t="shared" si="10"/>
        <v>0</v>
      </c>
      <c r="CJ28" s="53">
        <f t="shared" si="11"/>
        <v>0</v>
      </c>
      <c r="CK28" s="53">
        <f t="shared" si="12"/>
        <v>0</v>
      </c>
      <c r="CL28" s="25">
        <f t="shared" si="13"/>
        <v>0</v>
      </c>
      <c r="CM28" s="213"/>
      <c r="CN28" s="58"/>
      <c r="CO28" s="213"/>
      <c r="DI28" s="25">
        <f t="shared" si="22"/>
        <v>5</v>
      </c>
      <c r="DJ28" s="54">
        <f>[4]EnergyCurve!$D50</f>
        <v>37681</v>
      </c>
      <c r="DK28" s="30">
        <f t="shared" si="14"/>
        <v>26</v>
      </c>
      <c r="DL28" s="30">
        <f t="shared" si="15"/>
        <v>21</v>
      </c>
      <c r="DM28" s="233">
        <v>37347</v>
      </c>
      <c r="DN28" s="154">
        <v>22</v>
      </c>
      <c r="DO28" s="155">
        <v>4</v>
      </c>
      <c r="DP28" s="155">
        <v>4</v>
      </c>
      <c r="DQ28" s="155">
        <v>0</v>
      </c>
      <c r="DR28" s="154">
        <v>30</v>
      </c>
      <c r="DS28" s="55"/>
      <c r="DT28" s="55"/>
      <c r="DU28" s="233">
        <v>37347</v>
      </c>
      <c r="DV28" s="154">
        <v>22</v>
      </c>
      <c r="DW28" s="155">
        <v>4</v>
      </c>
      <c r="DX28" s="155">
        <v>4</v>
      </c>
      <c r="DY28" s="155">
        <v>0</v>
      </c>
      <c r="DZ28" s="154">
        <v>30</v>
      </c>
      <c r="EA28" s="55"/>
      <c r="EB28" s="55"/>
      <c r="EQ28" s="54"/>
      <c r="ER28" s="190"/>
      <c r="ES28" s="167"/>
      <c r="ET28" s="167"/>
    </row>
    <row r="29" spans="1:150" ht="18" x14ac:dyDescent="0.25">
      <c r="A29" s="100">
        <f>[4]EnergyCurve!$D51</f>
        <v>37712</v>
      </c>
      <c r="B29" s="101">
        <f>[4]EnergyCurve!$O51+[4]EnergyCurve!$Q51</f>
        <v>240614.51171875</v>
      </c>
      <c r="C29" s="86">
        <f t="shared" si="0"/>
        <v>603.73727379438981</v>
      </c>
      <c r="D29" s="86">
        <f t="shared" si="1"/>
        <v>0</v>
      </c>
      <c r="E29" s="85">
        <f t="shared" si="2"/>
        <v>240614.51171875</v>
      </c>
      <c r="F29" s="118">
        <f t="shared" si="3"/>
        <v>603.73727379438981</v>
      </c>
      <c r="G29" s="87">
        <f>([4]EnergyCurve!$E51*CE29+[4]EnergyCurve!$W51*CF29)/CD29</f>
        <v>48.5724857036884</v>
      </c>
      <c r="H29" s="91">
        <f t="shared" si="16"/>
        <v>-1.4773907138298483</v>
      </c>
      <c r="I29" s="82">
        <f>([4]EnergyCurve!$G51*CE29+[4]EnergyCurve!$Y51*CF29)/CD29</f>
        <v>47.095094989858552</v>
      </c>
      <c r="J29" s="85">
        <f t="shared" si="17"/>
        <v>-355481.64522598445</v>
      </c>
      <c r="K29" s="88">
        <f t="shared" si="4"/>
        <v>0</v>
      </c>
      <c r="L29" s="88">
        <f t="shared" si="5"/>
        <v>-355481.64522598445</v>
      </c>
      <c r="M29" s="164"/>
      <c r="N29" s="78">
        <f t="shared" si="27"/>
        <v>37712</v>
      </c>
      <c r="O29" s="114">
        <v>27.5</v>
      </c>
      <c r="P29" s="114">
        <v>29</v>
      </c>
      <c r="Q29" s="105">
        <f t="shared" si="23"/>
        <v>-20.3224857036884</v>
      </c>
      <c r="R29" s="373"/>
      <c r="S29" s="178">
        <f t="shared" si="6"/>
        <v>47.095094989858552</v>
      </c>
      <c r="T29" s="46">
        <f t="shared" ref="T29:T34" si="35">IF(U28=4,T28+1,T28)</f>
        <v>2002</v>
      </c>
      <c r="U29" s="45">
        <f t="shared" ref="U29:U34" si="36">IF(U28=4,1,U28+1)</f>
        <v>3</v>
      </c>
      <c r="V29" s="304"/>
      <c r="W29" s="304"/>
      <c r="X29" s="304"/>
      <c r="Y29" s="276"/>
      <c r="Z29" s="301"/>
      <c r="AA29" s="305"/>
      <c r="AB29" s="304"/>
      <c r="AC29" s="304"/>
      <c r="AD29" s="304"/>
      <c r="AE29" s="69"/>
      <c r="AF29" s="69"/>
      <c r="AG29" s="69"/>
      <c r="AH29" s="69"/>
      <c r="AI29" s="69"/>
      <c r="AJ29" s="47">
        <f t="shared" si="7"/>
        <v>37712</v>
      </c>
      <c r="AK29" s="1"/>
      <c r="AL29" s="2"/>
      <c r="AM29" s="1"/>
      <c r="AN29" s="2"/>
      <c r="AO29" s="1"/>
      <c r="AP29" s="2"/>
      <c r="AQ29" s="1"/>
      <c r="AR29" s="2"/>
      <c r="AS29" s="1"/>
      <c r="AT29" s="2"/>
      <c r="AU29" s="1"/>
      <c r="AV29" s="2"/>
      <c r="AW29" s="1"/>
      <c r="AX29" s="2"/>
      <c r="AY29" s="1"/>
      <c r="AZ29" s="2"/>
      <c r="BA29" s="1"/>
      <c r="BB29" s="2"/>
      <c r="BC29" s="1"/>
      <c r="BD29" s="2"/>
      <c r="BE29" s="1"/>
      <c r="BF29" s="2"/>
      <c r="BG29" s="1"/>
      <c r="BH29" s="2"/>
      <c r="BI29" s="1"/>
      <c r="BJ29" s="2"/>
      <c r="BK29" s="1"/>
      <c r="BL29" s="2"/>
      <c r="BM29" s="1"/>
      <c r="BN29" s="2"/>
      <c r="BO29" s="1"/>
      <c r="BP29" s="2"/>
      <c r="BQ29" s="1"/>
      <c r="BR29" s="2"/>
      <c r="BS29" s="1"/>
      <c r="BT29" s="2"/>
      <c r="BU29" s="1"/>
      <c r="BV29" s="2"/>
      <c r="BW29" s="1"/>
      <c r="BX29" s="2"/>
      <c r="BY29" s="48">
        <f t="shared" si="30"/>
        <v>0</v>
      </c>
      <c r="BZ29" s="49">
        <f t="shared" si="31"/>
        <v>0</v>
      </c>
      <c r="CB29" s="51">
        <f t="shared" si="8"/>
        <v>37712</v>
      </c>
      <c r="CC29" s="50">
        <f t="shared" si="32"/>
        <v>0</v>
      </c>
      <c r="CD29" s="52">
        <f t="shared" si="19"/>
        <v>416</v>
      </c>
      <c r="CE29" s="50">
        <f t="shared" si="20"/>
        <v>352</v>
      </c>
      <c r="CF29" s="58">
        <f t="shared" si="21"/>
        <v>64</v>
      </c>
      <c r="CG29" s="50">
        <f>VLOOKUP(A29,Interest!$X$8:$AC$367,6)</f>
        <v>0.95803306116837317</v>
      </c>
      <c r="CH29" s="53">
        <f t="shared" si="9"/>
        <v>0</v>
      </c>
      <c r="CI29" s="53">
        <f t="shared" si="10"/>
        <v>0</v>
      </c>
      <c r="CJ29" s="53">
        <f t="shared" si="11"/>
        <v>0</v>
      </c>
      <c r="CK29" s="53">
        <f t="shared" si="12"/>
        <v>0</v>
      </c>
      <c r="CL29" s="25">
        <f t="shared" si="13"/>
        <v>0</v>
      </c>
      <c r="CM29" s="213"/>
      <c r="CN29" s="58"/>
      <c r="CO29" s="213"/>
      <c r="DI29" s="25">
        <f t="shared" si="22"/>
        <v>4</v>
      </c>
      <c r="DJ29" s="54">
        <f>[4]EnergyCurve!$D51</f>
        <v>37712</v>
      </c>
      <c r="DK29" s="30">
        <f t="shared" si="14"/>
        <v>26</v>
      </c>
      <c r="DL29" s="30">
        <f t="shared" si="15"/>
        <v>22</v>
      </c>
      <c r="DM29" s="233">
        <v>37377</v>
      </c>
      <c r="DN29" s="154">
        <v>22</v>
      </c>
      <c r="DO29" s="155">
        <v>4</v>
      </c>
      <c r="DP29" s="155">
        <v>4</v>
      </c>
      <c r="DQ29" s="155">
        <v>1</v>
      </c>
      <c r="DR29" s="154">
        <v>31</v>
      </c>
      <c r="DS29" s="55"/>
      <c r="DT29" s="55"/>
      <c r="DU29" s="233">
        <v>37377</v>
      </c>
      <c r="DV29" s="154">
        <v>22</v>
      </c>
      <c r="DW29" s="155">
        <v>4</v>
      </c>
      <c r="DX29" s="155">
        <v>4</v>
      </c>
      <c r="DY29" s="155">
        <v>1</v>
      </c>
      <c r="DZ29" s="154">
        <v>31</v>
      </c>
      <c r="EA29" s="55"/>
      <c r="EB29" s="55"/>
      <c r="EQ29" s="54"/>
      <c r="ER29" s="190"/>
      <c r="ES29" s="167"/>
      <c r="ET29" s="167"/>
    </row>
    <row r="30" spans="1:150" ht="18" x14ac:dyDescent="0.25">
      <c r="A30" s="98">
        <f>[4]EnergyCurve!$D52</f>
        <v>37742</v>
      </c>
      <c r="B30" s="99">
        <f>[4]EnergyCurve!$O52+[4]EnergyCurve!$Q52</f>
        <v>239842.81640625</v>
      </c>
      <c r="C30" s="90">
        <f t="shared" si="0"/>
        <v>603.78889413018794</v>
      </c>
      <c r="D30" s="89">
        <f t="shared" si="1"/>
        <v>0</v>
      </c>
      <c r="E30" s="90">
        <f t="shared" si="2"/>
        <v>239842.81640625</v>
      </c>
      <c r="F30" s="117">
        <f t="shared" si="3"/>
        <v>603.78889413018794</v>
      </c>
      <c r="G30" s="91">
        <f>([4]EnergyCurve!$E52*CE30+[4]EnergyCurve!$W52*CF30)/CD30</f>
        <v>48.512940626878006</v>
      </c>
      <c r="H30" s="91">
        <f t="shared" si="16"/>
        <v>-1.4589775670557756</v>
      </c>
      <c r="I30" s="121">
        <f>([4]EnergyCurve!$G52*CE30+[4]EnergyCurve!$Y52*CF30)/CD30</f>
        <v>47.05396305982223</v>
      </c>
      <c r="J30" s="99">
        <f t="shared" si="17"/>
        <v>-349925.28875619569</v>
      </c>
      <c r="K30" s="92">
        <f t="shared" si="4"/>
        <v>0</v>
      </c>
      <c r="L30" s="92">
        <f t="shared" si="5"/>
        <v>-349925.28875619569</v>
      </c>
      <c r="M30" s="164"/>
      <c r="N30" s="78">
        <f t="shared" si="27"/>
        <v>37742</v>
      </c>
      <c r="O30" s="114">
        <v>27.5</v>
      </c>
      <c r="P30" s="114">
        <v>29</v>
      </c>
      <c r="Q30" s="105">
        <f t="shared" si="23"/>
        <v>-20.262940626878006</v>
      </c>
      <c r="R30" s="373"/>
      <c r="S30" s="178">
        <f t="shared" si="6"/>
        <v>47.05396305982223</v>
      </c>
      <c r="T30" s="46">
        <f t="shared" si="35"/>
        <v>2002</v>
      </c>
      <c r="U30" s="45">
        <f t="shared" si="36"/>
        <v>4</v>
      </c>
      <c r="V30" s="304"/>
      <c r="W30" s="304"/>
      <c r="X30" s="304"/>
      <c r="Y30" s="300"/>
      <c r="Z30" s="301"/>
      <c r="AA30" s="302"/>
      <c r="AB30" s="303"/>
      <c r="AC30" s="303"/>
      <c r="AD30" s="303"/>
      <c r="AE30" s="69"/>
      <c r="AF30" s="69"/>
      <c r="AG30" s="69"/>
      <c r="AH30" s="69"/>
      <c r="AI30" s="69"/>
      <c r="AJ30" s="47">
        <f t="shared" si="7"/>
        <v>37742</v>
      </c>
      <c r="AK30" s="1"/>
      <c r="AL30" s="2"/>
      <c r="AM30" s="1"/>
      <c r="AN30" s="2"/>
      <c r="AO30" s="1"/>
      <c r="AP30" s="2"/>
      <c r="AQ30" s="1"/>
      <c r="AR30" s="2"/>
      <c r="AS30" s="1"/>
      <c r="AT30" s="2"/>
      <c r="AU30" s="1"/>
      <c r="AV30" s="2"/>
      <c r="AW30" s="1"/>
      <c r="AX30" s="2"/>
      <c r="AY30" s="1"/>
      <c r="AZ30" s="2"/>
      <c r="BA30" s="1"/>
      <c r="BB30" s="2"/>
      <c r="BC30" s="1"/>
      <c r="BD30" s="2"/>
      <c r="BE30" s="1"/>
      <c r="BF30" s="2"/>
      <c r="BG30" s="1"/>
      <c r="BH30" s="2"/>
      <c r="BI30" s="1"/>
      <c r="BJ30" s="2"/>
      <c r="BK30" s="1"/>
      <c r="BL30" s="2"/>
      <c r="BM30" s="1"/>
      <c r="BN30" s="2"/>
      <c r="BO30" s="1"/>
      <c r="BP30" s="2"/>
      <c r="BQ30" s="1"/>
      <c r="BR30" s="2"/>
      <c r="BS30" s="1"/>
      <c r="BT30" s="2"/>
      <c r="BU30" s="1"/>
      <c r="BV30" s="2"/>
      <c r="BW30" s="1"/>
      <c r="BX30" s="2"/>
      <c r="BY30" s="48">
        <f t="shared" si="30"/>
        <v>0</v>
      </c>
      <c r="BZ30" s="49">
        <f t="shared" si="31"/>
        <v>0</v>
      </c>
      <c r="CB30" s="51">
        <f t="shared" si="8"/>
        <v>37742</v>
      </c>
      <c r="CC30" s="50">
        <f t="shared" si="32"/>
        <v>0</v>
      </c>
      <c r="CD30" s="52">
        <f t="shared" si="19"/>
        <v>416</v>
      </c>
      <c r="CE30" s="50">
        <f t="shared" si="20"/>
        <v>336</v>
      </c>
      <c r="CF30" s="58">
        <f t="shared" si="21"/>
        <v>80</v>
      </c>
      <c r="CG30" s="50">
        <f>VLOOKUP(A30,Interest!$X$8:$AC$367,6)</f>
        <v>0.95487882826390569</v>
      </c>
      <c r="CH30" s="53">
        <f t="shared" si="9"/>
        <v>0</v>
      </c>
      <c r="CI30" s="53">
        <f t="shared" si="10"/>
        <v>0</v>
      </c>
      <c r="CJ30" s="53">
        <f t="shared" si="11"/>
        <v>0</v>
      </c>
      <c r="CK30" s="53">
        <f t="shared" si="12"/>
        <v>0</v>
      </c>
      <c r="CL30" s="25">
        <f t="shared" si="13"/>
        <v>0</v>
      </c>
      <c r="CM30" s="213"/>
      <c r="CN30" s="58"/>
      <c r="CO30" s="213"/>
      <c r="DI30" s="25">
        <f t="shared" si="22"/>
        <v>5</v>
      </c>
      <c r="DJ30" s="54">
        <f>[4]EnergyCurve!$D52</f>
        <v>37742</v>
      </c>
      <c r="DK30" s="30">
        <f t="shared" si="14"/>
        <v>26</v>
      </c>
      <c r="DL30" s="30">
        <f t="shared" si="15"/>
        <v>21</v>
      </c>
      <c r="DM30" s="233">
        <v>37408</v>
      </c>
      <c r="DN30" s="154">
        <v>20</v>
      </c>
      <c r="DO30" s="155">
        <v>5</v>
      </c>
      <c r="DP30" s="155">
        <v>5</v>
      </c>
      <c r="DQ30" s="155">
        <v>0</v>
      </c>
      <c r="DR30" s="154">
        <v>30</v>
      </c>
      <c r="DS30" s="55"/>
      <c r="DT30" s="55"/>
      <c r="DU30" s="233">
        <v>37408</v>
      </c>
      <c r="DV30" s="154">
        <v>20</v>
      </c>
      <c r="DW30" s="155">
        <v>5</v>
      </c>
      <c r="DX30" s="155">
        <v>5</v>
      </c>
      <c r="DY30" s="155">
        <v>0</v>
      </c>
      <c r="DZ30" s="154">
        <v>30</v>
      </c>
      <c r="EA30" s="55"/>
      <c r="EB30" s="55"/>
      <c r="EQ30" s="54"/>
      <c r="ER30" s="190"/>
      <c r="ES30" s="167"/>
      <c r="ET30" s="167"/>
    </row>
    <row r="31" spans="1:150" ht="18" x14ac:dyDescent="0.25">
      <c r="A31" s="100">
        <f>[4]EnergyCurve!$D53</f>
        <v>37773</v>
      </c>
      <c r="B31" s="101">
        <f>[4]EnergyCurve!$O53+[4]EnergyCurve!$Q53</f>
        <v>229732.7578125</v>
      </c>
      <c r="C31" s="86">
        <f t="shared" si="0"/>
        <v>603.48659397919243</v>
      </c>
      <c r="D31" s="86">
        <f t="shared" si="1"/>
        <v>0</v>
      </c>
      <c r="E31" s="85">
        <f t="shared" si="2"/>
        <v>229732.7578125</v>
      </c>
      <c r="F31" s="118">
        <f t="shared" si="3"/>
        <v>603.48659397919243</v>
      </c>
      <c r="G31" s="87">
        <f>([4]EnergyCurve!$E53*CE31+[4]EnergyCurve!$W53*CF31)/CD31</f>
        <v>48.863028106689455</v>
      </c>
      <c r="H31" s="91">
        <f t="shared" si="16"/>
        <v>-1.4582951298962783</v>
      </c>
      <c r="I31" s="82">
        <f>([4]EnergyCurve!$G53*CE31+[4]EnergyCurve!$Y53*CF31)/CD31</f>
        <v>47.404732976793177</v>
      </c>
      <c r="J31" s="85">
        <f t="shared" si="17"/>
        <v>-335018.16189560993</v>
      </c>
      <c r="K31" s="88">
        <f t="shared" si="4"/>
        <v>0</v>
      </c>
      <c r="L31" s="88">
        <f t="shared" si="5"/>
        <v>-335018.16189560993</v>
      </c>
      <c r="M31" s="164"/>
      <c r="N31" s="78">
        <f t="shared" si="27"/>
        <v>37773</v>
      </c>
      <c r="O31" s="114">
        <v>24</v>
      </c>
      <c r="P31" s="114">
        <v>25</v>
      </c>
      <c r="Q31" s="105">
        <f t="shared" si="23"/>
        <v>-24.363028106689455</v>
      </c>
      <c r="R31" s="373"/>
      <c r="S31" s="178">
        <f t="shared" si="6"/>
        <v>47.404732976793177</v>
      </c>
      <c r="T31" s="46">
        <f t="shared" si="35"/>
        <v>2003</v>
      </c>
      <c r="U31" s="45">
        <f t="shared" si="36"/>
        <v>1</v>
      </c>
      <c r="V31" s="304"/>
      <c r="W31" s="304"/>
      <c r="X31" s="304"/>
      <c r="Y31" s="71"/>
      <c r="Z31" s="301"/>
      <c r="AA31" s="305"/>
      <c r="AB31" s="304"/>
      <c r="AC31" s="304"/>
      <c r="AD31" s="304"/>
      <c r="AE31" s="69"/>
      <c r="AF31" s="69"/>
      <c r="AG31" s="69"/>
      <c r="AH31" s="69"/>
      <c r="AI31" s="69"/>
      <c r="AJ31" s="47">
        <f t="shared" si="7"/>
        <v>37773</v>
      </c>
      <c r="AK31" s="1"/>
      <c r="AL31" s="2"/>
      <c r="AM31" s="1"/>
      <c r="AN31" s="2"/>
      <c r="AO31" s="1"/>
      <c r="AP31" s="2"/>
      <c r="AQ31" s="1"/>
      <c r="AR31" s="2"/>
      <c r="AS31" s="1"/>
      <c r="AT31" s="2"/>
      <c r="AU31" s="1"/>
      <c r="AV31" s="2"/>
      <c r="AW31" s="1"/>
      <c r="AX31" s="2"/>
      <c r="AY31" s="1"/>
      <c r="AZ31" s="2"/>
      <c r="BA31" s="1"/>
      <c r="BB31" s="2"/>
      <c r="BC31" s="1"/>
      <c r="BD31" s="2"/>
      <c r="BE31" s="1"/>
      <c r="BF31" s="2"/>
      <c r="BG31" s="1"/>
      <c r="BH31" s="2"/>
      <c r="BI31" s="1"/>
      <c r="BJ31" s="2"/>
      <c r="BK31" s="1"/>
      <c r="BL31" s="2"/>
      <c r="BM31" s="1"/>
      <c r="BN31" s="2"/>
      <c r="BO31" s="1"/>
      <c r="BP31" s="2"/>
      <c r="BQ31" s="1"/>
      <c r="BR31" s="2"/>
      <c r="BS31" s="1"/>
      <c r="BT31" s="2"/>
      <c r="BU31" s="1"/>
      <c r="BV31" s="2"/>
      <c r="BW31" s="1"/>
      <c r="BX31" s="2"/>
      <c r="BY31" s="48">
        <f t="shared" si="30"/>
        <v>0</v>
      </c>
      <c r="BZ31" s="49">
        <f t="shared" si="31"/>
        <v>0</v>
      </c>
      <c r="CB31" s="51">
        <f t="shared" si="8"/>
        <v>37773</v>
      </c>
      <c r="CC31" s="50">
        <f t="shared" si="32"/>
        <v>0</v>
      </c>
      <c r="CD31" s="52">
        <f t="shared" si="19"/>
        <v>400</v>
      </c>
      <c r="CE31" s="50">
        <f t="shared" si="20"/>
        <v>336</v>
      </c>
      <c r="CF31" s="58">
        <f t="shared" si="21"/>
        <v>64</v>
      </c>
      <c r="CG31" s="50">
        <f>VLOOKUP(A31,Interest!$X$8:$AC$367,6)</f>
        <v>0.95168956570235319</v>
      </c>
      <c r="CH31" s="53">
        <f t="shared" si="9"/>
        <v>0</v>
      </c>
      <c r="CI31" s="53">
        <f t="shared" si="10"/>
        <v>0</v>
      </c>
      <c r="CJ31" s="53">
        <f t="shared" si="11"/>
        <v>0</v>
      </c>
      <c r="CK31" s="53">
        <f t="shared" si="12"/>
        <v>0</v>
      </c>
      <c r="CL31" s="25">
        <f t="shared" si="13"/>
        <v>0</v>
      </c>
      <c r="CM31" s="213"/>
      <c r="CN31" s="58"/>
      <c r="CO31" s="213"/>
      <c r="DI31" s="25">
        <f t="shared" si="22"/>
        <v>4</v>
      </c>
      <c r="DJ31" s="54">
        <f>[4]EnergyCurve!$D53</f>
        <v>37773</v>
      </c>
      <c r="DK31" s="30">
        <f t="shared" si="14"/>
        <v>25</v>
      </c>
      <c r="DL31" s="30">
        <f t="shared" si="15"/>
        <v>21</v>
      </c>
      <c r="DM31" s="233">
        <v>37438</v>
      </c>
      <c r="DN31" s="154">
        <v>22</v>
      </c>
      <c r="DO31" s="155">
        <v>4</v>
      </c>
      <c r="DP31" s="155">
        <v>4</v>
      </c>
      <c r="DQ31" s="155">
        <v>1</v>
      </c>
      <c r="DR31" s="154">
        <v>31</v>
      </c>
      <c r="DS31" s="55"/>
      <c r="DT31" s="55"/>
      <c r="DU31" s="233">
        <v>37438</v>
      </c>
      <c r="DV31" s="154">
        <v>22</v>
      </c>
      <c r="DW31" s="155">
        <v>4</v>
      </c>
      <c r="DX31" s="155">
        <v>4</v>
      </c>
      <c r="DY31" s="155">
        <v>1</v>
      </c>
      <c r="DZ31" s="154">
        <v>31</v>
      </c>
      <c r="EA31" s="55"/>
      <c r="EB31" s="55"/>
      <c r="EQ31" s="54"/>
      <c r="ER31" s="190"/>
      <c r="ES31" s="167"/>
      <c r="ET31" s="167"/>
    </row>
    <row r="32" spans="1:150" ht="18" x14ac:dyDescent="0.25">
      <c r="A32" s="98">
        <f>[4]EnergyCurve!$D54</f>
        <v>37803</v>
      </c>
      <c r="B32" s="99">
        <f>[4]EnergyCurve!$O54+[4]EnergyCurve!$Q54</f>
        <v>237937.58203125</v>
      </c>
      <c r="C32" s="90">
        <f t="shared" si="0"/>
        <v>603.10079959832683</v>
      </c>
      <c r="D32" s="89">
        <f t="shared" si="1"/>
        <v>0</v>
      </c>
      <c r="E32" s="90">
        <f t="shared" si="2"/>
        <v>237937.58203125</v>
      </c>
      <c r="F32" s="117">
        <f t="shared" si="3"/>
        <v>603.10079959832683</v>
      </c>
      <c r="G32" s="91">
        <f>([4]EnergyCurve!$E54*CE32+[4]EnergyCurve!$W54*CF32)/CD32</f>
        <v>49.260457845834587</v>
      </c>
      <c r="H32" s="91">
        <f t="shared" si="16"/>
        <v>-1.4569628907971577</v>
      </c>
      <c r="I32" s="121">
        <f>([4]EnergyCurve!$G54*CE32+[4]EnergyCurve!$Y54*CF32)/CD32</f>
        <v>47.803494955037429</v>
      </c>
      <c r="J32" s="99">
        <f t="shared" si="17"/>
        <v>-346666.22734553582</v>
      </c>
      <c r="K32" s="92">
        <f t="shared" si="4"/>
        <v>0</v>
      </c>
      <c r="L32" s="92">
        <f t="shared" si="5"/>
        <v>-346666.22734553582</v>
      </c>
      <c r="M32" s="164"/>
      <c r="N32" s="78">
        <f t="shared" si="27"/>
        <v>37803</v>
      </c>
      <c r="O32" s="114">
        <v>24.5</v>
      </c>
      <c r="P32" s="114">
        <v>25</v>
      </c>
      <c r="Q32" s="105">
        <f t="shared" si="23"/>
        <v>-24.510457845834587</v>
      </c>
      <c r="R32" s="373"/>
      <c r="S32" s="178">
        <f t="shared" si="6"/>
        <v>47.803494955037429</v>
      </c>
      <c r="T32" s="46">
        <f t="shared" si="35"/>
        <v>2003</v>
      </c>
      <c r="U32" s="45">
        <f t="shared" si="36"/>
        <v>2</v>
      </c>
      <c r="V32" s="304"/>
      <c r="W32" s="304"/>
      <c r="X32" s="304"/>
      <c r="Y32" s="71"/>
      <c r="Z32" s="301"/>
      <c r="AA32" s="302"/>
      <c r="AB32" s="303"/>
      <c r="AC32" s="303"/>
      <c r="AD32" s="303"/>
      <c r="AE32" s="69"/>
      <c r="AF32" s="69"/>
      <c r="AG32" s="69"/>
      <c r="AH32" s="69"/>
      <c r="AI32" s="69"/>
      <c r="AJ32" s="47">
        <f t="shared" si="7"/>
        <v>37803</v>
      </c>
      <c r="AK32" s="1"/>
      <c r="AL32" s="2"/>
      <c r="AM32" s="1"/>
      <c r="AN32" s="2"/>
      <c r="AO32" s="1"/>
      <c r="AP32" s="2"/>
      <c r="AQ32" s="1"/>
      <c r="AR32" s="2"/>
      <c r="AS32" s="1"/>
      <c r="AT32" s="2"/>
      <c r="AU32" s="1"/>
      <c r="AV32" s="2"/>
      <c r="AW32" s="1"/>
      <c r="AX32" s="2"/>
      <c r="AY32" s="1"/>
      <c r="AZ32" s="2"/>
      <c r="BA32" s="1"/>
      <c r="BB32" s="2"/>
      <c r="BC32" s="1"/>
      <c r="BD32" s="2"/>
      <c r="BE32" s="1"/>
      <c r="BF32" s="2"/>
      <c r="BG32" s="1"/>
      <c r="BH32" s="2"/>
      <c r="BI32" s="1"/>
      <c r="BJ32" s="2"/>
      <c r="BK32" s="1"/>
      <c r="BL32" s="2"/>
      <c r="BM32" s="1"/>
      <c r="BN32" s="2"/>
      <c r="BO32" s="1"/>
      <c r="BP32" s="2"/>
      <c r="BQ32" s="1"/>
      <c r="BR32" s="2"/>
      <c r="BS32" s="1"/>
      <c r="BT32" s="2"/>
      <c r="BU32" s="1"/>
      <c r="BV32" s="2"/>
      <c r="BW32" s="1"/>
      <c r="BX32" s="2"/>
      <c r="BY32" s="48">
        <f t="shared" si="30"/>
        <v>0</v>
      </c>
      <c r="BZ32" s="49">
        <f t="shared" si="31"/>
        <v>0</v>
      </c>
      <c r="CB32" s="51">
        <f t="shared" si="8"/>
        <v>37803</v>
      </c>
      <c r="CC32" s="50">
        <f t="shared" si="32"/>
        <v>0</v>
      </c>
      <c r="CD32" s="52">
        <f t="shared" si="19"/>
        <v>416</v>
      </c>
      <c r="CE32" s="50">
        <f t="shared" si="20"/>
        <v>352</v>
      </c>
      <c r="CF32" s="58">
        <f t="shared" si="21"/>
        <v>64</v>
      </c>
      <c r="CG32" s="50">
        <f>VLOOKUP(A32,Interest!$X$8:$AC$367,6)</f>
        <v>0.94837437092142907</v>
      </c>
      <c r="CH32" s="53">
        <f t="shared" si="9"/>
        <v>0</v>
      </c>
      <c r="CI32" s="53">
        <f t="shared" si="10"/>
        <v>0</v>
      </c>
      <c r="CJ32" s="53">
        <f t="shared" si="11"/>
        <v>0</v>
      </c>
      <c r="CK32" s="53">
        <f t="shared" si="12"/>
        <v>0</v>
      </c>
      <c r="CL32" s="25">
        <f t="shared" si="13"/>
        <v>0</v>
      </c>
      <c r="CM32" s="213"/>
      <c r="CN32" s="58"/>
      <c r="CO32" s="213"/>
      <c r="DI32" s="25">
        <f t="shared" si="22"/>
        <v>4</v>
      </c>
      <c r="DJ32" s="54">
        <f>[4]EnergyCurve!$D54</f>
        <v>37803</v>
      </c>
      <c r="DK32" s="30">
        <f t="shared" si="14"/>
        <v>26</v>
      </c>
      <c r="DL32" s="30">
        <f t="shared" si="15"/>
        <v>22</v>
      </c>
      <c r="DM32" s="233">
        <v>37469</v>
      </c>
      <c r="DN32" s="154">
        <v>21</v>
      </c>
      <c r="DO32" s="155">
        <v>5</v>
      </c>
      <c r="DP32" s="155">
        <v>4</v>
      </c>
      <c r="DQ32" s="155">
        <v>1</v>
      </c>
      <c r="DR32" s="154">
        <v>31</v>
      </c>
      <c r="DS32" s="55"/>
      <c r="DT32" s="55"/>
      <c r="DU32" s="233">
        <v>37469</v>
      </c>
      <c r="DV32" s="154">
        <v>22</v>
      </c>
      <c r="DW32" s="155">
        <v>5</v>
      </c>
      <c r="DX32" s="155">
        <v>4</v>
      </c>
      <c r="DY32" s="155">
        <v>0</v>
      </c>
      <c r="DZ32" s="154">
        <v>31</v>
      </c>
      <c r="EA32" s="55"/>
      <c r="EB32" s="55"/>
      <c r="EQ32" s="54"/>
      <c r="ER32" s="190"/>
      <c r="ES32" s="167"/>
      <c r="ET32" s="167"/>
    </row>
    <row r="33" spans="1:150" ht="18.75" thickBot="1" x14ac:dyDescent="0.3">
      <c r="A33" s="107">
        <f>[4]EnergyCurve!$D55</f>
        <v>37834</v>
      </c>
      <c r="B33" s="108">
        <f>[4]EnergyCurve!$O55+[4]EnergyCurve!$Q55</f>
        <v>237134.0703125</v>
      </c>
      <c r="C33" s="109">
        <f t="shared" si="0"/>
        <v>603.24420790242471</v>
      </c>
      <c r="D33" s="109">
        <f t="shared" si="1"/>
        <v>0</v>
      </c>
      <c r="E33" s="110">
        <f t="shared" si="2"/>
        <v>237134.0703125</v>
      </c>
      <c r="F33" s="119">
        <f t="shared" si="3"/>
        <v>603.24420790242471</v>
      </c>
      <c r="G33" s="111">
        <f>([4]EnergyCurve!$E55*CE33+[4]EnergyCurve!$W55*CF33)/CD33</f>
        <v>49.713659726656402</v>
      </c>
      <c r="H33" s="191">
        <f t="shared" si="16"/>
        <v>-1.454430840765049</v>
      </c>
      <c r="I33" s="122">
        <f>([4]EnergyCurve!$G55*CE33+[4]EnergyCurve!$Y55*CF33)/CD33</f>
        <v>48.259228885891353</v>
      </c>
      <c r="J33" s="110">
        <f t="shared" si="17"/>
        <v>-344895.10525864764</v>
      </c>
      <c r="K33" s="112">
        <f t="shared" si="4"/>
        <v>0</v>
      </c>
      <c r="L33" s="112">
        <f t="shared" si="5"/>
        <v>-344895.10525864764</v>
      </c>
      <c r="M33" s="164"/>
      <c r="N33" s="65">
        <f t="shared" si="27"/>
        <v>37834</v>
      </c>
      <c r="O33" s="115">
        <v>28</v>
      </c>
      <c r="P33" s="115">
        <v>29</v>
      </c>
      <c r="Q33" s="106">
        <f>AVERAGE(O33:P33)-G33</f>
        <v>-21.213659726656402</v>
      </c>
      <c r="R33" s="375"/>
      <c r="S33" s="179">
        <f t="shared" si="6"/>
        <v>48.259228885891353</v>
      </c>
      <c r="T33" s="46">
        <f t="shared" si="35"/>
        <v>2003</v>
      </c>
      <c r="U33" s="45">
        <f t="shared" si="36"/>
        <v>3</v>
      </c>
      <c r="V33" s="304"/>
      <c r="W33" s="304"/>
      <c r="X33" s="304"/>
      <c r="Y33" s="71"/>
      <c r="Z33" s="301"/>
      <c r="AA33" s="305"/>
      <c r="AB33" s="304"/>
      <c r="AC33" s="304"/>
      <c r="AD33" s="304"/>
      <c r="AE33" s="69"/>
      <c r="AF33" s="69"/>
      <c r="AG33" s="69"/>
      <c r="AH33" s="69"/>
      <c r="AI33" s="69"/>
      <c r="AJ33" s="47">
        <f t="shared" si="7"/>
        <v>37834</v>
      </c>
      <c r="AK33" s="1"/>
      <c r="AL33" s="2"/>
      <c r="AM33" s="1"/>
      <c r="AN33" s="2"/>
      <c r="AO33" s="1"/>
      <c r="AP33" s="2"/>
      <c r="AQ33" s="1"/>
      <c r="AR33" s="2"/>
      <c r="AS33" s="1"/>
      <c r="AT33" s="2"/>
      <c r="AU33" s="1"/>
      <c r="AV33" s="2"/>
      <c r="AW33" s="1"/>
      <c r="AX33" s="2"/>
      <c r="AY33" s="1"/>
      <c r="AZ33" s="2"/>
      <c r="BA33" s="1"/>
      <c r="BB33" s="2"/>
      <c r="BC33" s="1"/>
      <c r="BD33" s="2"/>
      <c r="BE33" s="1"/>
      <c r="BF33" s="2"/>
      <c r="BG33" s="1"/>
      <c r="BH33" s="2"/>
      <c r="BI33" s="1"/>
      <c r="BJ33" s="2"/>
      <c r="BK33" s="1"/>
      <c r="BL33" s="2"/>
      <c r="BM33" s="1"/>
      <c r="BN33" s="2"/>
      <c r="BO33" s="1"/>
      <c r="BP33" s="2"/>
      <c r="BQ33" s="1"/>
      <c r="BR33" s="2"/>
      <c r="BS33" s="1"/>
      <c r="BT33" s="2"/>
      <c r="BU33" s="1"/>
      <c r="BV33" s="2"/>
      <c r="BW33" s="1"/>
      <c r="BX33" s="2"/>
      <c r="BY33" s="48">
        <f t="shared" si="30"/>
        <v>0</v>
      </c>
      <c r="BZ33" s="49">
        <f t="shared" si="31"/>
        <v>0</v>
      </c>
      <c r="CB33" s="51">
        <f t="shared" si="8"/>
        <v>37834</v>
      </c>
      <c r="CC33" s="50">
        <f t="shared" si="32"/>
        <v>0</v>
      </c>
      <c r="CD33" s="52">
        <f t="shared" si="19"/>
        <v>416</v>
      </c>
      <c r="CE33" s="50">
        <f t="shared" si="20"/>
        <v>336</v>
      </c>
      <c r="CF33" s="58">
        <f t="shared" si="21"/>
        <v>80</v>
      </c>
      <c r="CG33" s="50">
        <f>VLOOKUP(A33,Interest!$X$8:$AC$367,6)</f>
        <v>0.94494703040528838</v>
      </c>
      <c r="CH33" s="53">
        <f t="shared" si="9"/>
        <v>0</v>
      </c>
      <c r="CI33" s="53">
        <f t="shared" si="10"/>
        <v>0</v>
      </c>
      <c r="CJ33" s="53">
        <f t="shared" si="11"/>
        <v>0</v>
      </c>
      <c r="CK33" s="53">
        <f t="shared" si="12"/>
        <v>0</v>
      </c>
      <c r="CL33" s="25">
        <f t="shared" si="13"/>
        <v>0</v>
      </c>
      <c r="CM33" s="213"/>
      <c r="CN33" s="58"/>
      <c r="CO33" s="213"/>
      <c r="DI33" s="25">
        <f t="shared" si="22"/>
        <v>5</v>
      </c>
      <c r="DJ33" s="54">
        <f>[4]EnergyCurve!$D55</f>
        <v>37834</v>
      </c>
      <c r="DK33" s="30">
        <f t="shared" si="14"/>
        <v>26</v>
      </c>
      <c r="DL33" s="30">
        <f t="shared" si="15"/>
        <v>21</v>
      </c>
      <c r="DM33" s="233">
        <v>37500</v>
      </c>
      <c r="DN33" s="154">
        <v>20</v>
      </c>
      <c r="DO33" s="155">
        <v>4</v>
      </c>
      <c r="DP33" s="155">
        <v>5</v>
      </c>
      <c r="DQ33" s="155">
        <v>1</v>
      </c>
      <c r="DR33" s="154">
        <v>30</v>
      </c>
      <c r="DS33" s="55"/>
      <c r="DT33" s="55"/>
      <c r="DU33" s="233">
        <v>37500</v>
      </c>
      <c r="DV33" s="154">
        <v>20</v>
      </c>
      <c r="DW33" s="155">
        <v>4</v>
      </c>
      <c r="DX33" s="155">
        <v>5</v>
      </c>
      <c r="DY33" s="155">
        <v>1</v>
      </c>
      <c r="DZ33" s="154">
        <v>30</v>
      </c>
      <c r="EA33" s="55"/>
      <c r="EB33" s="55"/>
      <c r="EQ33" s="54"/>
      <c r="ER33" s="190"/>
      <c r="ES33" s="167"/>
      <c r="ET33" s="167"/>
    </row>
    <row r="34" spans="1:150" ht="18" x14ac:dyDescent="0.25">
      <c r="A34" s="56">
        <f>[4]EnergyCurve!$D56</f>
        <v>37865</v>
      </c>
      <c r="B34" s="93">
        <f>[4]EnergyCurve!$O56+[4]EnergyCurve!$Q56</f>
        <v>227422.33984375</v>
      </c>
      <c r="C34" s="94">
        <f t="shared" si="0"/>
        <v>603.87091459736234</v>
      </c>
      <c r="D34" s="94">
        <f t="shared" si="1"/>
        <v>0</v>
      </c>
      <c r="E34" s="93">
        <f t="shared" si="2"/>
        <v>227422.33984375</v>
      </c>
      <c r="F34" s="120">
        <f t="shared" si="3"/>
        <v>603.87091459736234</v>
      </c>
      <c r="G34" s="95">
        <f>([4]EnergyCurve!$E56*CE34+[4]EnergyCurve!$W56*CF34)/CD34</f>
        <v>49.751244506835938</v>
      </c>
      <c r="H34" s="95">
        <f>[4]EnergyCurve!$F56</f>
        <v>-1.3820116670088751</v>
      </c>
      <c r="I34" s="83">
        <f>([4]EnergyCurve!$G56*CE34+[4]EnergyCurve!$Y56*CF34)/CD34</f>
        <v>48.374497617113214</v>
      </c>
      <c r="J34" s="93">
        <f t="shared" si="17"/>
        <v>-314300.32700251986</v>
      </c>
      <c r="K34" s="96">
        <f t="shared" si="4"/>
        <v>0</v>
      </c>
      <c r="L34" s="96">
        <f t="shared" si="5"/>
        <v>-314300.32700251986</v>
      </c>
      <c r="M34" s="277"/>
      <c r="N34" s="71"/>
      <c r="O34" s="291"/>
      <c r="P34" s="291"/>
      <c r="Q34" s="71"/>
      <c r="R34" s="71"/>
      <c r="S34" s="45"/>
      <c r="T34" s="46">
        <f t="shared" si="35"/>
        <v>2003</v>
      </c>
      <c r="U34" s="45">
        <f t="shared" si="36"/>
        <v>4</v>
      </c>
      <c r="V34" s="304"/>
      <c r="W34" s="304"/>
      <c r="X34" s="304"/>
      <c r="Y34" s="71"/>
      <c r="Z34" s="301"/>
      <c r="AA34" s="302"/>
      <c r="AB34" s="303"/>
      <c r="AC34" s="303"/>
      <c r="AD34" s="303"/>
      <c r="AE34" s="69"/>
      <c r="AF34" s="69"/>
      <c r="AG34" s="69"/>
      <c r="AH34" s="69"/>
      <c r="AI34" s="69"/>
      <c r="AJ34" s="47">
        <f t="shared" si="7"/>
        <v>37865</v>
      </c>
      <c r="AK34" s="1"/>
      <c r="AL34" s="2"/>
      <c r="AM34" s="1"/>
      <c r="AN34" s="2"/>
      <c r="AO34" s="1"/>
      <c r="AP34" s="2"/>
      <c r="AQ34" s="1"/>
      <c r="AR34" s="2"/>
      <c r="AS34" s="1"/>
      <c r="AT34" s="2"/>
      <c r="AU34" s="1"/>
      <c r="AV34" s="2"/>
      <c r="AW34" s="1"/>
      <c r="AX34" s="2"/>
      <c r="AY34" s="1"/>
      <c r="AZ34" s="2"/>
      <c r="BA34" s="1"/>
      <c r="BB34" s="2"/>
      <c r="BC34" s="1"/>
      <c r="BD34" s="2"/>
      <c r="BE34" s="1"/>
      <c r="BF34" s="2"/>
      <c r="BG34" s="1"/>
      <c r="BH34" s="2"/>
      <c r="BI34" s="1"/>
      <c r="BJ34" s="2"/>
      <c r="BK34" s="1"/>
      <c r="BL34" s="2"/>
      <c r="BM34" s="1"/>
      <c r="BN34" s="2"/>
      <c r="BO34" s="1"/>
      <c r="BP34" s="2"/>
      <c r="BQ34" s="1"/>
      <c r="BR34" s="2"/>
      <c r="BS34" s="1"/>
      <c r="BT34" s="2"/>
      <c r="BU34" s="1"/>
      <c r="BV34" s="2"/>
      <c r="BW34" s="1"/>
      <c r="BX34" s="2"/>
      <c r="BY34" s="48">
        <f t="shared" si="30"/>
        <v>0</v>
      </c>
      <c r="BZ34" s="49">
        <f t="shared" si="31"/>
        <v>0</v>
      </c>
      <c r="CA34" s="50"/>
      <c r="CB34" s="51">
        <f t="shared" si="8"/>
        <v>37865</v>
      </c>
      <c r="CC34" s="50">
        <f t="shared" si="32"/>
        <v>0</v>
      </c>
      <c r="CD34" s="52">
        <f t="shared" si="19"/>
        <v>400</v>
      </c>
      <c r="CE34" s="50">
        <f t="shared" si="20"/>
        <v>336</v>
      </c>
      <c r="CF34" s="58">
        <f t="shared" si="21"/>
        <v>64</v>
      </c>
      <c r="CG34" s="50">
        <f>VLOOKUP(A34,Interest!$X$8:$AC$367,6)</f>
        <v>0.94151885090949605</v>
      </c>
      <c r="CH34" s="53">
        <f t="shared" si="9"/>
        <v>0</v>
      </c>
      <c r="CI34" s="53">
        <f t="shared" si="10"/>
        <v>0</v>
      </c>
      <c r="CJ34" s="53">
        <f t="shared" si="11"/>
        <v>0</v>
      </c>
      <c r="CK34" s="53">
        <f t="shared" si="12"/>
        <v>0</v>
      </c>
      <c r="CL34" s="25">
        <f t="shared" si="13"/>
        <v>0</v>
      </c>
      <c r="CM34" s="213"/>
      <c r="CN34" s="58"/>
      <c r="CO34" s="213"/>
      <c r="DI34" s="25">
        <f t="shared" si="22"/>
        <v>4</v>
      </c>
      <c r="DJ34" s="54">
        <f>[4]EnergyCurve!$D56</f>
        <v>37865</v>
      </c>
      <c r="DK34" s="30">
        <f t="shared" si="14"/>
        <v>25</v>
      </c>
      <c r="DL34" s="30">
        <f t="shared" si="15"/>
        <v>21</v>
      </c>
      <c r="DM34" s="233">
        <v>37530</v>
      </c>
      <c r="DN34" s="154">
        <v>22</v>
      </c>
      <c r="DO34" s="155">
        <v>4</v>
      </c>
      <c r="DP34" s="155">
        <v>4</v>
      </c>
      <c r="DQ34" s="155">
        <v>1</v>
      </c>
      <c r="DR34" s="154">
        <v>31</v>
      </c>
      <c r="DS34" s="55"/>
      <c r="DT34" s="55"/>
      <c r="DU34" s="233">
        <v>37530</v>
      </c>
      <c r="DV34" s="154">
        <v>23</v>
      </c>
      <c r="DW34" s="155">
        <v>4</v>
      </c>
      <c r="DX34" s="155">
        <v>4</v>
      </c>
      <c r="DY34" s="155">
        <v>0</v>
      </c>
      <c r="DZ34" s="154">
        <v>31</v>
      </c>
      <c r="EA34" s="55"/>
      <c r="EB34" s="55"/>
      <c r="EQ34" s="54"/>
      <c r="ER34" s="190"/>
      <c r="ES34" s="167"/>
      <c r="ET34" s="167"/>
    </row>
    <row r="35" spans="1:150" ht="18" x14ac:dyDescent="0.25">
      <c r="A35" s="56">
        <f>[4]EnergyCurve!$D57</f>
        <v>37895</v>
      </c>
      <c r="B35" s="93">
        <f>[4]EnergyCurve!$O57+[4]EnergyCurve!$Q57</f>
        <v>244443.58984375</v>
      </c>
      <c r="C35" s="94">
        <f t="shared" si="0"/>
        <v>603.26319842738224</v>
      </c>
      <c r="D35" s="94">
        <f t="shared" si="1"/>
        <v>0</v>
      </c>
      <c r="E35" s="93">
        <f t="shared" si="2"/>
        <v>244443.58984375</v>
      </c>
      <c r="F35" s="120">
        <f t="shared" si="3"/>
        <v>603.26319842738224</v>
      </c>
      <c r="G35" s="95">
        <f>([4]EnergyCurve!$E57*CE35+[4]EnergyCurve!$W57*CF35)/CD35</f>
        <v>49.999231550428604</v>
      </c>
      <c r="H35" s="95">
        <f>[4]EnergyCurve!$F57</f>
        <v>-1.3031450387870862</v>
      </c>
      <c r="I35" s="83">
        <f>([4]EnergyCurve!$G57*CE35+[4]EnergyCurve!$Y57*CF35)/CD35</f>
        <v>48.700683102804454</v>
      </c>
      <c r="J35" s="93">
        <f t="shared" si="17"/>
        <v>-318545.45136818819</v>
      </c>
      <c r="K35" s="96">
        <f t="shared" si="4"/>
        <v>0</v>
      </c>
      <c r="L35" s="96">
        <f t="shared" si="5"/>
        <v>-318545.45136818819</v>
      </c>
      <c r="M35" s="277"/>
      <c r="N35" s="292"/>
      <c r="O35" s="293"/>
      <c r="P35" s="293"/>
      <c r="Q35" s="163"/>
      <c r="R35" s="71"/>
      <c r="S35" s="45"/>
      <c r="T35" s="46">
        <f>IF(MONTH(TradeSum!$B$2)&gt;8,YEAR(TradeSum!$B$2)+1,YEAR(TradeSum!$B$2))</f>
        <v>2002</v>
      </c>
      <c r="U35" s="45"/>
      <c r="V35" s="304"/>
      <c r="W35" s="304"/>
      <c r="X35" s="304"/>
      <c r="Y35" s="71"/>
      <c r="Z35" s="301"/>
      <c r="AA35" s="305"/>
      <c r="AB35" s="304"/>
      <c r="AC35" s="304"/>
      <c r="AD35" s="304"/>
      <c r="AE35" s="69"/>
      <c r="AF35" s="69"/>
      <c r="AG35" s="69"/>
      <c r="AH35" s="69"/>
      <c r="AI35" s="69"/>
      <c r="AJ35" s="47">
        <f t="shared" si="7"/>
        <v>37895</v>
      </c>
      <c r="AK35" s="1"/>
      <c r="AL35" s="2"/>
      <c r="AM35" s="1"/>
      <c r="AN35" s="2"/>
      <c r="AO35" s="1"/>
      <c r="AP35" s="2"/>
      <c r="AQ35" s="1"/>
      <c r="AR35" s="2"/>
      <c r="AS35" s="1"/>
      <c r="AT35" s="2"/>
      <c r="AU35" s="1"/>
      <c r="AV35" s="2"/>
      <c r="AW35" s="1"/>
      <c r="AX35" s="2"/>
      <c r="AY35" s="1"/>
      <c r="AZ35" s="2"/>
      <c r="BA35" s="1"/>
      <c r="BB35" s="2"/>
      <c r="BC35" s="1"/>
      <c r="BD35" s="2"/>
      <c r="BE35" s="1"/>
      <c r="BF35" s="2"/>
      <c r="BG35" s="1"/>
      <c r="BH35" s="2"/>
      <c r="BI35" s="1"/>
      <c r="BJ35" s="2"/>
      <c r="BK35" s="1"/>
      <c r="BL35" s="2"/>
      <c r="BM35" s="1"/>
      <c r="BN35" s="2"/>
      <c r="BO35" s="1"/>
      <c r="BP35" s="2"/>
      <c r="BQ35" s="1"/>
      <c r="BR35" s="2"/>
      <c r="BS35" s="1"/>
      <c r="BT35" s="2"/>
      <c r="BU35" s="1"/>
      <c r="BV35" s="2"/>
      <c r="BW35" s="1"/>
      <c r="BX35" s="2"/>
      <c r="BY35" s="48">
        <f t="shared" si="30"/>
        <v>0</v>
      </c>
      <c r="BZ35" s="49">
        <f t="shared" si="31"/>
        <v>0</v>
      </c>
      <c r="CA35" s="50"/>
      <c r="CB35" s="51">
        <f t="shared" si="8"/>
        <v>37895</v>
      </c>
      <c r="CC35" s="50">
        <f t="shared" si="32"/>
        <v>0</v>
      </c>
      <c r="CD35" s="52">
        <f t="shared" si="19"/>
        <v>432</v>
      </c>
      <c r="CE35" s="50">
        <f t="shared" si="20"/>
        <v>368</v>
      </c>
      <c r="CF35" s="58">
        <f t="shared" si="21"/>
        <v>64</v>
      </c>
      <c r="CG35" s="50">
        <f>VLOOKUP(A35,Interest!$X$8:$AC$367,6)</f>
        <v>0.93796811181569517</v>
      </c>
      <c r="CH35" s="53">
        <f t="shared" si="9"/>
        <v>0</v>
      </c>
      <c r="CI35" s="53">
        <f t="shared" si="10"/>
        <v>0</v>
      </c>
      <c r="CJ35" s="53">
        <f t="shared" si="11"/>
        <v>0</v>
      </c>
      <c r="CK35" s="53">
        <f t="shared" si="12"/>
        <v>0</v>
      </c>
      <c r="CL35" s="25">
        <f t="shared" si="13"/>
        <v>0</v>
      </c>
      <c r="CM35" s="213"/>
      <c r="CN35" s="58"/>
      <c r="CO35" s="213"/>
      <c r="DI35" s="25">
        <f t="shared" si="22"/>
        <v>4</v>
      </c>
      <c r="DJ35" s="54">
        <f>[4]EnergyCurve!$D57</f>
        <v>37895</v>
      </c>
      <c r="DK35" s="30">
        <f t="shared" si="14"/>
        <v>27</v>
      </c>
      <c r="DL35" s="30">
        <f t="shared" si="15"/>
        <v>23</v>
      </c>
      <c r="DM35" s="233">
        <v>37561</v>
      </c>
      <c r="DN35" s="154">
        <v>20</v>
      </c>
      <c r="DO35" s="155">
        <v>5</v>
      </c>
      <c r="DP35" s="155">
        <v>4</v>
      </c>
      <c r="DQ35" s="155">
        <v>1</v>
      </c>
      <c r="DR35" s="154">
        <v>30</v>
      </c>
      <c r="DS35" s="55"/>
      <c r="DT35" s="55"/>
      <c r="DU35" s="233">
        <v>37561</v>
      </c>
      <c r="DV35" s="154">
        <v>20</v>
      </c>
      <c r="DW35" s="155">
        <v>5</v>
      </c>
      <c r="DX35" s="155">
        <v>4</v>
      </c>
      <c r="DY35" s="155">
        <v>1</v>
      </c>
      <c r="DZ35" s="154">
        <v>30</v>
      </c>
      <c r="EA35" s="55"/>
      <c r="EB35" s="55"/>
      <c r="EQ35" s="54"/>
      <c r="ER35" s="190"/>
      <c r="ES35" s="167"/>
      <c r="ET35" s="167"/>
    </row>
    <row r="36" spans="1:150" ht="18" x14ac:dyDescent="0.25">
      <c r="A36" s="56">
        <f>[4]EnergyCurve!$D58</f>
        <v>37926</v>
      </c>
      <c r="B36" s="93">
        <f>[4]EnergyCurve!$O58+[4]EnergyCurve!$Q58</f>
        <v>216987.4453125</v>
      </c>
      <c r="C36" s="94">
        <f t="shared" si="0"/>
        <v>604.71615876946578</v>
      </c>
      <c r="D36" s="94">
        <f t="shared" si="1"/>
        <v>0</v>
      </c>
      <c r="E36" s="93">
        <f t="shared" si="2"/>
        <v>216987.4453125</v>
      </c>
      <c r="F36" s="120">
        <f t="shared" si="3"/>
        <v>604.71615876946578</v>
      </c>
      <c r="G36" s="95">
        <f>([4]EnergyCurve!$E58*CE36+[4]EnergyCurve!$W58*CF36)/CD36</f>
        <v>52.777570406595864</v>
      </c>
      <c r="H36" s="95">
        <f>[4]EnergyCurve!$F58</f>
        <v>-1.1423632256097989</v>
      </c>
      <c r="I36" s="83">
        <f>([4]EnergyCurve!$G58*CE36+[4]EnergyCurve!$Y58*CF36)/CD36</f>
        <v>51.64087319218735</v>
      </c>
      <c r="J36" s="93">
        <f t="shared" si="17"/>
        <v>-247878.47794401733</v>
      </c>
      <c r="K36" s="96">
        <f t="shared" si="4"/>
        <v>0</v>
      </c>
      <c r="L36" s="96">
        <f t="shared" si="5"/>
        <v>-247878.47794401733</v>
      </c>
      <c r="M36" s="71"/>
      <c r="N36" s="294"/>
      <c r="O36" s="163"/>
      <c r="P36" s="245"/>
      <c r="Q36" s="163"/>
      <c r="R36" s="71"/>
      <c r="S36" s="45"/>
      <c r="T36" s="46">
        <f>T35+1</f>
        <v>2003</v>
      </c>
      <c r="U36" s="45"/>
      <c r="V36" s="306"/>
      <c r="W36" s="304"/>
      <c r="X36" s="304"/>
      <c r="Y36" s="71"/>
      <c r="Z36" s="301"/>
      <c r="AA36" s="302"/>
      <c r="AB36" s="303"/>
      <c r="AC36" s="303"/>
      <c r="AD36" s="303"/>
      <c r="AE36" s="69"/>
      <c r="AF36" s="69"/>
      <c r="AG36" s="69"/>
      <c r="AH36" s="69"/>
      <c r="AI36" s="69"/>
      <c r="AJ36" s="47">
        <f t="shared" si="7"/>
        <v>37926</v>
      </c>
      <c r="AK36" s="1"/>
      <c r="AL36" s="2"/>
      <c r="AM36" s="1"/>
      <c r="AN36" s="2"/>
      <c r="AO36" s="1"/>
      <c r="AP36" s="2"/>
      <c r="AQ36" s="1"/>
      <c r="AR36" s="2"/>
      <c r="AS36" s="1"/>
      <c r="AT36" s="2"/>
      <c r="AU36" s="1"/>
      <c r="AV36" s="2"/>
      <c r="AW36" s="1"/>
      <c r="AX36" s="2"/>
      <c r="AY36" s="1"/>
      <c r="AZ36" s="2"/>
      <c r="BA36" s="1"/>
      <c r="BB36" s="2"/>
      <c r="BC36" s="1"/>
      <c r="BD36" s="2"/>
      <c r="BE36" s="1"/>
      <c r="BF36" s="2"/>
      <c r="BG36" s="1"/>
      <c r="BH36" s="2"/>
      <c r="BI36" s="1"/>
      <c r="BJ36" s="2"/>
      <c r="BK36" s="1"/>
      <c r="BL36" s="2"/>
      <c r="BM36" s="1"/>
      <c r="BN36" s="2"/>
      <c r="BO36" s="1"/>
      <c r="BP36" s="2"/>
      <c r="BQ36" s="1"/>
      <c r="BR36" s="2"/>
      <c r="BS36" s="1"/>
      <c r="BT36" s="2"/>
      <c r="BU36" s="1"/>
      <c r="BV36" s="2"/>
      <c r="BW36" s="1"/>
      <c r="BX36" s="2"/>
      <c r="BY36" s="48">
        <f t="shared" si="30"/>
        <v>0</v>
      </c>
      <c r="BZ36" s="49">
        <f t="shared" si="31"/>
        <v>0</v>
      </c>
      <c r="CA36" s="50"/>
      <c r="CB36" s="51">
        <f t="shared" si="8"/>
        <v>37926</v>
      </c>
      <c r="CC36" s="50">
        <f t="shared" si="32"/>
        <v>0</v>
      </c>
      <c r="CD36" s="52">
        <f t="shared" si="19"/>
        <v>384</v>
      </c>
      <c r="CE36" s="50">
        <f t="shared" si="20"/>
        <v>304</v>
      </c>
      <c r="CF36" s="58">
        <f t="shared" si="21"/>
        <v>80</v>
      </c>
      <c r="CG36" s="50">
        <f>VLOOKUP(A36,Interest!$X$8:$AC$367,6)</f>
        <v>0.9344408347179447</v>
      </c>
      <c r="CH36" s="53">
        <f t="shared" si="9"/>
        <v>0</v>
      </c>
      <c r="CI36" s="53">
        <f t="shared" si="10"/>
        <v>0</v>
      </c>
      <c r="CJ36" s="53">
        <f t="shared" si="11"/>
        <v>0</v>
      </c>
      <c r="CK36" s="53">
        <f t="shared" si="12"/>
        <v>0</v>
      </c>
      <c r="CL36" s="25">
        <f t="shared" si="13"/>
        <v>0</v>
      </c>
      <c r="CM36" s="213"/>
      <c r="CN36" s="58"/>
      <c r="CO36" s="213"/>
      <c r="DI36" s="25">
        <f t="shared" si="22"/>
        <v>5</v>
      </c>
      <c r="DJ36" s="54">
        <f>[4]EnergyCurve!$D58</f>
        <v>37926</v>
      </c>
      <c r="DK36" s="30">
        <f t="shared" si="14"/>
        <v>24</v>
      </c>
      <c r="DL36" s="30">
        <f t="shared" si="15"/>
        <v>19</v>
      </c>
      <c r="DM36" s="233">
        <v>37591</v>
      </c>
      <c r="DN36" s="154">
        <v>20</v>
      </c>
      <c r="DO36" s="155">
        <v>4</v>
      </c>
      <c r="DP36" s="155">
        <v>5</v>
      </c>
      <c r="DQ36" s="155">
        <v>2</v>
      </c>
      <c r="DR36" s="154">
        <v>31</v>
      </c>
      <c r="DS36" s="55"/>
      <c r="DT36" s="55"/>
      <c r="DU36" s="233">
        <v>37591</v>
      </c>
      <c r="DV36" s="154">
        <v>21</v>
      </c>
      <c r="DW36" s="155">
        <v>4</v>
      </c>
      <c r="DX36" s="155">
        <v>5</v>
      </c>
      <c r="DY36" s="155">
        <v>1</v>
      </c>
      <c r="DZ36" s="154">
        <v>31</v>
      </c>
      <c r="EA36" s="55"/>
      <c r="EB36" s="55"/>
      <c r="EQ36" s="54"/>
      <c r="ER36" s="190"/>
      <c r="ES36" s="167"/>
      <c r="ET36" s="167"/>
    </row>
    <row r="37" spans="1:150" ht="18" x14ac:dyDescent="0.25">
      <c r="A37" s="56">
        <f>[4]EnergyCurve!$D59</f>
        <v>37956</v>
      </c>
      <c r="B37" s="93">
        <f>[4]EnergyCurve!$O59+[4]EnergyCurve!$Q59</f>
        <v>234211.484375</v>
      </c>
      <c r="C37" s="94">
        <f t="shared" si="0"/>
        <v>604.76609009530569</v>
      </c>
      <c r="D37" s="94">
        <f t="shared" si="1"/>
        <v>0</v>
      </c>
      <c r="E37" s="93">
        <f t="shared" si="2"/>
        <v>234211.484375</v>
      </c>
      <c r="F37" s="120">
        <f t="shared" si="3"/>
        <v>604.76609009530569</v>
      </c>
      <c r="G37" s="95">
        <f>([4]EnergyCurve!$E59*CE37+[4]EnergyCurve!$W59*CF37)/CD37</f>
        <v>55.129045926607574</v>
      </c>
      <c r="H37" s="95">
        <f>[4]EnergyCurve!$F59</f>
        <v>-1.0581692536934995</v>
      </c>
      <c r="I37" s="83">
        <f>([4]EnergyCurve!$G59*CE37+[4]EnergyCurve!$Y59*CF37)/CD37</f>
        <v>54.074752583087424</v>
      </c>
      <c r="J37" s="93">
        <f t="shared" si="17"/>
        <v>-247835.39162754046</v>
      </c>
      <c r="K37" s="96">
        <f t="shared" si="4"/>
        <v>0</v>
      </c>
      <c r="L37" s="96">
        <f t="shared" si="5"/>
        <v>-247835.39162754046</v>
      </c>
      <c r="M37" s="71"/>
      <c r="N37" s="295"/>
      <c r="O37" s="293"/>
      <c r="P37" s="245"/>
      <c r="Q37" s="163"/>
      <c r="R37" s="71"/>
      <c r="S37" s="45"/>
      <c r="T37" s="46">
        <f>T36+1</f>
        <v>2004</v>
      </c>
      <c r="U37" s="45"/>
      <c r="V37" s="306"/>
      <c r="W37" s="304"/>
      <c r="X37" s="304"/>
      <c r="Y37" s="71"/>
      <c r="Z37" s="301"/>
      <c r="AA37" s="305"/>
      <c r="AB37" s="304"/>
      <c r="AC37" s="304"/>
      <c r="AD37" s="304"/>
      <c r="AE37" s="69"/>
      <c r="AF37" s="69"/>
      <c r="AG37" s="69"/>
      <c r="AH37" s="69"/>
      <c r="AI37" s="69"/>
      <c r="AJ37" s="47">
        <f t="shared" si="7"/>
        <v>37956</v>
      </c>
      <c r="AK37" s="1"/>
      <c r="AL37" s="2"/>
      <c r="AM37" s="1"/>
      <c r="AN37" s="2"/>
      <c r="AO37" s="1"/>
      <c r="AP37" s="2"/>
      <c r="AQ37" s="1"/>
      <c r="AR37" s="2"/>
      <c r="AS37" s="1"/>
      <c r="AT37" s="2"/>
      <c r="AU37" s="1"/>
      <c r="AV37" s="2"/>
      <c r="AW37" s="1"/>
      <c r="AX37" s="2"/>
      <c r="AY37" s="1"/>
      <c r="AZ37" s="2"/>
      <c r="BA37" s="1"/>
      <c r="BB37" s="2"/>
      <c r="BC37" s="1"/>
      <c r="BD37" s="2"/>
      <c r="BE37" s="1"/>
      <c r="BF37" s="2"/>
      <c r="BG37" s="1"/>
      <c r="BH37" s="2"/>
      <c r="BI37" s="1"/>
      <c r="BJ37" s="2"/>
      <c r="BK37" s="1"/>
      <c r="BL37" s="2"/>
      <c r="BM37" s="1"/>
      <c r="BN37" s="2"/>
      <c r="BO37" s="1"/>
      <c r="BP37" s="2"/>
      <c r="BQ37" s="1"/>
      <c r="BR37" s="2"/>
      <c r="BS37" s="1"/>
      <c r="BT37" s="2"/>
      <c r="BU37" s="1"/>
      <c r="BV37" s="2"/>
      <c r="BW37" s="1"/>
      <c r="BX37" s="2"/>
      <c r="BY37" s="48">
        <f t="shared" si="30"/>
        <v>0</v>
      </c>
      <c r="BZ37" s="49">
        <f t="shared" si="31"/>
        <v>0</v>
      </c>
      <c r="CA37" s="50"/>
      <c r="CB37" s="51">
        <f t="shared" si="8"/>
        <v>37956</v>
      </c>
      <c r="CC37" s="50">
        <f t="shared" si="32"/>
        <v>0</v>
      </c>
      <c r="CD37" s="52">
        <f t="shared" si="19"/>
        <v>416</v>
      </c>
      <c r="CE37" s="50">
        <f t="shared" si="20"/>
        <v>352</v>
      </c>
      <c r="CF37" s="58">
        <f t="shared" si="21"/>
        <v>64</v>
      </c>
      <c r="CG37" s="50">
        <f>VLOOKUP(A37,Interest!$X$8:$AC$367,6)</f>
        <v>0.93095228902916383</v>
      </c>
      <c r="CH37" s="53">
        <f t="shared" si="9"/>
        <v>0</v>
      </c>
      <c r="CI37" s="53">
        <f t="shared" si="10"/>
        <v>0</v>
      </c>
      <c r="CJ37" s="53">
        <f t="shared" si="11"/>
        <v>0</v>
      </c>
      <c r="CK37" s="53">
        <f t="shared" si="12"/>
        <v>0</v>
      </c>
      <c r="CL37" s="25">
        <f t="shared" si="13"/>
        <v>0</v>
      </c>
      <c r="CM37" s="213"/>
      <c r="CN37" s="58"/>
      <c r="CO37" s="213"/>
      <c r="DI37" s="25">
        <f t="shared" si="22"/>
        <v>4</v>
      </c>
      <c r="DJ37" s="54">
        <f>[4]EnergyCurve!$D59</f>
        <v>37956</v>
      </c>
      <c r="DK37" s="30">
        <f t="shared" si="14"/>
        <v>26</v>
      </c>
      <c r="DL37" s="30">
        <f t="shared" si="15"/>
        <v>22</v>
      </c>
      <c r="DM37" s="233">
        <v>37622</v>
      </c>
      <c r="DN37" s="154">
        <v>22</v>
      </c>
      <c r="DO37" s="155">
        <v>4</v>
      </c>
      <c r="DP37" s="155">
        <v>4</v>
      </c>
      <c r="DQ37" s="155">
        <v>1</v>
      </c>
      <c r="DR37" s="154">
        <v>31</v>
      </c>
      <c r="DS37" s="55"/>
      <c r="DT37" s="55"/>
      <c r="DU37" s="233">
        <v>37622</v>
      </c>
      <c r="DV37" s="154">
        <v>22</v>
      </c>
      <c r="DW37" s="155">
        <v>4</v>
      </c>
      <c r="DX37" s="155">
        <v>4</v>
      </c>
      <c r="DY37" s="155">
        <v>1</v>
      </c>
      <c r="DZ37" s="154">
        <v>31</v>
      </c>
      <c r="EA37" s="55"/>
      <c r="EB37" s="55"/>
      <c r="EQ37" s="54"/>
      <c r="ER37" s="190"/>
      <c r="ES37" s="167"/>
      <c r="ET37" s="167"/>
    </row>
    <row r="38" spans="1:150" ht="18" x14ac:dyDescent="0.25">
      <c r="A38" s="56">
        <f>[4]EnergyCurve!$D60</f>
        <v>37987</v>
      </c>
      <c r="B38" s="93">
        <f>[4]EnergyCurve!$O60+[4]EnergyCurve!$Q60</f>
        <v>157475.115234375</v>
      </c>
      <c r="C38" s="94">
        <f t="shared" si="0"/>
        <v>408.19223701829691</v>
      </c>
      <c r="D38" s="94">
        <f t="shared" si="1"/>
        <v>0</v>
      </c>
      <c r="E38" s="93">
        <f t="shared" si="2"/>
        <v>157475.115234375</v>
      </c>
      <c r="F38" s="120">
        <f t="shared" si="3"/>
        <v>408.19223701829691</v>
      </c>
      <c r="G38" s="95">
        <f>([4]EnergyCurve!$E60*CE38+[4]EnergyCurve!$W60*CF38)/CD38</f>
        <v>51.437065417949967</v>
      </c>
      <c r="H38" s="95">
        <f>[4]EnergyCurve!$F60</f>
        <v>-0.83297497025970557</v>
      </c>
      <c r="I38" s="83">
        <f>([4]EnergyCurve!$G60*CE38+[4]EnergyCurve!$Y60*CF38)/CD38</f>
        <v>50.612305002885265</v>
      </c>
      <c r="J38" s="93">
        <f t="shared" si="17"/>
        <v>-131172.82942899721</v>
      </c>
      <c r="K38" s="96">
        <f t="shared" si="4"/>
        <v>0</v>
      </c>
      <c r="L38" s="96">
        <f t="shared" si="5"/>
        <v>-131172.82942899721</v>
      </c>
      <c r="M38" s="71"/>
      <c r="N38" s="296"/>
      <c r="O38" s="163"/>
      <c r="P38" s="245"/>
      <c r="Q38" s="163"/>
      <c r="R38" s="71"/>
      <c r="S38" s="69"/>
      <c r="T38" s="69"/>
      <c r="U38" s="69"/>
      <c r="V38" s="307"/>
      <c r="W38" s="308"/>
      <c r="X38" s="308"/>
      <c r="Y38" s="71"/>
      <c r="Z38" s="301"/>
      <c r="AA38" s="302"/>
      <c r="AB38" s="303"/>
      <c r="AC38" s="303"/>
      <c r="AD38" s="303"/>
      <c r="AE38" s="69"/>
      <c r="AF38" s="69"/>
      <c r="AG38" s="69"/>
      <c r="AH38" s="69"/>
      <c r="AI38" s="69"/>
      <c r="AJ38" s="47">
        <f t="shared" si="7"/>
        <v>37987</v>
      </c>
      <c r="AK38" s="1"/>
      <c r="AL38" s="2"/>
      <c r="AM38" s="1"/>
      <c r="AN38" s="2"/>
      <c r="AO38" s="1"/>
      <c r="AP38" s="2"/>
      <c r="AQ38" s="1"/>
      <c r="AR38" s="2"/>
      <c r="AS38" s="1"/>
      <c r="AT38" s="2"/>
      <c r="AU38" s="1"/>
      <c r="AV38" s="2"/>
      <c r="AW38" s="1"/>
      <c r="AX38" s="2"/>
      <c r="AY38" s="1"/>
      <c r="AZ38" s="2"/>
      <c r="BA38" s="1"/>
      <c r="BB38" s="2"/>
      <c r="BC38" s="1"/>
      <c r="BD38" s="2"/>
      <c r="BE38" s="1"/>
      <c r="BF38" s="2"/>
      <c r="BG38" s="1"/>
      <c r="BH38" s="2"/>
      <c r="BI38" s="1"/>
      <c r="BJ38" s="2"/>
      <c r="BK38" s="1"/>
      <c r="BL38" s="2"/>
      <c r="BM38" s="1"/>
      <c r="BN38" s="2"/>
      <c r="BO38" s="1"/>
      <c r="BP38" s="2"/>
      <c r="BQ38" s="1"/>
      <c r="BR38" s="2"/>
      <c r="BS38" s="1"/>
      <c r="BT38" s="2"/>
      <c r="BU38" s="1"/>
      <c r="BV38" s="2"/>
      <c r="BW38" s="1"/>
      <c r="BX38" s="2"/>
      <c r="BY38" s="48">
        <f t="shared" si="30"/>
        <v>0</v>
      </c>
      <c r="BZ38" s="49">
        <f t="shared" si="31"/>
        <v>0</v>
      </c>
      <c r="CB38" s="51">
        <f t="shared" si="8"/>
        <v>37987</v>
      </c>
      <c r="CC38" s="50">
        <f t="shared" si="32"/>
        <v>0</v>
      </c>
      <c r="CD38" s="52">
        <f t="shared" si="19"/>
        <v>416</v>
      </c>
      <c r="CE38" s="50">
        <f t="shared" si="20"/>
        <v>336</v>
      </c>
      <c r="CF38" s="58">
        <f t="shared" si="21"/>
        <v>80</v>
      </c>
      <c r="CG38" s="50">
        <f>VLOOKUP(A38,Interest!$X$8:$AC$367,6)</f>
        <v>0.92737175221111368</v>
      </c>
      <c r="CH38" s="53">
        <f t="shared" si="9"/>
        <v>0</v>
      </c>
      <c r="CI38" s="53">
        <f t="shared" si="10"/>
        <v>0</v>
      </c>
      <c r="CJ38" s="53">
        <f t="shared" si="11"/>
        <v>0</v>
      </c>
      <c r="CK38" s="53">
        <f t="shared" si="12"/>
        <v>0</v>
      </c>
      <c r="CL38" s="25">
        <f t="shared" si="13"/>
        <v>0</v>
      </c>
      <c r="CM38" s="213"/>
      <c r="CN38" s="58"/>
      <c r="CO38" s="213"/>
      <c r="DI38" s="25">
        <f t="shared" si="22"/>
        <v>5</v>
      </c>
      <c r="DJ38" s="54">
        <f>[4]EnergyCurve!$D60</f>
        <v>37987</v>
      </c>
      <c r="DK38" s="30">
        <f t="shared" si="14"/>
        <v>26</v>
      </c>
      <c r="DL38" s="30">
        <f t="shared" si="15"/>
        <v>21</v>
      </c>
      <c r="DM38" s="233">
        <v>37653</v>
      </c>
      <c r="DN38" s="154">
        <v>19</v>
      </c>
      <c r="DO38" s="155">
        <v>4</v>
      </c>
      <c r="DP38" s="155">
        <v>4</v>
      </c>
      <c r="DQ38" s="155">
        <v>1</v>
      </c>
      <c r="DR38" s="154">
        <v>28</v>
      </c>
      <c r="DS38" s="55"/>
      <c r="DT38" s="55"/>
      <c r="DU38" s="233">
        <v>37653</v>
      </c>
      <c r="DV38" s="154">
        <v>20</v>
      </c>
      <c r="DW38" s="155">
        <v>4</v>
      </c>
      <c r="DX38" s="155">
        <v>4</v>
      </c>
      <c r="DY38" s="155">
        <v>0</v>
      </c>
      <c r="DZ38" s="154">
        <v>28</v>
      </c>
      <c r="EA38" s="55"/>
      <c r="EB38" s="55"/>
      <c r="EQ38" s="54"/>
      <c r="ER38" s="190"/>
      <c r="ES38" s="167"/>
      <c r="ET38" s="167"/>
    </row>
    <row r="39" spans="1:150" ht="17.25" customHeight="1" x14ac:dyDescent="0.25">
      <c r="A39" s="56">
        <f>[4]EnergyCurve!$D61</f>
        <v>38018</v>
      </c>
      <c r="B39" s="93">
        <f>[4]EnergyCurve!$O61+[4]EnergyCurve!$Q61</f>
        <v>144689.158203125</v>
      </c>
      <c r="C39" s="94">
        <f t="shared" si="0"/>
        <v>407.83055319372471</v>
      </c>
      <c r="D39" s="94">
        <f t="shared" si="1"/>
        <v>0</v>
      </c>
      <c r="E39" s="93">
        <f t="shared" si="2"/>
        <v>144689.158203125</v>
      </c>
      <c r="F39" s="120">
        <f t="shared" si="3"/>
        <v>407.83055319372471</v>
      </c>
      <c r="G39" s="95">
        <f>([4]EnergyCurve!$E61*CE39+[4]EnergyCurve!$W61*CF39)/CD39</f>
        <v>50.23948542277018</v>
      </c>
      <c r="H39" s="95">
        <f>[4]EnergyCurve!$F61</f>
        <v>-0.84558348184206977</v>
      </c>
      <c r="I39" s="83">
        <f>([4]EnergyCurve!$G61*CE39+[4]EnergyCurve!$Y61*CF39)/CD39</f>
        <v>49.40112924798737</v>
      </c>
      <c r="J39" s="93">
        <f t="shared" si="17"/>
        <v>-122346.76217819651</v>
      </c>
      <c r="K39" s="96">
        <f t="shared" si="4"/>
        <v>0</v>
      </c>
      <c r="L39" s="96">
        <f t="shared" si="5"/>
        <v>-122346.76217819651</v>
      </c>
      <c r="M39" s="71"/>
      <c r="N39" s="292"/>
      <c r="O39" s="293"/>
      <c r="P39" s="293"/>
      <c r="Q39" s="163"/>
      <c r="R39" s="71"/>
      <c r="S39" s="69"/>
      <c r="T39" s="69"/>
      <c r="U39" s="69"/>
      <c r="V39" s="71"/>
      <c r="W39" s="71"/>
      <c r="X39" s="71"/>
      <c r="Y39" s="71"/>
      <c r="Z39" s="71"/>
      <c r="AA39" s="71"/>
      <c r="AB39" s="71"/>
      <c r="AC39" s="71"/>
      <c r="AD39" s="309"/>
      <c r="AE39" s="69"/>
      <c r="AF39" s="69"/>
      <c r="AG39" s="69"/>
      <c r="AH39" s="69"/>
      <c r="AI39" s="69"/>
      <c r="AJ39" s="47">
        <f t="shared" si="7"/>
        <v>38018</v>
      </c>
      <c r="AK39" s="1"/>
      <c r="AL39" s="2"/>
      <c r="AM39" s="1"/>
      <c r="AN39" s="2"/>
      <c r="AO39" s="1"/>
      <c r="AP39" s="2"/>
      <c r="AQ39" s="1"/>
      <c r="AR39" s="2"/>
      <c r="AS39" s="1"/>
      <c r="AT39" s="2"/>
      <c r="AU39" s="1"/>
      <c r="AV39" s="2"/>
      <c r="AW39" s="1"/>
      <c r="AX39" s="2"/>
      <c r="AY39" s="1"/>
      <c r="AZ39" s="2"/>
      <c r="BA39" s="1"/>
      <c r="BB39" s="2"/>
      <c r="BC39" s="1"/>
      <c r="BD39" s="2"/>
      <c r="BE39" s="1"/>
      <c r="BF39" s="2"/>
      <c r="BG39" s="1"/>
      <c r="BH39" s="2"/>
      <c r="BI39" s="1"/>
      <c r="BJ39" s="2"/>
      <c r="BK39" s="1"/>
      <c r="BL39" s="2"/>
      <c r="BM39" s="1"/>
      <c r="BN39" s="2"/>
      <c r="BO39" s="1"/>
      <c r="BP39" s="2"/>
      <c r="BQ39" s="1"/>
      <c r="BR39" s="2"/>
      <c r="BS39" s="1"/>
      <c r="BT39" s="2"/>
      <c r="BU39" s="1"/>
      <c r="BV39" s="2"/>
      <c r="BW39" s="1"/>
      <c r="BX39" s="2"/>
      <c r="BY39" s="48">
        <f t="shared" si="30"/>
        <v>0</v>
      </c>
      <c r="BZ39" s="49">
        <f t="shared" si="31"/>
        <v>0</v>
      </c>
      <c r="CB39" s="51">
        <f t="shared" si="8"/>
        <v>38018</v>
      </c>
      <c r="CC39" s="50">
        <f t="shared" si="32"/>
        <v>0</v>
      </c>
      <c r="CD39" s="52">
        <f t="shared" si="19"/>
        <v>384</v>
      </c>
      <c r="CE39" s="50">
        <f t="shared" si="20"/>
        <v>320</v>
      </c>
      <c r="CF39" s="58">
        <f t="shared" si="21"/>
        <v>64</v>
      </c>
      <c r="CG39" s="50">
        <f>VLOOKUP(A39,Interest!$X$8:$AC$367,6)</f>
        <v>0.92390008514554756</v>
      </c>
      <c r="CH39" s="53">
        <f t="shared" si="9"/>
        <v>0</v>
      </c>
      <c r="CI39" s="53">
        <f t="shared" si="10"/>
        <v>0</v>
      </c>
      <c r="CJ39" s="53">
        <f t="shared" si="11"/>
        <v>0</v>
      </c>
      <c r="CK39" s="53">
        <f t="shared" si="12"/>
        <v>0</v>
      </c>
      <c r="CL39" s="25">
        <f t="shared" si="13"/>
        <v>0</v>
      </c>
      <c r="CM39" s="213"/>
      <c r="CN39" s="58"/>
      <c r="CO39" s="213"/>
      <c r="DI39" s="25">
        <f t="shared" si="22"/>
        <v>4</v>
      </c>
      <c r="DJ39" s="54">
        <f>[4]EnergyCurve!$D61</f>
        <v>38018</v>
      </c>
      <c r="DK39" s="30">
        <f t="shared" si="14"/>
        <v>24</v>
      </c>
      <c r="DL39" s="30">
        <f t="shared" si="15"/>
        <v>20</v>
      </c>
      <c r="DM39" s="233">
        <v>37681</v>
      </c>
      <c r="DN39" s="154">
        <v>21</v>
      </c>
      <c r="DO39" s="155">
        <v>5</v>
      </c>
      <c r="DP39" s="155">
        <v>5</v>
      </c>
      <c r="DQ39" s="155">
        <v>0</v>
      </c>
      <c r="DR39" s="154">
        <v>31</v>
      </c>
      <c r="DS39" s="55"/>
      <c r="DT39" s="55"/>
      <c r="DU39" s="233">
        <v>37681</v>
      </c>
      <c r="DV39" s="154">
        <v>21</v>
      </c>
      <c r="DW39" s="155">
        <v>5</v>
      </c>
      <c r="DX39" s="155">
        <v>5</v>
      </c>
      <c r="DY39" s="155">
        <v>0</v>
      </c>
      <c r="DZ39" s="154">
        <v>31</v>
      </c>
      <c r="EA39" s="55"/>
      <c r="EB39" s="55"/>
    </row>
    <row r="40" spans="1:150" ht="18" customHeight="1" x14ac:dyDescent="0.25">
      <c r="A40" s="56">
        <f>[4]EnergyCurve!$D62</f>
        <v>38047</v>
      </c>
      <c r="B40" s="93">
        <f>[4]EnergyCurve!$O62+[4]EnergyCurve!$Q62</f>
        <v>162228.8515625</v>
      </c>
      <c r="C40" s="94">
        <f t="shared" si="0"/>
        <v>408.06485907061978</v>
      </c>
      <c r="D40" s="94">
        <f t="shared" si="1"/>
        <v>0</v>
      </c>
      <c r="E40" s="93">
        <f t="shared" si="2"/>
        <v>162228.8515625</v>
      </c>
      <c r="F40" s="120">
        <f t="shared" si="3"/>
        <v>408.06485907061978</v>
      </c>
      <c r="G40" s="95">
        <f>([4]EnergyCurve!$E62*CE40+[4]EnergyCurve!$W62*CF40)/CD40</f>
        <v>48.271047238950374</v>
      </c>
      <c r="H40" s="95">
        <f>[4]EnergyCurve!$F62</f>
        <v>-0.84477126918276468</v>
      </c>
      <c r="I40" s="83">
        <f>([4]EnergyCurve!$G62*CE40+[4]EnergyCurve!$Y62*CF40)/CD40</f>
        <v>47.432694477794477</v>
      </c>
      <c r="J40" s="93">
        <f t="shared" si="17"/>
        <v>-137046.27283251547</v>
      </c>
      <c r="K40" s="96">
        <f t="shared" si="4"/>
        <v>0</v>
      </c>
      <c r="L40" s="96">
        <f t="shared" si="5"/>
        <v>-137046.27283251547</v>
      </c>
      <c r="M40" s="71"/>
      <c r="N40" s="292"/>
      <c r="O40" s="245"/>
      <c r="P40" s="245"/>
      <c r="Q40" s="163"/>
      <c r="R40" s="71"/>
      <c r="S40" s="69"/>
      <c r="T40" s="69"/>
      <c r="U40" s="69"/>
      <c r="V40" s="71"/>
      <c r="W40" s="71"/>
      <c r="X40" s="71"/>
      <c r="Y40" s="71"/>
      <c r="Z40" s="71"/>
      <c r="AA40" s="71"/>
      <c r="AB40" s="71"/>
      <c r="AC40" s="71"/>
      <c r="AD40" s="71"/>
      <c r="AE40" s="69"/>
      <c r="AF40" s="69"/>
      <c r="AG40" s="69"/>
      <c r="AH40" s="69"/>
      <c r="AI40" s="69"/>
      <c r="AJ40" s="47">
        <f t="shared" si="7"/>
        <v>38047</v>
      </c>
      <c r="AK40" s="1"/>
      <c r="AL40" s="2"/>
      <c r="AM40" s="1"/>
      <c r="AN40" s="2"/>
      <c r="AO40" s="1"/>
      <c r="AP40" s="2"/>
      <c r="AQ40" s="1"/>
      <c r="AR40" s="2"/>
      <c r="AS40" s="1"/>
      <c r="AT40" s="2"/>
      <c r="AU40" s="1"/>
      <c r="AV40" s="2"/>
      <c r="AW40" s="1"/>
      <c r="AX40" s="2"/>
      <c r="AY40" s="1"/>
      <c r="AZ40" s="2"/>
      <c r="BA40" s="1"/>
      <c r="BB40" s="2"/>
      <c r="BC40" s="1"/>
      <c r="BD40" s="2"/>
      <c r="BE40" s="1"/>
      <c r="BF40" s="2"/>
      <c r="BG40" s="1"/>
      <c r="BH40" s="2"/>
      <c r="BI40" s="1"/>
      <c r="BJ40" s="2"/>
      <c r="BK40" s="1"/>
      <c r="BL40" s="2"/>
      <c r="BM40" s="1"/>
      <c r="BN40" s="2"/>
      <c r="BO40" s="1"/>
      <c r="BP40" s="2"/>
      <c r="BQ40" s="1"/>
      <c r="BR40" s="2"/>
      <c r="BS40" s="1"/>
      <c r="BT40" s="2"/>
      <c r="BU40" s="1"/>
      <c r="BV40" s="2"/>
      <c r="BW40" s="1"/>
      <c r="BX40" s="2"/>
      <c r="BY40" s="48">
        <f t="shared" si="30"/>
        <v>0</v>
      </c>
      <c r="BZ40" s="49">
        <f t="shared" si="31"/>
        <v>0</v>
      </c>
      <c r="CB40" s="51">
        <f t="shared" si="8"/>
        <v>38047</v>
      </c>
      <c r="CC40" s="50">
        <f t="shared" si="32"/>
        <v>0</v>
      </c>
      <c r="CD40" s="52">
        <f t="shared" si="19"/>
        <v>432</v>
      </c>
      <c r="CE40" s="50">
        <f t="shared" si="20"/>
        <v>368</v>
      </c>
      <c r="CF40" s="58">
        <f t="shared" si="21"/>
        <v>64</v>
      </c>
      <c r="CG40" s="50">
        <f>VLOOKUP(A40,Interest!$X$8:$AC$367,6)</f>
        <v>0.92026975771094099</v>
      </c>
      <c r="CH40" s="53">
        <f t="shared" si="9"/>
        <v>0</v>
      </c>
      <c r="CI40" s="53">
        <f t="shared" si="10"/>
        <v>0</v>
      </c>
      <c r="CJ40" s="53">
        <f t="shared" si="11"/>
        <v>0</v>
      </c>
      <c r="CK40" s="53">
        <f t="shared" si="12"/>
        <v>0</v>
      </c>
      <c r="CL40" s="25">
        <f t="shared" si="13"/>
        <v>0</v>
      </c>
      <c r="CM40" s="213"/>
      <c r="CN40" s="58"/>
      <c r="CO40" s="213"/>
      <c r="DI40" s="25">
        <f t="shared" si="22"/>
        <v>4</v>
      </c>
      <c r="DJ40" s="54">
        <f>[4]EnergyCurve!$D62</f>
        <v>38047</v>
      </c>
      <c r="DK40" s="30">
        <f t="shared" si="14"/>
        <v>27</v>
      </c>
      <c r="DL40" s="30">
        <f t="shared" si="15"/>
        <v>23</v>
      </c>
      <c r="DM40" s="233">
        <v>37712</v>
      </c>
      <c r="DN40" s="154">
        <v>21</v>
      </c>
      <c r="DO40" s="155">
        <v>4</v>
      </c>
      <c r="DP40" s="155">
        <v>4</v>
      </c>
      <c r="DQ40" s="155">
        <v>1</v>
      </c>
      <c r="DR40" s="154">
        <v>30</v>
      </c>
      <c r="DS40" s="55"/>
      <c r="DT40" s="55"/>
      <c r="DU40" s="233">
        <v>37712</v>
      </c>
      <c r="DV40" s="154">
        <v>22</v>
      </c>
      <c r="DW40" s="155">
        <v>4</v>
      </c>
      <c r="DX40" s="155">
        <v>4</v>
      </c>
      <c r="DY40" s="155">
        <v>0</v>
      </c>
      <c r="DZ40" s="154">
        <v>30</v>
      </c>
      <c r="EA40" s="55"/>
      <c r="EB40" s="55"/>
    </row>
    <row r="41" spans="1:150" ht="15.75" customHeight="1" x14ac:dyDescent="0.25">
      <c r="A41" s="56">
        <f>[4]EnergyCurve!$D63</f>
        <v>38078</v>
      </c>
      <c r="B41" s="93">
        <f>[4]EnergyCurve!$O63+[4]EnergyCurve!$Q63</f>
        <v>156026.548828125</v>
      </c>
      <c r="C41" s="94">
        <f t="shared" si="0"/>
        <v>409.19042644017816</v>
      </c>
      <c r="D41" s="94">
        <f t="shared" si="1"/>
        <v>0</v>
      </c>
      <c r="E41" s="93">
        <f t="shared" si="2"/>
        <v>156026.548828125</v>
      </c>
      <c r="F41" s="120">
        <f t="shared" si="3"/>
        <v>409.19042644017816</v>
      </c>
      <c r="G41" s="95">
        <f>([4]EnergyCurve!$E63*CE41+[4]EnergyCurve!$W63*CF41)/CD41</f>
        <v>45.523172231820915</v>
      </c>
      <c r="H41" s="95">
        <f>[4]EnergyCurve!$F63</f>
        <v>-0.84500486828216026</v>
      </c>
      <c r="I41" s="83">
        <f>([4]EnergyCurve!$G63*CE41+[4]EnergyCurve!$Y63*CF41)/CD41</f>
        <v>44.684833782699762</v>
      </c>
      <c r="J41" s="93">
        <f t="shared" si="17"/>
        <v>-131843.19334102981</v>
      </c>
      <c r="K41" s="96">
        <f t="shared" si="4"/>
        <v>0</v>
      </c>
      <c r="L41" s="96">
        <f t="shared" si="5"/>
        <v>-131843.19334102981</v>
      </c>
      <c r="M41" s="71"/>
      <c r="N41" s="292"/>
      <c r="O41" s="245"/>
      <c r="P41" s="245"/>
      <c r="Q41" s="163"/>
      <c r="R41" s="71"/>
      <c r="S41" s="69"/>
      <c r="T41" s="69"/>
      <c r="U41" s="69"/>
      <c r="V41" s="71"/>
      <c r="W41" s="71"/>
      <c r="X41" s="71"/>
      <c r="Y41" s="71"/>
      <c r="Z41" s="71"/>
      <c r="AA41" s="71"/>
      <c r="AB41" s="71"/>
      <c r="AC41" s="71"/>
      <c r="AD41" s="71"/>
      <c r="AE41" s="69"/>
      <c r="AF41" s="69"/>
      <c r="AG41" s="69"/>
      <c r="AH41" s="69"/>
      <c r="AI41" s="69"/>
      <c r="AJ41" s="47">
        <f t="shared" si="7"/>
        <v>38078</v>
      </c>
      <c r="AK41" s="1"/>
      <c r="AL41" s="2"/>
      <c r="AM41" s="1"/>
      <c r="AN41" s="2"/>
      <c r="AO41" s="1"/>
      <c r="AP41" s="2"/>
      <c r="AQ41" s="1"/>
      <c r="AR41" s="2"/>
      <c r="AS41" s="1"/>
      <c r="AT41" s="2"/>
      <c r="AU41" s="1"/>
      <c r="AV41" s="2"/>
      <c r="AW41" s="1"/>
      <c r="AX41" s="2"/>
      <c r="AY41" s="1"/>
      <c r="AZ41" s="2"/>
      <c r="BA41" s="1"/>
      <c r="BB41" s="2"/>
      <c r="BC41" s="1"/>
      <c r="BD41" s="2"/>
      <c r="BE41" s="1"/>
      <c r="BF41" s="2"/>
      <c r="BG41" s="1"/>
      <c r="BH41" s="2"/>
      <c r="BI41" s="1"/>
      <c r="BJ41" s="2"/>
      <c r="BK41" s="1"/>
      <c r="BL41" s="2"/>
      <c r="BM41" s="1"/>
      <c r="BN41" s="2"/>
      <c r="BO41" s="1"/>
      <c r="BP41" s="2"/>
      <c r="BQ41" s="1"/>
      <c r="BR41" s="2"/>
      <c r="BS41" s="1"/>
      <c r="BT41" s="2"/>
      <c r="BU41" s="1"/>
      <c r="BV41" s="2"/>
      <c r="BW41" s="1"/>
      <c r="BX41" s="2"/>
      <c r="BY41" s="48">
        <f t="shared" si="30"/>
        <v>0</v>
      </c>
      <c r="BZ41" s="49">
        <f t="shared" si="31"/>
        <v>0</v>
      </c>
      <c r="CB41" s="51">
        <f t="shared" si="8"/>
        <v>38078</v>
      </c>
      <c r="CC41" s="50">
        <f t="shared" si="32"/>
        <v>0</v>
      </c>
      <c r="CD41" s="52">
        <f t="shared" si="19"/>
        <v>416</v>
      </c>
      <c r="CE41" s="50">
        <f t="shared" si="20"/>
        <v>352</v>
      </c>
      <c r="CF41" s="58">
        <f t="shared" si="21"/>
        <v>64</v>
      </c>
      <c r="CG41" s="50">
        <f>VLOOKUP(A41,Interest!$X$8:$AC$367,6)</f>
        <v>0.91659969310941369</v>
      </c>
      <c r="CH41" s="53">
        <f t="shared" si="9"/>
        <v>0</v>
      </c>
      <c r="CI41" s="53">
        <f t="shared" si="10"/>
        <v>0</v>
      </c>
      <c r="CJ41" s="53">
        <f t="shared" si="11"/>
        <v>0</v>
      </c>
      <c r="CK41" s="53">
        <f t="shared" si="12"/>
        <v>0</v>
      </c>
      <c r="CL41" s="25">
        <f t="shared" si="13"/>
        <v>0</v>
      </c>
      <c r="CM41" s="213"/>
      <c r="CN41" s="58"/>
      <c r="CO41" s="213"/>
      <c r="DI41" s="25">
        <f t="shared" si="22"/>
        <v>4</v>
      </c>
      <c r="DJ41" s="54">
        <f>[4]EnergyCurve!$D63</f>
        <v>38078</v>
      </c>
      <c r="DK41" s="30">
        <f t="shared" si="14"/>
        <v>26</v>
      </c>
      <c r="DL41" s="30">
        <f t="shared" si="15"/>
        <v>22</v>
      </c>
      <c r="DM41" s="233">
        <v>37742</v>
      </c>
      <c r="DN41" s="154">
        <v>21</v>
      </c>
      <c r="DO41" s="155">
        <v>5</v>
      </c>
      <c r="DP41" s="155">
        <v>4</v>
      </c>
      <c r="DQ41" s="155">
        <v>1</v>
      </c>
      <c r="DR41" s="154">
        <v>31</v>
      </c>
      <c r="DS41" s="55"/>
      <c r="DT41" s="55"/>
      <c r="DU41" s="233">
        <v>37742</v>
      </c>
      <c r="DV41" s="154">
        <v>21</v>
      </c>
      <c r="DW41" s="155">
        <v>5</v>
      </c>
      <c r="DX41" s="155">
        <v>4</v>
      </c>
      <c r="DY41" s="155">
        <v>1</v>
      </c>
      <c r="DZ41" s="154">
        <v>31</v>
      </c>
      <c r="EA41" s="55"/>
      <c r="EB41" s="55"/>
    </row>
    <row r="42" spans="1:150" ht="18" x14ac:dyDescent="0.25">
      <c r="A42" s="56">
        <f>[4]EnergyCurve!$D64</f>
        <v>38108</v>
      </c>
      <c r="B42" s="93">
        <f>[4]EnergyCurve!$O64+[4]EnergyCurve!$Q64</f>
        <v>149467.173828125</v>
      </c>
      <c r="C42" s="94">
        <f t="shared" si="0"/>
        <v>409.35448455070429</v>
      </c>
      <c r="D42" s="94">
        <f t="shared" si="1"/>
        <v>0</v>
      </c>
      <c r="E42" s="93">
        <f t="shared" si="2"/>
        <v>149467.173828125</v>
      </c>
      <c r="F42" s="120">
        <f t="shared" si="3"/>
        <v>409.35448455070429</v>
      </c>
      <c r="G42" s="95">
        <f>([4]EnergyCurve!$E64*CE42+[4]EnergyCurve!$W64*CF42)/CD42</f>
        <v>45.481410980224609</v>
      </c>
      <c r="H42" s="95">
        <f>[4]EnergyCurve!$F64</f>
        <v>-0.84214630137856972</v>
      </c>
      <c r="I42" s="83">
        <f>([4]EnergyCurve!$G64*CE42+[4]EnergyCurve!$Y64*CF42)/CD42</f>
        <v>44.647901783370642</v>
      </c>
      <c r="J42" s="93">
        <f t="shared" si="17"/>
        <v>-125873.22761686322</v>
      </c>
      <c r="K42" s="96">
        <f t="shared" si="4"/>
        <v>0</v>
      </c>
      <c r="L42" s="96">
        <f t="shared" si="5"/>
        <v>-125873.22761686322</v>
      </c>
      <c r="M42" s="71"/>
      <c r="N42" s="292"/>
      <c r="O42" s="245"/>
      <c r="P42" s="245"/>
      <c r="Q42" s="163"/>
      <c r="R42" s="71"/>
      <c r="S42" s="69"/>
      <c r="T42" s="69"/>
      <c r="U42" s="69"/>
      <c r="V42" s="69"/>
      <c r="W42" s="69"/>
      <c r="X42" s="69"/>
      <c r="Y42" s="69"/>
      <c r="Z42" s="69"/>
      <c r="AA42" s="69"/>
      <c r="AB42" s="69"/>
      <c r="AC42" s="69"/>
      <c r="AD42" s="69"/>
      <c r="AE42" s="69"/>
      <c r="AF42" s="69"/>
      <c r="AG42" s="69"/>
      <c r="AH42" s="69"/>
      <c r="AI42" s="69"/>
      <c r="AJ42" s="47">
        <f t="shared" si="7"/>
        <v>38108</v>
      </c>
      <c r="AK42" s="1"/>
      <c r="AL42" s="2"/>
      <c r="AM42" s="1"/>
      <c r="AN42" s="2"/>
      <c r="AO42" s="1"/>
      <c r="AP42" s="2"/>
      <c r="AQ42" s="1"/>
      <c r="AR42" s="2"/>
      <c r="AS42" s="1"/>
      <c r="AT42" s="2"/>
      <c r="AU42" s="1"/>
      <c r="AV42" s="2"/>
      <c r="AW42" s="1"/>
      <c r="AX42" s="2"/>
      <c r="AY42" s="1"/>
      <c r="AZ42" s="2"/>
      <c r="BA42" s="1"/>
      <c r="BB42" s="2"/>
      <c r="BC42" s="1"/>
      <c r="BD42" s="2"/>
      <c r="BE42" s="1"/>
      <c r="BF42" s="2"/>
      <c r="BG42" s="1"/>
      <c r="BH42" s="2"/>
      <c r="BI42" s="1"/>
      <c r="BJ42" s="2"/>
      <c r="BK42" s="1"/>
      <c r="BL42" s="2"/>
      <c r="BM42" s="1"/>
      <c r="BN42" s="2"/>
      <c r="BO42" s="1"/>
      <c r="BP42" s="2"/>
      <c r="BQ42" s="1"/>
      <c r="BR42" s="2"/>
      <c r="BS42" s="1"/>
      <c r="BT42" s="2"/>
      <c r="BU42" s="1"/>
      <c r="BV42" s="2"/>
      <c r="BW42" s="1"/>
      <c r="BX42" s="2"/>
      <c r="BY42" s="48">
        <f t="shared" si="30"/>
        <v>0</v>
      </c>
      <c r="BZ42" s="49">
        <f t="shared" si="31"/>
        <v>0</v>
      </c>
      <c r="CB42" s="51">
        <f t="shared" si="8"/>
        <v>38108</v>
      </c>
      <c r="CC42" s="50">
        <f t="shared" si="32"/>
        <v>0</v>
      </c>
      <c r="CD42" s="52">
        <f t="shared" si="19"/>
        <v>400</v>
      </c>
      <c r="CE42" s="50">
        <f t="shared" si="20"/>
        <v>320</v>
      </c>
      <c r="CF42" s="58">
        <f t="shared" si="21"/>
        <v>80</v>
      </c>
      <c r="CG42" s="50">
        <f>VLOOKUP(A42,Interest!$X$8:$AC$367,6)</f>
        <v>0.91282237931371313</v>
      </c>
      <c r="CH42" s="53">
        <f t="shared" si="9"/>
        <v>0</v>
      </c>
      <c r="CI42" s="53">
        <f t="shared" si="10"/>
        <v>0</v>
      </c>
      <c r="CJ42" s="53">
        <f t="shared" si="11"/>
        <v>0</v>
      </c>
      <c r="CK42" s="53">
        <f t="shared" si="12"/>
        <v>0</v>
      </c>
      <c r="CL42" s="25">
        <f t="shared" si="13"/>
        <v>0</v>
      </c>
      <c r="CM42" s="213"/>
      <c r="CN42" s="58"/>
      <c r="CO42" s="213"/>
      <c r="DI42" s="25">
        <f t="shared" si="22"/>
        <v>5</v>
      </c>
      <c r="DJ42" s="54">
        <f>[4]EnergyCurve!$D64</f>
        <v>38108</v>
      </c>
      <c r="DK42" s="30">
        <f t="shared" si="14"/>
        <v>25</v>
      </c>
      <c r="DL42" s="30">
        <f t="shared" si="15"/>
        <v>20</v>
      </c>
      <c r="DM42" s="233">
        <v>37773</v>
      </c>
      <c r="DN42" s="154">
        <v>21</v>
      </c>
      <c r="DO42" s="155">
        <v>4</v>
      </c>
      <c r="DP42" s="155">
        <v>5</v>
      </c>
      <c r="DQ42" s="155">
        <v>0</v>
      </c>
      <c r="DR42" s="154">
        <v>30</v>
      </c>
      <c r="DS42" s="55"/>
      <c r="DT42" s="55"/>
      <c r="DU42" s="233">
        <v>37773</v>
      </c>
      <c r="DV42" s="154">
        <v>21</v>
      </c>
      <c r="DW42" s="155">
        <v>4</v>
      </c>
      <c r="DX42" s="155">
        <v>5</v>
      </c>
      <c r="DY42" s="155">
        <v>0</v>
      </c>
      <c r="DZ42" s="154">
        <v>30</v>
      </c>
      <c r="EA42" s="55"/>
      <c r="EB42" s="55"/>
    </row>
    <row r="43" spans="1:150" ht="18" x14ac:dyDescent="0.25">
      <c r="A43" s="56">
        <f>[4]EnergyCurve!$D65</f>
        <v>38139</v>
      </c>
      <c r="B43" s="93">
        <f>[4]EnergyCurve!$O65+[4]EnergyCurve!$Q65</f>
        <v>154917.5859375</v>
      </c>
      <c r="C43" s="94">
        <f t="shared" si="0"/>
        <v>409.66072282086026</v>
      </c>
      <c r="D43" s="94">
        <f t="shared" si="1"/>
        <v>0</v>
      </c>
      <c r="E43" s="93">
        <f t="shared" si="2"/>
        <v>154917.5859375</v>
      </c>
      <c r="F43" s="120">
        <f t="shared" si="3"/>
        <v>409.66072282086026</v>
      </c>
      <c r="G43" s="95">
        <f>([4]EnergyCurve!$E65*CE43+[4]EnergyCurve!$W65*CF43)/CD43</f>
        <v>46.132250859187202</v>
      </c>
      <c r="H43" s="95">
        <f>[4]EnergyCurve!$F65</f>
        <v>-0.83844007357527062</v>
      </c>
      <c r="I43" s="83">
        <f>([4]EnergyCurve!$G65*CE43+[4]EnergyCurve!$Y65*CF43)/CD43</f>
        <v>45.300425336280234</v>
      </c>
      <c r="J43" s="93">
        <f t="shared" si="17"/>
        <v>-129889.11215154082</v>
      </c>
      <c r="K43" s="96">
        <f t="shared" si="4"/>
        <v>0</v>
      </c>
      <c r="L43" s="96">
        <f t="shared" si="5"/>
        <v>-129889.11215154082</v>
      </c>
      <c r="M43" s="71"/>
      <c r="N43" s="292"/>
      <c r="O43" s="293"/>
      <c r="P43" s="293"/>
      <c r="Q43" s="163"/>
      <c r="R43" s="71"/>
      <c r="S43" s="69"/>
      <c r="T43" s="69"/>
      <c r="U43" s="69"/>
      <c r="V43" s="69"/>
      <c r="W43" s="69"/>
      <c r="X43" s="69"/>
      <c r="Y43" s="69"/>
      <c r="Z43" s="69"/>
      <c r="AA43" s="69"/>
      <c r="AB43" s="69"/>
      <c r="AC43" s="69"/>
      <c r="AD43" s="69"/>
      <c r="AE43" s="69"/>
      <c r="AF43" s="69"/>
      <c r="AG43" s="69"/>
      <c r="AH43" s="69"/>
      <c r="AI43" s="69"/>
      <c r="AJ43" s="47">
        <f t="shared" si="7"/>
        <v>38139</v>
      </c>
      <c r="AK43" s="1"/>
      <c r="AL43" s="2"/>
      <c r="AM43" s="1"/>
      <c r="AN43" s="2"/>
      <c r="AO43" s="1"/>
      <c r="AP43" s="2"/>
      <c r="AQ43" s="1"/>
      <c r="AR43" s="2"/>
      <c r="AS43" s="1"/>
      <c r="AT43" s="2"/>
      <c r="AU43" s="1"/>
      <c r="AV43" s="2"/>
      <c r="AW43" s="1"/>
      <c r="AX43" s="2"/>
      <c r="AY43" s="1"/>
      <c r="AZ43" s="2"/>
      <c r="BA43" s="1"/>
      <c r="BB43" s="2"/>
      <c r="BC43" s="1"/>
      <c r="BD43" s="2"/>
      <c r="BE43" s="1"/>
      <c r="BF43" s="2"/>
      <c r="BG43" s="1"/>
      <c r="BH43" s="2"/>
      <c r="BI43" s="1"/>
      <c r="BJ43" s="2"/>
      <c r="BK43" s="1"/>
      <c r="BL43" s="2"/>
      <c r="BM43" s="1"/>
      <c r="BN43" s="2"/>
      <c r="BO43" s="1"/>
      <c r="BP43" s="2"/>
      <c r="BQ43" s="1"/>
      <c r="BR43" s="2"/>
      <c r="BS43" s="1"/>
      <c r="BT43" s="2"/>
      <c r="BU43" s="1"/>
      <c r="BV43" s="2"/>
      <c r="BW43" s="1"/>
      <c r="BX43" s="2"/>
      <c r="BY43" s="48">
        <f t="shared" si="30"/>
        <v>0</v>
      </c>
      <c r="BZ43" s="49">
        <f t="shared" si="31"/>
        <v>0</v>
      </c>
      <c r="CB43" s="51">
        <f t="shared" si="8"/>
        <v>38139</v>
      </c>
      <c r="CC43" s="50">
        <f t="shared" si="32"/>
        <v>0</v>
      </c>
      <c r="CD43" s="52">
        <f t="shared" si="19"/>
        <v>416</v>
      </c>
      <c r="CE43" s="50">
        <f t="shared" si="20"/>
        <v>352</v>
      </c>
      <c r="CF43" s="58">
        <f t="shared" si="21"/>
        <v>64</v>
      </c>
      <c r="CG43" s="50">
        <f>VLOOKUP(A43,Interest!$X$8:$AC$367,6)</f>
        <v>0.90904014559832624</v>
      </c>
      <c r="CH43" s="53">
        <f t="shared" si="9"/>
        <v>0</v>
      </c>
      <c r="CI43" s="53">
        <f t="shared" si="10"/>
        <v>0</v>
      </c>
      <c r="CJ43" s="53">
        <f t="shared" si="11"/>
        <v>0</v>
      </c>
      <c r="CK43" s="53">
        <f t="shared" si="12"/>
        <v>0</v>
      </c>
      <c r="CL43" s="25">
        <f t="shared" si="13"/>
        <v>0</v>
      </c>
      <c r="CM43" s="213"/>
      <c r="CN43" s="58"/>
      <c r="CO43" s="213"/>
      <c r="DI43" s="25">
        <f t="shared" si="22"/>
        <v>4</v>
      </c>
      <c r="DJ43" s="54">
        <f>[4]EnergyCurve!$D65</f>
        <v>38139</v>
      </c>
      <c r="DK43" s="30">
        <f t="shared" si="14"/>
        <v>26</v>
      </c>
      <c r="DL43" s="30">
        <f t="shared" si="15"/>
        <v>22</v>
      </c>
      <c r="DM43" s="233">
        <v>37803</v>
      </c>
      <c r="DN43" s="154">
        <v>22</v>
      </c>
      <c r="DO43" s="155">
        <v>4</v>
      </c>
      <c r="DP43" s="155">
        <v>4</v>
      </c>
      <c r="DQ43" s="155">
        <v>1</v>
      </c>
      <c r="DR43" s="154">
        <v>31</v>
      </c>
      <c r="DS43" s="55"/>
      <c r="DT43" s="55"/>
      <c r="DU43" s="233">
        <v>37803</v>
      </c>
      <c r="DV43" s="154">
        <v>22</v>
      </c>
      <c r="DW43" s="155">
        <v>4</v>
      </c>
      <c r="DX43" s="155">
        <v>4</v>
      </c>
      <c r="DY43" s="155">
        <v>1</v>
      </c>
      <c r="DZ43" s="154">
        <v>31</v>
      </c>
      <c r="EA43" s="55"/>
      <c r="EB43" s="55"/>
    </row>
    <row r="44" spans="1:150" ht="18" x14ac:dyDescent="0.25">
      <c r="A44" s="56">
        <f>[4]EnergyCurve!$D66</f>
        <v>38169</v>
      </c>
      <c r="B44" s="93">
        <f>[4]EnergyCurve!$O66+[4]EnergyCurve!$Q66</f>
        <v>154457.75390625</v>
      </c>
      <c r="C44" s="94">
        <f t="shared" si="0"/>
        <v>410.19891484017029</v>
      </c>
      <c r="D44" s="94">
        <f t="shared" si="1"/>
        <v>0</v>
      </c>
      <c r="E44" s="93">
        <f t="shared" si="2"/>
        <v>154457.75390625</v>
      </c>
      <c r="F44" s="120">
        <f t="shared" si="3"/>
        <v>410.19891484017029</v>
      </c>
      <c r="G44" s="95">
        <f>([4]EnergyCurve!$E66*CE44+[4]EnergyCurve!$W66*CF44)/CD44</f>
        <v>46.684199113112228</v>
      </c>
      <c r="H44" s="95">
        <f>[4]EnergyCurve!$F66</f>
        <v>-0.83470333582326361</v>
      </c>
      <c r="I44" s="83">
        <f>([4]EnergyCurve!$G66*CE44+[4]EnergyCurve!$Y66*CF44)/CD44</f>
        <v>45.857727753712133</v>
      </c>
      <c r="J44" s="93">
        <f t="shared" si="17"/>
        <v>-128926.4024293156</v>
      </c>
      <c r="K44" s="96">
        <f t="shared" si="4"/>
        <v>0</v>
      </c>
      <c r="L44" s="96">
        <f t="shared" si="5"/>
        <v>-128926.4024293156</v>
      </c>
      <c r="M44" s="71"/>
      <c r="N44" s="292"/>
      <c r="O44" s="245"/>
      <c r="P44" s="245"/>
      <c r="Q44" s="163"/>
      <c r="R44" s="71"/>
      <c r="S44" s="69"/>
      <c r="T44" s="69"/>
      <c r="U44" s="69"/>
      <c r="V44" s="69"/>
      <c r="W44" s="69"/>
      <c r="X44" s="69"/>
      <c r="Y44" s="69"/>
      <c r="Z44" s="69"/>
      <c r="AA44" s="69"/>
      <c r="AB44" s="69"/>
      <c r="AC44" s="69"/>
      <c r="AD44" s="69"/>
      <c r="AE44" s="69"/>
      <c r="AF44" s="69"/>
      <c r="AG44" s="69"/>
      <c r="AH44" s="69"/>
      <c r="AI44" s="69"/>
      <c r="AJ44" s="47">
        <f t="shared" si="7"/>
        <v>38169</v>
      </c>
      <c r="AK44" s="1"/>
      <c r="AL44" s="2"/>
      <c r="AM44" s="1"/>
      <c r="AN44" s="2"/>
      <c r="AO44" s="1"/>
      <c r="AP44" s="2"/>
      <c r="AQ44" s="1"/>
      <c r="AR44" s="2"/>
      <c r="AS44" s="1"/>
      <c r="AT44" s="2"/>
      <c r="AU44" s="1"/>
      <c r="AV44" s="2"/>
      <c r="AW44" s="1"/>
      <c r="AX44" s="2"/>
      <c r="AY44" s="1"/>
      <c r="AZ44" s="2"/>
      <c r="BA44" s="1"/>
      <c r="BB44" s="2"/>
      <c r="BC44" s="1"/>
      <c r="BD44" s="2"/>
      <c r="BE44" s="1"/>
      <c r="BF44" s="2"/>
      <c r="BG44" s="1"/>
      <c r="BH44" s="2"/>
      <c r="BI44" s="1"/>
      <c r="BJ44" s="2"/>
      <c r="BK44" s="1"/>
      <c r="BL44" s="2"/>
      <c r="BM44" s="1"/>
      <c r="BN44" s="2"/>
      <c r="BO44" s="1"/>
      <c r="BP44" s="2"/>
      <c r="BQ44" s="1"/>
      <c r="BR44" s="2"/>
      <c r="BS44" s="1"/>
      <c r="BT44" s="2"/>
      <c r="BU44" s="1"/>
      <c r="BV44" s="2"/>
      <c r="BW44" s="1"/>
      <c r="BX44" s="2"/>
      <c r="BY44" s="48">
        <f t="shared" si="30"/>
        <v>0</v>
      </c>
      <c r="BZ44" s="49">
        <f t="shared" si="31"/>
        <v>0</v>
      </c>
      <c r="CB44" s="51">
        <f t="shared" si="8"/>
        <v>38169</v>
      </c>
      <c r="CC44" s="50">
        <f t="shared" si="32"/>
        <v>0</v>
      </c>
      <c r="CD44" s="52">
        <f t="shared" si="19"/>
        <v>416</v>
      </c>
      <c r="CE44" s="50">
        <f t="shared" si="20"/>
        <v>336</v>
      </c>
      <c r="CF44" s="58">
        <f t="shared" si="21"/>
        <v>80</v>
      </c>
      <c r="CG44" s="50">
        <f>VLOOKUP(A44,Interest!$X$8:$AC$367,6)</f>
        <v>0.90515275449698618</v>
      </c>
      <c r="CH44" s="53">
        <f t="shared" si="9"/>
        <v>0</v>
      </c>
      <c r="CI44" s="53">
        <f t="shared" si="10"/>
        <v>0</v>
      </c>
      <c r="CJ44" s="53">
        <f t="shared" si="11"/>
        <v>0</v>
      </c>
      <c r="CK44" s="53">
        <f t="shared" si="12"/>
        <v>0</v>
      </c>
      <c r="CL44" s="25">
        <f t="shared" si="13"/>
        <v>0</v>
      </c>
      <c r="CM44" s="213"/>
      <c r="CN44" s="58"/>
      <c r="CO44" s="213"/>
      <c r="DI44" s="25">
        <f t="shared" si="22"/>
        <v>5</v>
      </c>
      <c r="DJ44" s="54">
        <f>[4]EnergyCurve!$D66</f>
        <v>38169</v>
      </c>
      <c r="DK44" s="30">
        <f t="shared" ref="DK44:DK75" si="37">IF($L$6=0,VLOOKUP(DJ44,$DM$13:$DQ$252,2)+VLOOKUP(DJ44,$DU$13:$DY$252,3),VLOOKUP(DJ44,$DU$13:$DY$252,2)+VLOOKUP(DJ44,$DU$13:$DY$252,3))</f>
        <v>26</v>
      </c>
      <c r="DL44" s="30">
        <f t="shared" ref="DL44:DL77" si="38">IF($L$6=0,VLOOKUP(DJ44,$DM$13:$DQ$252,2),VLOOKUP(DJ44,$DU$13:$DY$252,2))</f>
        <v>21</v>
      </c>
      <c r="DM44" s="233">
        <v>37834</v>
      </c>
      <c r="DN44" s="154">
        <v>20</v>
      </c>
      <c r="DO44" s="155">
        <v>5</v>
      </c>
      <c r="DP44" s="155">
        <v>5</v>
      </c>
      <c r="DQ44" s="155">
        <v>1</v>
      </c>
      <c r="DR44" s="154">
        <v>31</v>
      </c>
      <c r="DS44" s="55"/>
      <c r="DT44" s="55"/>
      <c r="DU44" s="233">
        <v>37834</v>
      </c>
      <c r="DV44" s="154">
        <v>21</v>
      </c>
      <c r="DW44" s="155">
        <v>5</v>
      </c>
      <c r="DX44" s="155">
        <v>5</v>
      </c>
      <c r="DY44" s="155">
        <v>0</v>
      </c>
      <c r="DZ44" s="154">
        <v>31</v>
      </c>
      <c r="EA44" s="55"/>
      <c r="EB44" s="55"/>
    </row>
    <row r="45" spans="1:150" ht="18" x14ac:dyDescent="0.25">
      <c r="A45" s="56">
        <f>[4]EnergyCurve!$D67</f>
        <v>38200</v>
      </c>
      <c r="B45" s="93">
        <f>[4]EnergyCurve!$O67+[4]EnergyCurve!$Q67</f>
        <v>153906.947265625</v>
      </c>
      <c r="C45" s="94">
        <f t="shared" si="0"/>
        <v>410.54159171648553</v>
      </c>
      <c r="D45" s="94">
        <f t="shared" si="1"/>
        <v>0</v>
      </c>
      <c r="E45" s="93">
        <f t="shared" si="2"/>
        <v>153906.947265625</v>
      </c>
      <c r="F45" s="120">
        <f t="shared" si="3"/>
        <v>410.54159171648553</v>
      </c>
      <c r="G45" s="95">
        <f>([4]EnergyCurve!$E67*CE45+[4]EnergyCurve!$W67*CF45)/CD45</f>
        <v>47.323457277738129</v>
      </c>
      <c r="H45" s="95">
        <f>[4]EnergyCurve!$F67</f>
        <v>-0.83105652055362356</v>
      </c>
      <c r="I45" s="83">
        <f>([4]EnergyCurve!$G67*CE45+[4]EnergyCurve!$Y67*CF45)/CD45</f>
        <v>46.498957596701175</v>
      </c>
      <c r="J45" s="93">
        <f t="shared" si="17"/>
        <v>-127905.37208360033</v>
      </c>
      <c r="K45" s="96">
        <f t="shared" si="4"/>
        <v>0</v>
      </c>
      <c r="L45" s="96">
        <f t="shared" si="5"/>
        <v>-127905.37208360033</v>
      </c>
      <c r="M45" s="71"/>
      <c r="N45" s="294"/>
      <c r="O45" s="245"/>
      <c r="P45" s="245"/>
      <c r="Q45" s="163"/>
      <c r="R45" s="71"/>
      <c r="S45" s="69"/>
      <c r="T45" s="69"/>
      <c r="U45" s="69"/>
      <c r="V45" s="69"/>
      <c r="W45" s="69"/>
      <c r="X45" s="69"/>
      <c r="Y45" s="69"/>
      <c r="Z45" s="69"/>
      <c r="AA45" s="69"/>
      <c r="AB45" s="69"/>
      <c r="AC45" s="69"/>
      <c r="AD45" s="69"/>
      <c r="AE45" s="69"/>
      <c r="AF45" s="69"/>
      <c r="AG45" s="69"/>
      <c r="AH45" s="69"/>
      <c r="AI45" s="69"/>
      <c r="AJ45" s="47">
        <f t="shared" si="7"/>
        <v>38200</v>
      </c>
      <c r="AK45" s="1"/>
      <c r="AL45" s="2"/>
      <c r="AM45" s="1"/>
      <c r="AN45" s="2"/>
      <c r="AO45" s="1"/>
      <c r="AP45" s="2"/>
      <c r="AQ45" s="1"/>
      <c r="AR45" s="2"/>
      <c r="AS45" s="1"/>
      <c r="AT45" s="2"/>
      <c r="AU45" s="1"/>
      <c r="AV45" s="2"/>
      <c r="AW45" s="1"/>
      <c r="AX45" s="2"/>
      <c r="AY45" s="1"/>
      <c r="AZ45" s="2"/>
      <c r="BA45" s="1"/>
      <c r="BB45" s="2"/>
      <c r="BC45" s="1"/>
      <c r="BD45" s="2"/>
      <c r="BE45" s="1"/>
      <c r="BF45" s="2"/>
      <c r="BG45" s="1"/>
      <c r="BH45" s="2"/>
      <c r="BI45" s="1"/>
      <c r="BJ45" s="2"/>
      <c r="BK45" s="1"/>
      <c r="BL45" s="2"/>
      <c r="BM45" s="1"/>
      <c r="BN45" s="2"/>
      <c r="BO45" s="1"/>
      <c r="BP45" s="2"/>
      <c r="BQ45" s="1"/>
      <c r="BR45" s="2"/>
      <c r="BS45" s="1"/>
      <c r="BT45" s="2"/>
      <c r="BU45" s="1"/>
      <c r="BV45" s="2"/>
      <c r="BW45" s="1"/>
      <c r="BX45" s="2"/>
      <c r="BY45" s="48">
        <f t="shared" si="30"/>
        <v>0</v>
      </c>
      <c r="BZ45" s="49">
        <f t="shared" si="31"/>
        <v>0</v>
      </c>
      <c r="CB45" s="51">
        <f t="shared" si="8"/>
        <v>38200</v>
      </c>
      <c r="CC45" s="50">
        <f t="shared" si="32"/>
        <v>0</v>
      </c>
      <c r="CD45" s="52">
        <f>16*DK45</f>
        <v>416</v>
      </c>
      <c r="CE45" s="50">
        <f t="shared" si="20"/>
        <v>352</v>
      </c>
      <c r="CF45" s="58">
        <f t="shared" si="21"/>
        <v>64</v>
      </c>
      <c r="CG45" s="50">
        <f>VLOOKUP(A45,Interest!$X$8:$AC$367,6)</f>
        <v>0.90117208755348432</v>
      </c>
      <c r="CH45" s="53">
        <f t="shared" si="9"/>
        <v>0</v>
      </c>
      <c r="CI45" s="53">
        <f t="shared" si="10"/>
        <v>0</v>
      </c>
      <c r="CJ45" s="53">
        <f t="shared" si="11"/>
        <v>0</v>
      </c>
      <c r="CK45" s="53">
        <f t="shared" si="12"/>
        <v>0</v>
      </c>
      <c r="CL45" s="25">
        <f t="shared" si="13"/>
        <v>0</v>
      </c>
      <c r="CM45" s="213"/>
      <c r="CN45" s="58"/>
      <c r="CO45" s="213"/>
      <c r="DI45" s="25">
        <f t="shared" si="22"/>
        <v>4</v>
      </c>
      <c r="DJ45" s="54">
        <f>[4]EnergyCurve!$D67</f>
        <v>38200</v>
      </c>
      <c r="DK45" s="30">
        <f t="shared" si="37"/>
        <v>26</v>
      </c>
      <c r="DL45" s="30">
        <f t="shared" si="38"/>
        <v>22</v>
      </c>
      <c r="DM45" s="233">
        <v>37865</v>
      </c>
      <c r="DN45" s="154">
        <v>21</v>
      </c>
      <c r="DO45" s="155">
        <v>4</v>
      </c>
      <c r="DP45" s="155">
        <v>4</v>
      </c>
      <c r="DQ45" s="155">
        <v>1</v>
      </c>
      <c r="DR45" s="154">
        <v>30</v>
      </c>
      <c r="DS45" s="55"/>
      <c r="DT45" s="55"/>
      <c r="DU45" s="233">
        <v>37865</v>
      </c>
      <c r="DV45" s="154">
        <v>21</v>
      </c>
      <c r="DW45" s="155">
        <v>4</v>
      </c>
      <c r="DX45" s="155">
        <v>4</v>
      </c>
      <c r="DY45" s="155">
        <v>1</v>
      </c>
      <c r="DZ45" s="154">
        <v>30</v>
      </c>
      <c r="EA45" s="55"/>
      <c r="EB45" s="55"/>
    </row>
    <row r="46" spans="1:150" ht="18" x14ac:dyDescent="0.25">
      <c r="A46" s="56">
        <f>[4]EnergyCurve!$D68</f>
        <v>38231</v>
      </c>
      <c r="B46" s="93">
        <f>[4]EnergyCurve!$O68+[4]EnergyCurve!$Q68</f>
        <v>147341.408203125</v>
      </c>
      <c r="C46" s="94">
        <f t="shared" si="0"/>
        <v>410.5465751943355</v>
      </c>
      <c r="D46" s="94">
        <f t="shared" si="1"/>
        <v>0</v>
      </c>
      <c r="E46" s="93">
        <f t="shared" si="2"/>
        <v>147341.408203125</v>
      </c>
      <c r="F46" s="120">
        <f t="shared" si="3"/>
        <v>410.5465751943355</v>
      </c>
      <c r="G46" s="95">
        <f>([4]EnergyCurve!$E68*CE46+[4]EnergyCurve!$W68*CF46)/CD46</f>
        <v>47.220584259033203</v>
      </c>
      <c r="H46" s="95">
        <f>[4]EnergyCurve!$F68</f>
        <v>-0.82825484259437587</v>
      </c>
      <c r="I46" s="83">
        <f>([4]EnergyCurve!$G68*CE46+[4]EnergyCurve!$Y68*CF46)/CD46</f>
        <v>46.399125150158305</v>
      </c>
      <c r="J46" s="93">
        <f t="shared" si="17"/>
        <v>-122036.23485891298</v>
      </c>
      <c r="K46" s="96">
        <f t="shared" si="4"/>
        <v>0</v>
      </c>
      <c r="L46" s="96">
        <f t="shared" si="5"/>
        <v>-122036.23485891298</v>
      </c>
      <c r="M46" s="71"/>
      <c r="N46" s="71"/>
      <c r="O46" s="71"/>
      <c r="P46" s="71"/>
      <c r="Q46" s="71"/>
      <c r="R46" s="71"/>
      <c r="S46" s="69"/>
      <c r="T46" s="69"/>
      <c r="U46" s="69"/>
      <c r="V46" s="69"/>
      <c r="W46" s="69"/>
      <c r="X46" s="69"/>
      <c r="Y46" s="69"/>
      <c r="Z46" s="69"/>
      <c r="AA46" s="69"/>
      <c r="AB46" s="69"/>
      <c r="AC46" s="69"/>
      <c r="AD46" s="69"/>
      <c r="AE46" s="69"/>
      <c r="AF46" s="69"/>
      <c r="AG46" s="69"/>
      <c r="AH46" s="69"/>
      <c r="AI46" s="69"/>
      <c r="AJ46" s="47">
        <f t="shared" si="7"/>
        <v>38231</v>
      </c>
      <c r="AK46" s="1"/>
      <c r="AL46" s="2"/>
      <c r="AM46" s="1"/>
      <c r="AN46" s="2"/>
      <c r="AO46" s="1"/>
      <c r="AP46" s="2"/>
      <c r="AQ46" s="1"/>
      <c r="AR46" s="2"/>
      <c r="AS46" s="1"/>
      <c r="AT46" s="2"/>
      <c r="AU46" s="1"/>
      <c r="AV46" s="2"/>
      <c r="AW46" s="1"/>
      <c r="AX46" s="2"/>
      <c r="AY46" s="1"/>
      <c r="AZ46" s="2"/>
      <c r="BA46" s="1"/>
      <c r="BB46" s="2"/>
      <c r="BC46" s="1"/>
      <c r="BD46" s="2"/>
      <c r="BE46" s="1"/>
      <c r="BF46" s="2"/>
      <c r="BG46" s="1"/>
      <c r="BH46" s="2"/>
      <c r="BI46" s="1"/>
      <c r="BJ46" s="2"/>
      <c r="BK46" s="1"/>
      <c r="BL46" s="2"/>
      <c r="BM46" s="1"/>
      <c r="BN46" s="2"/>
      <c r="BO46" s="1"/>
      <c r="BP46" s="2"/>
      <c r="BQ46" s="1"/>
      <c r="BR46" s="2"/>
      <c r="BS46" s="1"/>
      <c r="BT46" s="2"/>
      <c r="BU46" s="1"/>
      <c r="BV46" s="2"/>
      <c r="BW46" s="1"/>
      <c r="BX46" s="2"/>
      <c r="BY46" s="48">
        <f t="shared" si="30"/>
        <v>0</v>
      </c>
      <c r="BZ46" s="49">
        <f t="shared" si="31"/>
        <v>0</v>
      </c>
      <c r="CB46" s="51">
        <f t="shared" si="8"/>
        <v>38231</v>
      </c>
      <c r="CC46" s="50">
        <f t="shared" si="32"/>
        <v>0</v>
      </c>
      <c r="CD46" s="52">
        <f>16*DK46</f>
        <v>400</v>
      </c>
      <c r="CE46" s="50">
        <f t="shared" si="20"/>
        <v>336</v>
      </c>
      <c r="CF46" s="58">
        <f t="shared" si="21"/>
        <v>64</v>
      </c>
      <c r="CG46" s="50">
        <f>VLOOKUP(A46,Interest!$X$8:$AC$367,6)</f>
        <v>0.89722711810091071</v>
      </c>
      <c r="CH46" s="53">
        <f t="shared" si="9"/>
        <v>0</v>
      </c>
      <c r="CI46" s="53">
        <f t="shared" si="10"/>
        <v>0</v>
      </c>
      <c r="CJ46" s="53">
        <f t="shared" si="11"/>
        <v>0</v>
      </c>
      <c r="CK46" s="53">
        <f t="shared" si="12"/>
        <v>0</v>
      </c>
      <c r="CL46" s="25">
        <f t="shared" si="13"/>
        <v>0</v>
      </c>
      <c r="CM46" s="213"/>
      <c r="CN46" s="58"/>
      <c r="CO46" s="213"/>
      <c r="CP46" s="32" t="s">
        <v>103</v>
      </c>
      <c r="CQ46" s="181" t="s">
        <v>105</v>
      </c>
      <c r="CR46" s="181" t="s">
        <v>104</v>
      </c>
      <c r="DI46" s="25">
        <f t="shared" si="22"/>
        <v>4</v>
      </c>
      <c r="DJ46" s="54">
        <f>[4]EnergyCurve!$D68</f>
        <v>38231</v>
      </c>
      <c r="DK46" s="30">
        <f t="shared" si="37"/>
        <v>25</v>
      </c>
      <c r="DL46" s="30">
        <f t="shared" si="38"/>
        <v>21</v>
      </c>
      <c r="DM46" s="233">
        <v>37895</v>
      </c>
      <c r="DN46" s="154">
        <v>22</v>
      </c>
      <c r="DO46" s="155">
        <v>4</v>
      </c>
      <c r="DP46" s="155">
        <v>4</v>
      </c>
      <c r="DQ46" s="155">
        <v>1</v>
      </c>
      <c r="DR46" s="154">
        <v>31</v>
      </c>
      <c r="DS46" s="55"/>
      <c r="DT46" s="55"/>
      <c r="DU46" s="233">
        <v>37895</v>
      </c>
      <c r="DV46" s="154">
        <v>23</v>
      </c>
      <c r="DW46" s="155">
        <v>4</v>
      </c>
      <c r="DX46" s="155">
        <v>4</v>
      </c>
      <c r="DY46" s="155">
        <v>0</v>
      </c>
      <c r="DZ46" s="154">
        <v>31</v>
      </c>
      <c r="EA46" s="55"/>
      <c r="EB46" s="55"/>
    </row>
    <row r="47" spans="1:150" ht="18" x14ac:dyDescent="0.25">
      <c r="A47" s="56">
        <f>[4]EnergyCurve!$D69</f>
        <v>38261</v>
      </c>
      <c r="B47" s="93">
        <f>[4]EnergyCurve!$O69+[4]EnergyCurve!$Q69</f>
        <v>152704.443359375</v>
      </c>
      <c r="C47" s="94">
        <f t="shared" si="0"/>
        <v>410.97863001662807</v>
      </c>
      <c r="D47" s="94">
        <f t="shared" si="1"/>
        <v>0</v>
      </c>
      <c r="E47" s="93">
        <f t="shared" si="2"/>
        <v>152704.443359375</v>
      </c>
      <c r="F47" s="120">
        <f>C47+D47</f>
        <v>410.97863001662807</v>
      </c>
      <c r="G47" s="95">
        <f>([4]EnergyCurve!$E69*CE47+[4]EnergyCurve!$W69*CF47)/CD47</f>
        <v>47.142917633056641</v>
      </c>
      <c r="H47" s="95">
        <f>[4]EnergyCurve!$F69</f>
        <v>-0.82551770505893529</v>
      </c>
      <c r="I47" s="83">
        <f>([4]EnergyCurve!$G69*CE47+[4]EnergyCurve!$Y69*CF47)/CD47</f>
        <v>46.325541241105697</v>
      </c>
      <c r="J47" s="93">
        <f>H47*B47</f>
        <v>-126060.22163433341</v>
      </c>
      <c r="K47" s="96">
        <f t="shared" si="4"/>
        <v>0</v>
      </c>
      <c r="L47" s="96">
        <f t="shared" si="5"/>
        <v>-126060.22163433341</v>
      </c>
      <c r="M47" s="71"/>
      <c r="N47" s="297"/>
      <c r="O47" s="245"/>
      <c r="P47" s="245"/>
      <c r="Q47" s="71"/>
      <c r="R47" s="71"/>
      <c r="S47" s="69"/>
      <c r="T47" s="69"/>
      <c r="U47" s="69"/>
      <c r="V47" s="69"/>
      <c r="W47" s="69"/>
      <c r="X47" s="69"/>
      <c r="Y47" s="69"/>
      <c r="Z47" s="69"/>
      <c r="AA47" s="69"/>
      <c r="AB47" s="69"/>
      <c r="AC47" s="69"/>
      <c r="AD47" s="69"/>
      <c r="AE47" s="69"/>
      <c r="AF47" s="69"/>
      <c r="AG47" s="69"/>
      <c r="AH47" s="69"/>
      <c r="AI47" s="69"/>
      <c r="AJ47" s="47">
        <f t="shared" si="7"/>
        <v>38261</v>
      </c>
      <c r="AK47" s="1"/>
      <c r="AL47" s="2"/>
      <c r="AM47" s="1"/>
      <c r="AN47" s="2"/>
      <c r="AO47" s="1"/>
      <c r="AP47" s="2"/>
      <c r="AQ47" s="1"/>
      <c r="AR47" s="2"/>
      <c r="AS47" s="1"/>
      <c r="AT47" s="2"/>
      <c r="AU47" s="1"/>
      <c r="AV47" s="2"/>
      <c r="AW47" s="1"/>
      <c r="AX47" s="2"/>
      <c r="AY47" s="1"/>
      <c r="AZ47" s="2"/>
      <c r="BA47" s="1"/>
      <c r="BB47" s="2"/>
      <c r="BC47" s="1"/>
      <c r="BD47" s="2"/>
      <c r="BE47" s="1"/>
      <c r="BF47" s="2"/>
      <c r="BG47" s="1"/>
      <c r="BH47" s="2"/>
      <c r="BI47" s="1"/>
      <c r="BJ47" s="2"/>
      <c r="BK47" s="1"/>
      <c r="BL47" s="2"/>
      <c r="BM47" s="1"/>
      <c r="BN47" s="2"/>
      <c r="BO47" s="1"/>
      <c r="BP47" s="2"/>
      <c r="BQ47" s="1"/>
      <c r="BR47" s="2"/>
      <c r="BS47" s="1"/>
      <c r="BT47" s="2"/>
      <c r="BU47" s="1"/>
      <c r="BV47" s="2"/>
      <c r="BW47" s="1"/>
      <c r="BX47" s="2"/>
      <c r="BY47" s="48">
        <f t="shared" si="30"/>
        <v>0</v>
      </c>
      <c r="BZ47" s="49">
        <f t="shared" si="31"/>
        <v>0</v>
      </c>
      <c r="CB47" s="51">
        <f t="shared" si="8"/>
        <v>38261</v>
      </c>
      <c r="CC47" s="50">
        <f t="shared" si="32"/>
        <v>0</v>
      </c>
      <c r="CD47" s="52">
        <f>16*DK47</f>
        <v>416</v>
      </c>
      <c r="CE47" s="50">
        <f t="shared" si="20"/>
        <v>336</v>
      </c>
      <c r="CF47" s="58">
        <f t="shared" si="21"/>
        <v>80</v>
      </c>
      <c r="CG47" s="50">
        <f>VLOOKUP(A47,Interest!$X$8:$AC$367,6)</f>
        <v>0.89318023379901668</v>
      </c>
      <c r="CH47" s="53">
        <f t="shared" si="9"/>
        <v>0</v>
      </c>
      <c r="CI47" s="53">
        <f t="shared" si="10"/>
        <v>0</v>
      </c>
      <c r="CJ47" s="53">
        <f t="shared" si="11"/>
        <v>0</v>
      </c>
      <c r="CK47" s="53">
        <f t="shared" si="12"/>
        <v>0</v>
      </c>
      <c r="CL47" s="25">
        <f t="shared" si="13"/>
        <v>0</v>
      </c>
      <c r="CM47" s="29"/>
      <c r="CO47" s="50" t="s">
        <v>53</v>
      </c>
      <c r="CP47" s="32" t="s">
        <v>39</v>
      </c>
      <c r="CQ47" s="181" t="s">
        <v>39</v>
      </c>
      <c r="CR47" s="181" t="s">
        <v>39</v>
      </c>
      <c r="DI47" s="25">
        <f t="shared" si="22"/>
        <v>5</v>
      </c>
      <c r="DJ47" s="54">
        <f>[4]EnergyCurve!$D69</f>
        <v>38261</v>
      </c>
      <c r="DK47" s="30">
        <f t="shared" si="37"/>
        <v>26</v>
      </c>
      <c r="DL47" s="30">
        <f t="shared" si="38"/>
        <v>21</v>
      </c>
      <c r="DM47" s="233">
        <v>37926</v>
      </c>
      <c r="DN47" s="154">
        <v>19</v>
      </c>
      <c r="DO47" s="155">
        <v>5</v>
      </c>
      <c r="DP47" s="155">
        <v>5</v>
      </c>
      <c r="DQ47" s="155">
        <v>1</v>
      </c>
      <c r="DR47" s="154">
        <v>30</v>
      </c>
      <c r="DS47" s="55"/>
      <c r="DT47" s="55"/>
      <c r="DU47" s="233">
        <v>37926</v>
      </c>
      <c r="DV47" s="154">
        <v>19</v>
      </c>
      <c r="DW47" s="155">
        <v>5</v>
      </c>
      <c r="DX47" s="155">
        <v>5</v>
      </c>
      <c r="DY47" s="155">
        <v>1</v>
      </c>
      <c r="DZ47" s="154">
        <v>30</v>
      </c>
      <c r="EA47" s="55"/>
      <c r="EB47" s="55"/>
    </row>
    <row r="48" spans="1:150" ht="18" x14ac:dyDescent="0.25">
      <c r="A48" s="56">
        <f>[4]EnergyCurve!$D70</f>
        <v>38292</v>
      </c>
      <c r="B48" s="93">
        <f>[4]EnergyCurve!$O70+[4]EnergyCurve!$Q70</f>
        <v>146425.515625</v>
      </c>
      <c r="C48" s="94">
        <f>B48/(CO48*CP48)</f>
        <v>411.67134246941089</v>
      </c>
      <c r="D48" s="94">
        <f>IF(YEAR(A48)=$T$20,$BY$48,0)+IF(YEAR(A48)=$T$21,$BY$49,0)+IF(YEAR(A48)=$T$22,$BY$50,0)</f>
        <v>0</v>
      </c>
      <c r="E48" s="93">
        <f>B48+(D48*CO48*CP48)</f>
        <v>146425.515625</v>
      </c>
      <c r="F48" s="120">
        <f>C48+D48</f>
        <v>411.67134246941089</v>
      </c>
      <c r="G48" s="95">
        <f>([4]EnergyCurve!$E70*CQ48+[4]EnergyCurve!$W70*CR48)/CP48</f>
        <v>49.929761199951173</v>
      </c>
      <c r="H48" s="95">
        <f>[4]EnergyCurve!$F70</f>
        <v>-0.80401571892281964</v>
      </c>
      <c r="I48" s="83">
        <f>([4]EnergyCurve!$G70*CQ48+[4]EnergyCurve!$Y70*CR48)/CP48</f>
        <v>49.132342611331254</v>
      </c>
      <c r="J48" s="93">
        <f>H48*B48</f>
        <v>-117728.41621387894</v>
      </c>
      <c r="K48" s="96">
        <f>CI48+CJ48+CK48</f>
        <v>0</v>
      </c>
      <c r="L48" s="96">
        <f t="shared" si="5"/>
        <v>-117728.41621387894</v>
      </c>
      <c r="M48" s="71"/>
      <c r="N48" s="297"/>
      <c r="O48" s="245"/>
      <c r="P48" s="245"/>
      <c r="Q48" s="71"/>
      <c r="R48" s="71"/>
      <c r="S48" s="69"/>
      <c r="T48" s="69"/>
      <c r="U48" s="69"/>
      <c r="V48" s="69"/>
      <c r="W48" s="69"/>
      <c r="X48" s="69"/>
      <c r="Y48" s="69"/>
      <c r="Z48" s="69"/>
      <c r="AA48" s="69"/>
      <c r="AB48" s="69"/>
      <c r="AC48" s="69"/>
      <c r="AD48" s="69"/>
      <c r="AE48" s="69"/>
      <c r="AF48" s="69"/>
      <c r="AG48" s="69"/>
      <c r="AH48" s="69"/>
      <c r="AI48" s="69"/>
      <c r="AJ48" s="57" t="str">
        <f>V20</f>
        <v>Bal 2002</v>
      </c>
      <c r="AK48" s="1"/>
      <c r="AL48" s="2"/>
      <c r="AM48" s="1"/>
      <c r="AN48" s="2"/>
      <c r="AO48" s="1"/>
      <c r="AP48" s="2"/>
      <c r="AQ48" s="1"/>
      <c r="AR48" s="2"/>
      <c r="AS48" s="1"/>
      <c r="AT48" s="2"/>
      <c r="AU48" s="1"/>
      <c r="AV48" s="2"/>
      <c r="AW48" s="1"/>
      <c r="AX48" s="2"/>
      <c r="AY48" s="1"/>
      <c r="AZ48" s="2"/>
      <c r="BA48" s="1"/>
      <c r="BB48" s="2"/>
      <c r="BC48" s="1"/>
      <c r="BD48" s="2"/>
      <c r="BE48" s="1"/>
      <c r="BF48" s="2"/>
      <c r="BG48" s="1"/>
      <c r="BH48" s="2"/>
      <c r="BI48" s="1"/>
      <c r="BJ48" s="2"/>
      <c r="BK48" s="1"/>
      <c r="BL48" s="2"/>
      <c r="BM48" s="1"/>
      <c r="BN48" s="2"/>
      <c r="BO48" s="1"/>
      <c r="BP48" s="2"/>
      <c r="BQ48" s="1"/>
      <c r="BR48" s="2"/>
      <c r="BS48" s="1"/>
      <c r="BT48" s="2"/>
      <c r="BU48" s="1"/>
      <c r="BV48" s="2"/>
      <c r="BW48" s="1"/>
      <c r="BX48" s="2"/>
      <c r="BY48" s="48">
        <f t="shared" si="30"/>
        <v>0</v>
      </c>
      <c r="BZ48" s="49">
        <f t="shared" si="31"/>
        <v>0</v>
      </c>
      <c r="CA48" s="50"/>
      <c r="CB48" s="51" t="str">
        <f t="shared" si="8"/>
        <v>Bal 2002</v>
      </c>
      <c r="CC48" s="50">
        <f t="shared" si="32"/>
        <v>0</v>
      </c>
      <c r="CD48" s="58">
        <f t="array" ref="CD48">SUM(IF(YEAR($CB$12:$CB$47)=$T20,$CN$12:$CN$47))</f>
        <v>0</v>
      </c>
      <c r="CG48" s="50"/>
      <c r="CH48" s="53"/>
      <c r="CI48" s="53"/>
      <c r="CJ48" s="53"/>
      <c r="CK48" s="53"/>
      <c r="CN48" s="54">
        <f>DJ48</f>
        <v>38292</v>
      </c>
      <c r="CO48" s="50">
        <f>VLOOKUP(CN48,Interest!$X$8:$AC$367,6)</f>
        <v>0.88921367920989125</v>
      </c>
      <c r="CP48" s="25">
        <f>16*DK48</f>
        <v>400</v>
      </c>
      <c r="CQ48" s="25">
        <f>DL48*16</f>
        <v>336</v>
      </c>
      <c r="CR48" s="25">
        <f>CP48-CQ48</f>
        <v>64</v>
      </c>
      <c r="DI48" s="25">
        <f t="shared" si="22"/>
        <v>4</v>
      </c>
      <c r="DJ48" s="54">
        <f>[4]EnergyCurve!$D70</f>
        <v>38292</v>
      </c>
      <c r="DK48" s="30">
        <f t="shared" si="37"/>
        <v>25</v>
      </c>
      <c r="DL48" s="30">
        <f t="shared" si="38"/>
        <v>21</v>
      </c>
      <c r="DM48" s="233">
        <v>37956</v>
      </c>
      <c r="DN48" s="154">
        <v>21</v>
      </c>
      <c r="DO48" s="155">
        <v>4</v>
      </c>
      <c r="DP48" s="155">
        <v>4</v>
      </c>
      <c r="DQ48" s="155">
        <v>2</v>
      </c>
      <c r="DR48" s="154">
        <v>31</v>
      </c>
      <c r="DS48" s="55"/>
      <c r="DT48" s="55"/>
      <c r="DU48" s="233">
        <v>37956</v>
      </c>
      <c r="DV48" s="154">
        <v>22</v>
      </c>
      <c r="DW48" s="155">
        <v>4</v>
      </c>
      <c r="DX48" s="155">
        <v>4</v>
      </c>
      <c r="DY48" s="155">
        <v>1</v>
      </c>
      <c r="DZ48" s="154">
        <v>31</v>
      </c>
      <c r="EA48" s="55"/>
      <c r="EB48" s="55"/>
    </row>
    <row r="49" spans="1:153" ht="18" x14ac:dyDescent="0.25">
      <c r="A49" s="56">
        <f>[4]EnergyCurve!$D71</f>
        <v>38322</v>
      </c>
      <c r="B49" s="93">
        <f>[4]EnergyCurve!$O71+[4]EnergyCurve!$Q71</f>
        <v>151648.408203125</v>
      </c>
      <c r="C49" s="94">
        <f>B49/(CO49*CP49)</f>
        <v>411.71060761154013</v>
      </c>
      <c r="D49" s="94">
        <f>IF(YEAR(A49)=$T$20,$BY$48,0)+IF(YEAR(A49)=$T$21,$BY$49,0)+IF(YEAR(A49)=$T$22,$BY$50,0)</f>
        <v>0</v>
      </c>
      <c r="E49" s="93">
        <f>B49+(D49*CO49*CP49)</f>
        <v>151648.408203125</v>
      </c>
      <c r="F49" s="120">
        <f>C49+D49</f>
        <v>411.71060761154013</v>
      </c>
      <c r="G49" s="95">
        <f>([4]EnergyCurve!$E71*CQ49+[4]EnergyCurve!$W71*CR49)/CP49</f>
        <v>52.223429019634537</v>
      </c>
      <c r="H49" s="95">
        <f>[4]EnergyCurve!$F71</f>
        <v>-0.7988959705686014</v>
      </c>
      <c r="I49" s="83">
        <f>([4]EnergyCurve!$G71*CQ49+[4]EnergyCurve!$Y71*CR49)/CP49</f>
        <v>51.429260165155455</v>
      </c>
      <c r="J49" s="93">
        <f>H49*B49</f>
        <v>-121151.302256619</v>
      </c>
      <c r="K49" s="96">
        <f>CI49+CJ49+CK49</f>
        <v>0</v>
      </c>
      <c r="L49" s="96">
        <f t="shared" si="5"/>
        <v>-121151.302256619</v>
      </c>
      <c r="M49" s="71"/>
      <c r="N49" s="71"/>
      <c r="O49" s="71"/>
      <c r="P49" s="71"/>
      <c r="Q49" s="71"/>
      <c r="R49" s="71"/>
      <c r="S49" s="69"/>
      <c r="T49" s="69"/>
      <c r="U49" s="69"/>
      <c r="V49" s="69"/>
      <c r="W49" s="69"/>
      <c r="X49" s="69"/>
      <c r="Y49" s="69"/>
      <c r="Z49" s="69"/>
      <c r="AA49" s="69"/>
      <c r="AB49" s="69"/>
      <c r="AC49" s="69"/>
      <c r="AD49" s="69"/>
      <c r="AE49" s="69"/>
      <c r="AF49" s="69"/>
      <c r="AG49" s="69"/>
      <c r="AH49" s="69"/>
      <c r="AI49" s="69"/>
      <c r="AJ49" s="59">
        <f>V21</f>
        <v>2003</v>
      </c>
      <c r="AK49" s="1"/>
      <c r="AL49" s="2"/>
      <c r="AM49" s="1"/>
      <c r="AN49" s="2"/>
      <c r="AO49" s="1"/>
      <c r="AP49" s="2"/>
      <c r="AQ49" s="1"/>
      <c r="AR49" s="2"/>
      <c r="AS49" s="1"/>
      <c r="AT49" s="2"/>
      <c r="AU49" s="1"/>
      <c r="AV49" s="2"/>
      <c r="AW49" s="1"/>
      <c r="AX49" s="2"/>
      <c r="AY49" s="1"/>
      <c r="AZ49" s="2"/>
      <c r="BA49" s="1"/>
      <c r="BB49" s="2"/>
      <c r="BC49" s="1"/>
      <c r="BD49" s="2"/>
      <c r="BE49" s="1"/>
      <c r="BF49" s="2"/>
      <c r="BG49" s="1"/>
      <c r="BH49" s="2"/>
      <c r="BI49" s="1"/>
      <c r="BJ49" s="2"/>
      <c r="BK49" s="1"/>
      <c r="BL49" s="2"/>
      <c r="BM49" s="1"/>
      <c r="BN49" s="2"/>
      <c r="BO49" s="1"/>
      <c r="BP49" s="2"/>
      <c r="BQ49" s="1"/>
      <c r="BR49" s="2"/>
      <c r="BS49" s="1"/>
      <c r="BT49" s="2"/>
      <c r="BU49" s="1"/>
      <c r="BV49" s="2"/>
      <c r="BW49" s="1"/>
      <c r="BX49" s="2"/>
      <c r="BY49" s="48">
        <f t="shared" si="30"/>
        <v>0</v>
      </c>
      <c r="BZ49" s="49">
        <f t="shared" si="31"/>
        <v>0</v>
      </c>
      <c r="CA49" s="50"/>
      <c r="CB49" s="60">
        <f t="shared" si="8"/>
        <v>2003</v>
      </c>
      <c r="CC49" s="50">
        <f t="shared" si="32"/>
        <v>0</v>
      </c>
      <c r="CD49" s="58">
        <f t="array" ref="CD49">SUM(IF(YEAR($CB$12:$CB$47)=$T21,$CN$12:$CN$47))</f>
        <v>0</v>
      </c>
      <c r="CG49" s="50"/>
      <c r="CH49" s="53"/>
      <c r="CI49" s="53"/>
      <c r="CJ49" s="53"/>
      <c r="CK49" s="53"/>
      <c r="CN49" s="54">
        <f>DJ49</f>
        <v>38322</v>
      </c>
      <c r="CO49" s="50">
        <f>VLOOKUP(CN49,Interest!$X$8:$AC$367,6)</f>
        <v>0.88542640402388217</v>
      </c>
      <c r="CP49" s="25">
        <f>16*DK49</f>
        <v>416</v>
      </c>
      <c r="CQ49" s="25">
        <f>DL49*16</f>
        <v>368</v>
      </c>
      <c r="CR49" s="25">
        <f>CP49-CQ49</f>
        <v>48</v>
      </c>
      <c r="DI49" s="25">
        <f t="shared" si="22"/>
        <v>3</v>
      </c>
      <c r="DJ49" s="54">
        <f>[4]EnergyCurve!$D71</f>
        <v>38322</v>
      </c>
      <c r="DK49" s="30">
        <f t="shared" si="37"/>
        <v>26</v>
      </c>
      <c r="DL49" s="30">
        <f t="shared" si="38"/>
        <v>23</v>
      </c>
      <c r="DM49" s="233">
        <v>37987</v>
      </c>
      <c r="DN49" s="154">
        <v>21</v>
      </c>
      <c r="DO49" s="155">
        <v>5</v>
      </c>
      <c r="DP49" s="155">
        <v>4</v>
      </c>
      <c r="DQ49" s="155">
        <v>1</v>
      </c>
      <c r="DR49" s="154">
        <v>31</v>
      </c>
      <c r="DS49" s="55"/>
      <c r="DT49" s="55"/>
      <c r="DU49" s="233">
        <v>37987</v>
      </c>
      <c r="DV49" s="154">
        <v>21</v>
      </c>
      <c r="DW49" s="155">
        <v>5</v>
      </c>
      <c r="DX49" s="155">
        <v>4</v>
      </c>
      <c r="DY49" s="155">
        <v>1</v>
      </c>
      <c r="DZ49" s="154">
        <v>31</v>
      </c>
      <c r="EA49" s="55"/>
      <c r="EB49" s="55"/>
    </row>
    <row r="50" spans="1:153" ht="18.75" thickBot="1" x14ac:dyDescent="0.3">
      <c r="A50" s="56">
        <f>[4]EnergyCurve!$D72</f>
        <v>38353</v>
      </c>
      <c r="B50" s="93">
        <f>[4]EnergyCurve!$O72+[4]EnergyCurve!$Q72</f>
        <v>147326.58984375</v>
      </c>
      <c r="C50" s="94">
        <f>B50/(CO50*CP50)</f>
        <v>417.79449015815084</v>
      </c>
      <c r="D50" s="94">
        <f>IF(YEAR(A50)=$T$20,$BY$48,0)+IF(YEAR(A50)=$T$21,$BY$49,0)+IF(YEAR(A50)=$T$22,$BY$50,0)</f>
        <v>0</v>
      </c>
      <c r="E50" s="93">
        <f>B50+(D50*CO50*CP50)</f>
        <v>147326.58984375</v>
      </c>
      <c r="F50" s="120">
        <f>C50+D50</f>
        <v>417.79449015815084</v>
      </c>
      <c r="G50" s="95">
        <f>([4]EnergyCurve!$E72*CQ50+[4]EnergyCurve!$W72*CR50)/CP50</f>
        <v>51.293586273193363</v>
      </c>
      <c r="H50" s="95">
        <f>[4]EnergyCurve!$F72</f>
        <v>-0.70483954772218738</v>
      </c>
      <c r="I50" s="83">
        <f>([4]EnergyCurve!$G72*CQ50+[4]EnergyCurve!$Y72*CR50)/CP50</f>
        <v>50.597650524029369</v>
      </c>
      <c r="J50" s="93">
        <f>H50*B50</f>
        <v>-103841.60695292095</v>
      </c>
      <c r="K50" s="96">
        <f>CI50+CJ50+CK50</f>
        <v>0</v>
      </c>
      <c r="L50" s="96">
        <f t="shared" si="5"/>
        <v>-103841.60695292095</v>
      </c>
      <c r="M50" s="69"/>
      <c r="N50" s="69"/>
      <c r="O50" s="69"/>
      <c r="P50" s="69"/>
      <c r="Q50" s="69"/>
      <c r="R50" s="69"/>
      <c r="S50" s="69"/>
      <c r="T50" s="69"/>
      <c r="U50" s="69"/>
      <c r="V50" s="69"/>
      <c r="W50" s="69"/>
      <c r="X50" s="69"/>
      <c r="Y50" s="69"/>
      <c r="Z50" s="69"/>
      <c r="AA50" s="69"/>
      <c r="AB50" s="69"/>
      <c r="AC50" s="69"/>
      <c r="AD50" s="69"/>
      <c r="AE50" s="69"/>
      <c r="AF50" s="69"/>
      <c r="AG50" s="69"/>
      <c r="AH50" s="69"/>
      <c r="AI50" s="69"/>
      <c r="AJ50" s="61">
        <f>V22</f>
        <v>2004</v>
      </c>
      <c r="AK50" s="5"/>
      <c r="AL50" s="6"/>
      <c r="AM50" s="5"/>
      <c r="AN50" s="6"/>
      <c r="AO50" s="5"/>
      <c r="AP50" s="6"/>
      <c r="AQ50" s="5"/>
      <c r="AR50" s="6"/>
      <c r="AS50" s="5"/>
      <c r="AT50" s="6"/>
      <c r="AU50" s="5"/>
      <c r="AV50" s="6"/>
      <c r="AW50" s="5"/>
      <c r="AX50" s="6"/>
      <c r="AY50" s="5"/>
      <c r="AZ50" s="6"/>
      <c r="BA50" s="5"/>
      <c r="BB50" s="6"/>
      <c r="BC50" s="5"/>
      <c r="BD50" s="6"/>
      <c r="BE50" s="5"/>
      <c r="BF50" s="6"/>
      <c r="BG50" s="5"/>
      <c r="BH50" s="6"/>
      <c r="BI50" s="5"/>
      <c r="BJ50" s="6"/>
      <c r="BK50" s="5"/>
      <c r="BL50" s="6"/>
      <c r="BM50" s="5"/>
      <c r="BN50" s="6"/>
      <c r="BO50" s="5"/>
      <c r="BP50" s="6"/>
      <c r="BQ50" s="5"/>
      <c r="BR50" s="6"/>
      <c r="BS50" s="5"/>
      <c r="BT50" s="6"/>
      <c r="BU50" s="5"/>
      <c r="BV50" s="6"/>
      <c r="BW50" s="5"/>
      <c r="BX50" s="6"/>
      <c r="BY50" s="62">
        <f t="shared" si="30"/>
        <v>0</v>
      </c>
      <c r="BZ50" s="63">
        <f t="shared" si="31"/>
        <v>0</v>
      </c>
      <c r="CB50" s="60">
        <f t="shared" si="8"/>
        <v>2004</v>
      </c>
      <c r="CC50" s="50">
        <f t="shared" si="32"/>
        <v>0</v>
      </c>
      <c r="CD50" s="58">
        <f t="array" ref="CD50">SUM(IF(YEAR($CB$12:$CB$47)=$T22,$CN$12:$CN$47))</f>
        <v>0</v>
      </c>
      <c r="CG50" s="50"/>
      <c r="CH50" s="53"/>
      <c r="CI50" s="53"/>
      <c r="CJ50" s="53"/>
      <c r="CK50" s="53"/>
      <c r="CL50" s="68"/>
      <c r="CN50" s="54">
        <f>DJ50</f>
        <v>38353</v>
      </c>
      <c r="CO50" s="50">
        <f>VLOOKUP(CN50,Interest!$X$8:$AC$367,6)</f>
        <v>0.88157331723056809</v>
      </c>
      <c r="CP50" s="25">
        <f>16*DK50</f>
        <v>400</v>
      </c>
      <c r="CQ50" s="25">
        <f>DL50*16</f>
        <v>336</v>
      </c>
      <c r="CR50" s="25">
        <f>CP50-CQ50</f>
        <v>64</v>
      </c>
      <c r="DI50" s="25">
        <f t="shared" si="22"/>
        <v>4</v>
      </c>
      <c r="DJ50" s="54">
        <f>[4]EnergyCurve!$D72</f>
        <v>38353</v>
      </c>
      <c r="DK50" s="30">
        <f t="shared" si="37"/>
        <v>25</v>
      </c>
      <c r="DL50" s="30">
        <f t="shared" si="38"/>
        <v>21</v>
      </c>
      <c r="DM50" s="233">
        <v>38018</v>
      </c>
      <c r="DN50" s="154">
        <v>19</v>
      </c>
      <c r="DO50" s="155">
        <v>4</v>
      </c>
      <c r="DP50" s="155">
        <v>5</v>
      </c>
      <c r="DQ50" s="155">
        <v>1</v>
      </c>
      <c r="DR50" s="154">
        <v>29</v>
      </c>
      <c r="DS50" s="55"/>
      <c r="DT50" s="55"/>
      <c r="DU50" s="233">
        <v>38018</v>
      </c>
      <c r="DV50" s="154">
        <v>20</v>
      </c>
      <c r="DW50" s="155">
        <v>4</v>
      </c>
      <c r="DX50" s="155">
        <v>5</v>
      </c>
      <c r="DY50" s="155">
        <v>0</v>
      </c>
      <c r="DZ50" s="154">
        <v>29</v>
      </c>
      <c r="EA50" s="55"/>
      <c r="EB50" s="55"/>
    </row>
    <row r="51" spans="1:153" s="149" customFormat="1" ht="31.5" customHeight="1" x14ac:dyDescent="0.2">
      <c r="A51" s="149" t="s">
        <v>42</v>
      </c>
      <c r="CK51" s="150" t="s">
        <v>43</v>
      </c>
      <c r="CL51" s="151">
        <f>SUM(CL12:CL50)</f>
        <v>110400</v>
      </c>
      <c r="DI51" s="25">
        <f t="shared" si="22"/>
        <v>4</v>
      </c>
      <c r="DJ51" s="54">
        <f>[4]EnergyCurve!$D73</f>
        <v>38384</v>
      </c>
      <c r="DK51" s="30">
        <f t="shared" si="37"/>
        <v>24</v>
      </c>
      <c r="DL51" s="30">
        <f t="shared" si="38"/>
        <v>20</v>
      </c>
      <c r="DM51" s="233">
        <v>38047</v>
      </c>
      <c r="DN51" s="154">
        <v>23</v>
      </c>
      <c r="DO51" s="155">
        <v>4</v>
      </c>
      <c r="DP51" s="155">
        <v>4</v>
      </c>
      <c r="DQ51" s="155">
        <v>0</v>
      </c>
      <c r="DR51" s="154">
        <v>31</v>
      </c>
      <c r="DS51" s="55"/>
      <c r="DT51" s="152"/>
      <c r="DU51" s="233">
        <v>38047</v>
      </c>
      <c r="DV51" s="154">
        <v>23</v>
      </c>
      <c r="DW51" s="155">
        <v>4</v>
      </c>
      <c r="DX51" s="155">
        <v>4</v>
      </c>
      <c r="DY51" s="155">
        <v>0</v>
      </c>
      <c r="DZ51" s="154">
        <v>31</v>
      </c>
      <c r="EA51" s="55"/>
      <c r="EB51" s="55"/>
    </row>
    <row r="52" spans="1:153" ht="33.75" x14ac:dyDescent="0.5">
      <c r="A52" s="237" t="s">
        <v>99</v>
      </c>
      <c r="B52" s="70"/>
      <c r="C52" s="69"/>
      <c r="D52" s="69"/>
      <c r="E52" s="69"/>
      <c r="F52" s="69"/>
      <c r="G52" s="69"/>
      <c r="H52" s="69"/>
      <c r="I52" s="69"/>
      <c r="J52" s="69"/>
      <c r="K52" s="69"/>
      <c r="L52" s="69"/>
      <c r="M52" s="69"/>
      <c r="N52" s="69"/>
      <c r="O52" s="69"/>
      <c r="P52" s="69"/>
      <c r="Q52" s="69"/>
      <c r="R52" s="252"/>
      <c r="S52" s="214"/>
      <c r="T52" s="69"/>
      <c r="U52" s="69"/>
      <c r="V52" s="215"/>
      <c r="W52" s="69"/>
      <c r="X52" s="69"/>
      <c r="Y52" s="69"/>
      <c r="Z52" s="69"/>
      <c r="AA52" s="69"/>
      <c r="AB52" s="69"/>
      <c r="AC52" s="69"/>
      <c r="AD52" s="69"/>
      <c r="AE52" s="69"/>
      <c r="AF52" s="69"/>
      <c r="AG52" s="69"/>
      <c r="AH52" s="69"/>
      <c r="AI52" s="69"/>
      <c r="DI52" s="25">
        <f t="shared" si="22"/>
        <v>4</v>
      </c>
      <c r="DJ52" s="54">
        <f>[4]EnergyCurve!$D74</f>
        <v>38412</v>
      </c>
      <c r="DK52" s="30">
        <f t="shared" si="37"/>
        <v>27</v>
      </c>
      <c r="DL52" s="30">
        <f t="shared" si="38"/>
        <v>23</v>
      </c>
      <c r="DM52" s="233">
        <v>38078</v>
      </c>
      <c r="DN52" s="154">
        <v>21</v>
      </c>
      <c r="DO52" s="155">
        <v>4</v>
      </c>
      <c r="DP52" s="155">
        <v>4</v>
      </c>
      <c r="DQ52" s="155">
        <v>1</v>
      </c>
      <c r="DR52" s="154">
        <v>30</v>
      </c>
      <c r="DS52" s="55"/>
      <c r="DT52" s="55"/>
      <c r="DU52" s="233">
        <v>38078</v>
      </c>
      <c r="DV52" s="154">
        <v>22</v>
      </c>
      <c r="DW52" s="155">
        <v>4</v>
      </c>
      <c r="DX52" s="155">
        <v>4</v>
      </c>
      <c r="DY52" s="155">
        <v>0</v>
      </c>
      <c r="DZ52" s="154">
        <v>30</v>
      </c>
      <c r="EA52" s="55"/>
      <c r="EB52" s="55"/>
    </row>
    <row r="53" spans="1:153" ht="22.5" customHeight="1" thickBot="1" x14ac:dyDescent="0.25">
      <c r="A53" s="69"/>
      <c r="B53" s="70"/>
      <c r="C53" s="69"/>
      <c r="D53" s="69"/>
      <c r="E53" s="69"/>
      <c r="F53" s="69"/>
      <c r="G53" s="69"/>
      <c r="H53" s="69"/>
      <c r="I53" s="69"/>
      <c r="J53" s="69"/>
      <c r="K53" s="69"/>
      <c r="L53" s="69"/>
      <c r="M53" s="69"/>
      <c r="N53" s="69"/>
      <c r="O53" s="69"/>
      <c r="P53" s="69"/>
      <c r="Q53" s="69"/>
      <c r="R53" s="253"/>
      <c r="S53" s="69"/>
      <c r="T53" s="69"/>
      <c r="U53" s="69"/>
      <c r="V53" s="69"/>
      <c r="W53" s="69"/>
      <c r="X53" s="69"/>
      <c r="Y53" s="69"/>
      <c r="Z53" s="69"/>
      <c r="AA53" s="69"/>
      <c r="AB53" s="69"/>
      <c r="AC53" s="69"/>
      <c r="AD53" s="69"/>
      <c r="AE53" s="69"/>
      <c r="AF53" s="69"/>
      <c r="AG53" s="69"/>
      <c r="AH53" s="69"/>
      <c r="AI53" s="69"/>
      <c r="CI53" s="32" t="s">
        <v>17</v>
      </c>
      <c r="CJ53" s="32" t="s">
        <v>17</v>
      </c>
      <c r="CK53" s="32" t="s">
        <v>17</v>
      </c>
      <c r="DI53" s="25">
        <f t="shared" si="22"/>
        <v>5</v>
      </c>
      <c r="DJ53" s="54">
        <f>[4]EnergyCurve!$D75</f>
        <v>38443</v>
      </c>
      <c r="DK53" s="30">
        <f t="shared" si="37"/>
        <v>26</v>
      </c>
      <c r="DL53" s="30">
        <f t="shared" si="38"/>
        <v>21</v>
      </c>
      <c r="DM53" s="233">
        <v>38108</v>
      </c>
      <c r="DN53" s="154">
        <v>20</v>
      </c>
      <c r="DO53" s="155">
        <v>5</v>
      </c>
      <c r="DP53" s="155">
        <v>5</v>
      </c>
      <c r="DQ53" s="155">
        <v>1</v>
      </c>
      <c r="DR53" s="154">
        <v>31</v>
      </c>
      <c r="DS53" s="55"/>
      <c r="DT53" s="55"/>
      <c r="DU53" s="233">
        <v>38108</v>
      </c>
      <c r="DV53" s="154">
        <v>20</v>
      </c>
      <c r="DW53" s="155">
        <v>5</v>
      </c>
      <c r="DX53" s="155">
        <v>5</v>
      </c>
      <c r="DY53" s="155">
        <v>1</v>
      </c>
      <c r="DZ53" s="154">
        <v>31</v>
      </c>
      <c r="EA53" s="55"/>
      <c r="EB53" s="55"/>
    </row>
    <row r="54" spans="1:153" ht="13.5" thickBot="1" x14ac:dyDescent="0.25">
      <c r="A54" s="64"/>
      <c r="B54" s="64" t="s">
        <v>2</v>
      </c>
      <c r="C54" s="64" t="s">
        <v>2</v>
      </c>
      <c r="D54" s="64" t="s">
        <v>3</v>
      </c>
      <c r="E54" s="64" t="s">
        <v>4</v>
      </c>
      <c r="F54" s="64" t="s">
        <v>4</v>
      </c>
      <c r="G54" s="64" t="s">
        <v>18</v>
      </c>
      <c r="H54" s="64" t="s">
        <v>3</v>
      </c>
      <c r="I54" s="64" t="s">
        <v>19</v>
      </c>
      <c r="J54" s="64" t="s">
        <v>5</v>
      </c>
      <c r="K54" s="77" t="s">
        <v>6</v>
      </c>
      <c r="L54" s="77"/>
      <c r="M54" s="69"/>
      <c r="N54" s="71"/>
      <c r="O54" s="71"/>
      <c r="P54" s="71"/>
      <c r="Q54" s="64" t="s">
        <v>20</v>
      </c>
      <c r="R54" s="153"/>
      <c r="S54" s="160" t="s">
        <v>22</v>
      </c>
      <c r="T54" s="69"/>
      <c r="U54" s="69"/>
      <c r="V54" s="147" t="s">
        <v>23</v>
      </c>
      <c r="W54" s="77" t="s">
        <v>24</v>
      </c>
      <c r="X54" s="77" t="s">
        <v>25</v>
      </c>
      <c r="Y54" s="80"/>
      <c r="Z54" s="80"/>
      <c r="AA54" s="80"/>
      <c r="AB54" s="80"/>
      <c r="AC54" s="80"/>
      <c r="AD54" s="80"/>
      <c r="AE54" s="80"/>
      <c r="AF54" s="80"/>
      <c r="AG54" s="80"/>
      <c r="AH54" s="80"/>
      <c r="AI54" s="80"/>
      <c r="AJ54" s="33"/>
      <c r="AK54" s="34">
        <v>1</v>
      </c>
      <c r="AL54" s="35"/>
      <c r="AM54" s="34">
        <v>2</v>
      </c>
      <c r="AN54" s="35"/>
      <c r="AO54" s="34">
        <v>3</v>
      </c>
      <c r="AP54" s="35"/>
      <c r="AQ54" s="34">
        <v>4</v>
      </c>
      <c r="AR54" s="35"/>
      <c r="AS54" s="34">
        <v>5</v>
      </c>
      <c r="AT54" s="35"/>
      <c r="AU54" s="34">
        <v>6</v>
      </c>
      <c r="AV54" s="35"/>
      <c r="AW54" s="34">
        <v>7</v>
      </c>
      <c r="AX54" s="35"/>
      <c r="AY54" s="34">
        <v>8</v>
      </c>
      <c r="AZ54" s="35"/>
      <c r="BA54" s="34">
        <v>9</v>
      </c>
      <c r="BB54" s="35"/>
      <c r="BC54" s="34">
        <v>10</v>
      </c>
      <c r="BD54" s="35"/>
      <c r="BE54" s="34">
        <v>11</v>
      </c>
      <c r="BF54" s="35"/>
      <c r="BG54" s="34">
        <v>12</v>
      </c>
      <c r="BH54" s="35"/>
      <c r="BI54" s="34">
        <v>13</v>
      </c>
      <c r="BJ54" s="35"/>
      <c r="BK54" s="34">
        <v>14</v>
      </c>
      <c r="BL54" s="35"/>
      <c r="BM54" s="34">
        <v>15</v>
      </c>
      <c r="BN54" s="35"/>
      <c r="BO54" s="34">
        <v>16</v>
      </c>
      <c r="BP54" s="35"/>
      <c r="BQ54" s="34">
        <v>17</v>
      </c>
      <c r="BR54" s="35"/>
      <c r="BS54" s="34">
        <v>18</v>
      </c>
      <c r="BT54" s="35"/>
      <c r="BU54" s="34">
        <v>19</v>
      </c>
      <c r="BV54" s="35"/>
      <c r="BW54" s="34">
        <v>20</v>
      </c>
      <c r="BX54" s="35"/>
      <c r="BY54" s="36" t="s">
        <v>26</v>
      </c>
      <c r="BZ54" s="37" t="s">
        <v>27</v>
      </c>
      <c r="CA54" s="32"/>
      <c r="CB54" s="32"/>
      <c r="CC54" s="32" t="s">
        <v>28</v>
      </c>
      <c r="CD54" s="32" t="s">
        <v>106</v>
      </c>
      <c r="CE54" s="181" t="s">
        <v>107</v>
      </c>
      <c r="CF54" s="181" t="s">
        <v>108</v>
      </c>
      <c r="CG54" s="32" t="s">
        <v>29</v>
      </c>
      <c r="CH54" s="32" t="s">
        <v>30</v>
      </c>
      <c r="CI54" s="38">
        <f>T64</f>
        <v>2002</v>
      </c>
      <c r="CJ54" s="38">
        <f>T65</f>
        <v>2003</v>
      </c>
      <c r="CK54" s="38">
        <f>T66</f>
        <v>2004</v>
      </c>
      <c r="CL54" s="32" t="s">
        <v>31</v>
      </c>
      <c r="DI54" s="25">
        <f t="shared" si="22"/>
        <v>4</v>
      </c>
      <c r="DJ54" s="54">
        <f>[4]EnergyCurve!$D76</f>
        <v>38473</v>
      </c>
      <c r="DK54" s="30">
        <f t="shared" si="37"/>
        <v>25</v>
      </c>
      <c r="DL54" s="30">
        <f t="shared" si="38"/>
        <v>21</v>
      </c>
      <c r="DM54" s="233">
        <v>38139</v>
      </c>
      <c r="DN54" s="154">
        <v>22</v>
      </c>
      <c r="DO54" s="155">
        <v>4</v>
      </c>
      <c r="DP54" s="155">
        <v>4</v>
      </c>
      <c r="DQ54" s="155">
        <v>0</v>
      </c>
      <c r="DR54" s="154">
        <v>30</v>
      </c>
      <c r="DS54" s="55"/>
      <c r="DT54" s="55"/>
      <c r="DU54" s="233">
        <v>38139</v>
      </c>
      <c r="DV54" s="154">
        <v>22</v>
      </c>
      <c r="DW54" s="155">
        <v>4</v>
      </c>
      <c r="DX54" s="155">
        <v>4</v>
      </c>
      <c r="DY54" s="155">
        <v>0</v>
      </c>
      <c r="DZ54" s="154">
        <v>30</v>
      </c>
      <c r="EA54" s="55"/>
      <c r="EB54" s="55"/>
      <c r="EV54" s="167"/>
      <c r="EW54" s="167"/>
    </row>
    <row r="55" spans="1:153" ht="13.5" thickBot="1" x14ac:dyDescent="0.25">
      <c r="A55" s="40" t="s">
        <v>7</v>
      </c>
      <c r="B55" s="40" t="s">
        <v>8</v>
      </c>
      <c r="C55" s="40" t="s">
        <v>9</v>
      </c>
      <c r="D55" s="40" t="s">
        <v>10</v>
      </c>
      <c r="E55" s="40" t="s">
        <v>8</v>
      </c>
      <c r="F55" s="40" t="s">
        <v>9</v>
      </c>
      <c r="G55" s="40" t="s">
        <v>32</v>
      </c>
      <c r="H55" s="40" t="s">
        <v>33</v>
      </c>
      <c r="I55" s="40" t="s">
        <v>32</v>
      </c>
      <c r="J55" s="40" t="s">
        <v>11</v>
      </c>
      <c r="K55" s="42" t="s">
        <v>12</v>
      </c>
      <c r="L55" s="42" t="s">
        <v>13</v>
      </c>
      <c r="M55" s="69"/>
      <c r="N55" s="79" t="s">
        <v>7</v>
      </c>
      <c r="O55" s="79" t="s">
        <v>34</v>
      </c>
      <c r="P55" s="79" t="s">
        <v>35</v>
      </c>
      <c r="Q55" s="40" t="s">
        <v>21</v>
      </c>
      <c r="R55" s="40"/>
      <c r="S55" s="216"/>
      <c r="T55" s="72"/>
      <c r="U55" s="72"/>
      <c r="V55" s="148" t="s">
        <v>36</v>
      </c>
      <c r="W55" s="42" t="s">
        <v>32</v>
      </c>
      <c r="X55" s="42" t="s">
        <v>32</v>
      </c>
      <c r="Y55" s="116" t="str">
        <f>V56</f>
        <v>Q1 2002</v>
      </c>
      <c r="Z55" s="116" t="str">
        <f>V57</f>
        <v>Q2 2002</v>
      </c>
      <c r="AA55" s="116" t="str">
        <f>V58</f>
        <v>Q3 2002</v>
      </c>
      <c r="AB55" s="116" t="str">
        <f>V59</f>
        <v>Q4 2002</v>
      </c>
      <c r="AC55" s="116" t="str">
        <f>V60</f>
        <v>Q1 2003</v>
      </c>
      <c r="AD55" s="116" t="str">
        <f>V61</f>
        <v>Q2 2003</v>
      </c>
      <c r="AE55" s="116" t="str">
        <f>V62</f>
        <v>Q3 2003</v>
      </c>
      <c r="AF55" s="116" t="str">
        <f>V63</f>
        <v>Q4 2003</v>
      </c>
      <c r="AG55" s="81" t="str">
        <f>V64</f>
        <v>Bal 2002</v>
      </c>
      <c r="AH55" s="81">
        <f>V65</f>
        <v>2003</v>
      </c>
      <c r="AI55" s="81">
        <f>V66</f>
        <v>2004</v>
      </c>
      <c r="AJ55" s="40" t="s">
        <v>7</v>
      </c>
      <c r="AK55" s="41" t="s">
        <v>37</v>
      </c>
      <c r="AL55" s="42" t="s">
        <v>32</v>
      </c>
      <c r="AM55" s="41" t="s">
        <v>37</v>
      </c>
      <c r="AN55" s="42" t="s">
        <v>32</v>
      </c>
      <c r="AO55" s="41" t="s">
        <v>37</v>
      </c>
      <c r="AP55" s="42" t="s">
        <v>32</v>
      </c>
      <c r="AQ55" s="41" t="s">
        <v>37</v>
      </c>
      <c r="AR55" s="42" t="s">
        <v>32</v>
      </c>
      <c r="AS55" s="41" t="s">
        <v>37</v>
      </c>
      <c r="AT55" s="42" t="s">
        <v>32</v>
      </c>
      <c r="AU55" s="41" t="s">
        <v>37</v>
      </c>
      <c r="AV55" s="42" t="s">
        <v>32</v>
      </c>
      <c r="AW55" s="41" t="s">
        <v>37</v>
      </c>
      <c r="AX55" s="42" t="s">
        <v>32</v>
      </c>
      <c r="AY55" s="41" t="s">
        <v>37</v>
      </c>
      <c r="AZ55" s="42" t="s">
        <v>32</v>
      </c>
      <c r="BA55" s="41" t="s">
        <v>37</v>
      </c>
      <c r="BB55" s="42" t="s">
        <v>32</v>
      </c>
      <c r="BC55" s="41" t="s">
        <v>37</v>
      </c>
      <c r="BD55" s="42" t="s">
        <v>32</v>
      </c>
      <c r="BE55" s="41" t="s">
        <v>37</v>
      </c>
      <c r="BF55" s="42" t="s">
        <v>32</v>
      </c>
      <c r="BG55" s="41" t="s">
        <v>37</v>
      </c>
      <c r="BH55" s="42" t="s">
        <v>32</v>
      </c>
      <c r="BI55" s="41" t="s">
        <v>37</v>
      </c>
      <c r="BJ55" s="42" t="s">
        <v>32</v>
      </c>
      <c r="BK55" s="41" t="s">
        <v>37</v>
      </c>
      <c r="BL55" s="42" t="s">
        <v>32</v>
      </c>
      <c r="BM55" s="41" t="s">
        <v>37</v>
      </c>
      <c r="BN55" s="42" t="s">
        <v>32</v>
      </c>
      <c r="BO55" s="41" t="s">
        <v>37</v>
      </c>
      <c r="BP55" s="42" t="s">
        <v>32</v>
      </c>
      <c r="BQ55" s="41" t="s">
        <v>37</v>
      </c>
      <c r="BR55" s="42" t="s">
        <v>32</v>
      </c>
      <c r="BS55" s="41" t="s">
        <v>37</v>
      </c>
      <c r="BT55" s="42" t="s">
        <v>32</v>
      </c>
      <c r="BU55" s="41" t="s">
        <v>37</v>
      </c>
      <c r="BV55" s="42" t="s">
        <v>32</v>
      </c>
      <c r="BW55" s="41" t="s">
        <v>37</v>
      </c>
      <c r="BX55" s="42" t="s">
        <v>32</v>
      </c>
      <c r="BY55" s="43" t="s">
        <v>37</v>
      </c>
      <c r="BZ55" s="44" t="s">
        <v>32</v>
      </c>
      <c r="CA55" s="32"/>
      <c r="CB55" s="32"/>
      <c r="CC55" s="32" t="s">
        <v>38</v>
      </c>
      <c r="CD55" s="32" t="s">
        <v>39</v>
      </c>
      <c r="CE55" s="181" t="s">
        <v>39</v>
      </c>
      <c r="CF55" s="181" t="s">
        <v>39</v>
      </c>
      <c r="CG55" s="32"/>
      <c r="CH55" s="32" t="s">
        <v>8</v>
      </c>
      <c r="CI55" s="27" t="s">
        <v>40</v>
      </c>
      <c r="CJ55" s="27" t="s">
        <v>40</v>
      </c>
      <c r="CK55" s="27" t="s">
        <v>40</v>
      </c>
      <c r="CL55" s="32" t="s">
        <v>41</v>
      </c>
      <c r="CN55" s="283" t="s">
        <v>126</v>
      </c>
      <c r="DI55" s="25">
        <f t="shared" si="22"/>
        <v>4</v>
      </c>
      <c r="DJ55" s="54">
        <f>[4]EnergyCurve!$D77</f>
        <v>38504</v>
      </c>
      <c r="DK55" s="30">
        <f t="shared" si="37"/>
        <v>26</v>
      </c>
      <c r="DL55" s="30">
        <f t="shared" si="38"/>
        <v>22</v>
      </c>
      <c r="DM55" s="233">
        <v>38169</v>
      </c>
      <c r="DN55" s="154">
        <v>21</v>
      </c>
      <c r="DO55" s="155">
        <v>5</v>
      </c>
      <c r="DP55" s="155">
        <v>4</v>
      </c>
      <c r="DQ55" s="155">
        <v>1</v>
      </c>
      <c r="DR55" s="154">
        <v>31</v>
      </c>
      <c r="DS55" s="55"/>
      <c r="DT55" s="55"/>
      <c r="DU55" s="233">
        <v>38169</v>
      </c>
      <c r="DV55" s="154">
        <v>21</v>
      </c>
      <c r="DW55" s="155">
        <v>5</v>
      </c>
      <c r="DX55" s="155">
        <v>4</v>
      </c>
      <c r="DY55" s="155">
        <v>1</v>
      </c>
      <c r="DZ55" s="154">
        <v>31</v>
      </c>
      <c r="EA55" s="55"/>
      <c r="EB55" s="55"/>
      <c r="ER55"/>
    </row>
    <row r="56" spans="1:153" ht="18.75" thickBot="1" x14ac:dyDescent="0.3">
      <c r="A56" s="98">
        <f>A12</f>
        <v>37225</v>
      </c>
      <c r="B56" s="99">
        <f t="array" ref="B56">SUM(IF(MONTH([4]EnergyCurve!$D$3:$D$40)&amp;YEAR([4]EnergyCurve!$D$3:$D$40)=MONTH($A56)&amp;YEAR($A56),[4]EnergyCurve!$P$3:$P$40))+SUM(IF(MONTH([4]EnergyCurve!$D$3:$D$40)&amp;YEAR([4]EnergyCurve!$D$3:$D$40)=MONTH($A56)&amp;YEAR($A56),[4]EnergyCurve!$R$3:$R$40))+B12</f>
        <v>196207.98498535156</v>
      </c>
      <c r="C56" s="90">
        <f t="shared" ref="C56:C91" si="39">B56/(CG56*CD56)</f>
        <v>273.36233055822862</v>
      </c>
      <c r="D56" s="89">
        <f t="shared" ref="D56:D91" si="40">BY56+IF(YEAR(A56)=$T$20,$BY$92,0)+IF(YEAR(A56)=$T$21,$BY$93,0)+IF(YEAR(A56)=$T$22,$BY$94,0)</f>
        <v>0</v>
      </c>
      <c r="E56" s="90">
        <f>B56+(D56*(CE56+CF56)*CG56)+(D12*CD12*CG12)</f>
        <v>196207.98498535156</v>
      </c>
      <c r="F56" s="117">
        <f>C56+D56</f>
        <v>273.36233055822862</v>
      </c>
      <c r="G56" s="91">
        <f>([4]EnergyCurve!$J34*CE56+[4]EnergyCurve!$AB34*CF56+G12*CD12)/CD56</f>
        <v>46.287639109293622</v>
      </c>
      <c r="H56" s="91">
        <f>I56-G56</f>
        <v>-1.2813444914856618</v>
      </c>
      <c r="I56" s="121">
        <f>([4]EnergyCurve!$L34*CE56+[4]EnergyCurve!$AD34*CF56+I12*CD12)/CD56</f>
        <v>45.00629461780796</v>
      </c>
      <c r="J56" s="99">
        <f t="array" ref="J56">SUM(IF(MONTH([4]EnergyCurve!$D$3:$D$40)&amp;YEAR([4]EnergyCurve!$D$3:$D$40)=MONTH($A56)&amp;YEAR($A56),[4]EnergyCurve!$T$3:$T$40))</f>
        <v>-256509.31223382484</v>
      </c>
      <c r="K56" s="92">
        <f>(((CN56-AL56)*AK56+(CN56-AN56)*AM56+(CN56-AP56)*AO56+(CN56-AR56)*AQ56+(CN56-AT56)*AS56+(CN56-AV56)*AU56+(CN56-AX56)*AW56+(CN56-AZ56)*AY56+(CN56-BB56)*BA56+(CN56-BD56)*BC56+(CN56-BF56)*BE56+(CN56-BH56)*BG56+(CN56-BJ56)*BI56+(CN56-BL56)*BK56+(CN56-BN56)*BM56+(CN56-BP56)*BO56+(CN56-BR56)*BQ56+(CN56-BT56)*BS56+(CN56-BV56)*BU56+(CN56-BX56)*BW56)*(CE56+CF56)*CG56)+CI56+CJ56+CK56</f>
        <v>0</v>
      </c>
      <c r="L56" s="92">
        <f t="shared" ref="L56:L94" si="41">J56+K56</f>
        <v>-256509.31223382484</v>
      </c>
      <c r="M56" s="69"/>
      <c r="N56" s="78">
        <f t="shared" ref="N56:N77" si="42">A56</f>
        <v>37225</v>
      </c>
      <c r="O56" s="114">
        <v>79</v>
      </c>
      <c r="P56" s="114">
        <v>79</v>
      </c>
      <c r="Q56" s="105">
        <f>AVERAGE(O56:P56)-G56</f>
        <v>32.712360890706378</v>
      </c>
      <c r="R56" s="372"/>
      <c r="S56" s="217">
        <f t="shared" ref="S56:S77" si="43">I56</f>
        <v>45.00629461780796</v>
      </c>
      <c r="T56" s="46">
        <f>IF(MONTH(TradeSum!$B$2)&gt;=10,YEAR(TradeSum!$B$2)+1,YEAR(TradeSum!$B$2))</f>
        <v>2002</v>
      </c>
      <c r="U56" s="45">
        <f>IF(INT((MONTH(TradeSum!$B$2)-1)/3)+2=5,1,INT((MONTH(TradeSum!$B$2)-1)/3)+2)</f>
        <v>1</v>
      </c>
      <c r="V56" s="123" t="str">
        <f t="shared" ref="V56:V63" si="44">"Q"&amp;U56&amp;" "&amp;T56</f>
        <v>Q1 2002</v>
      </c>
      <c r="W56" s="84">
        <f t="array" ref="W56">SUM(IF((INT((MONTH($A$56:$A$91)-1)/3)=U56-1)*(YEAR($A$56:$A$91)=T56),$I$56:$I$91*$DK$12:$DK$47))/SUM(IF((INT((MONTH($A$56:$A$91)-1)/3)=U56-1)*(YEAR($A$56:$A$91)=T56),$DK$12:$DK$47))</f>
        <v>47.582802611898707</v>
      </c>
      <c r="X56" s="124">
        <f t="array" ref="X56">AVERAGE(IF((INT((MONTH($A$56:$A$91)-1)/3)=U56-1)*(YEAR($A$56:$A$91)=T56),$I$56:$I$91))</f>
        <v>47.596084825354886</v>
      </c>
      <c r="Y56" s="130">
        <v>0</v>
      </c>
      <c r="Z56" s="131"/>
      <c r="AA56" s="131"/>
      <c r="AB56" s="131"/>
      <c r="AC56" s="131"/>
      <c r="AD56" s="131"/>
      <c r="AE56" s="131"/>
      <c r="AF56" s="131"/>
      <c r="AG56" s="131"/>
      <c r="AH56" s="131"/>
      <c r="AI56" s="131"/>
      <c r="AJ56" s="47">
        <f t="shared" ref="AJ56:AJ91" si="45">A56</f>
        <v>37225</v>
      </c>
      <c r="AK56" s="1"/>
      <c r="AL56" s="2"/>
      <c r="AM56" s="1"/>
      <c r="AN56" s="2"/>
      <c r="AO56" s="1"/>
      <c r="AP56" s="2"/>
      <c r="AQ56" s="1"/>
      <c r="AR56" s="2"/>
      <c r="AS56" s="1"/>
      <c r="AT56" s="2"/>
      <c r="AU56" s="1"/>
      <c r="AV56" s="2"/>
      <c r="AW56" s="1"/>
      <c r="AX56" s="2"/>
      <c r="AY56" s="1"/>
      <c r="AZ56" s="2"/>
      <c r="BA56" s="1"/>
      <c r="BB56" s="2"/>
      <c r="BC56" s="1"/>
      <c r="BD56" s="2"/>
      <c r="BE56" s="1"/>
      <c r="BF56" s="2"/>
      <c r="BG56" s="1"/>
      <c r="BH56" s="2"/>
      <c r="BI56" s="1"/>
      <c r="BJ56" s="2"/>
      <c r="BK56" s="1"/>
      <c r="BL56" s="2"/>
      <c r="BM56" s="1"/>
      <c r="BN56" s="2"/>
      <c r="BO56" s="1"/>
      <c r="BP56" s="2"/>
      <c r="BQ56" s="1"/>
      <c r="BR56" s="2"/>
      <c r="BS56" s="1"/>
      <c r="BT56" s="2"/>
      <c r="BU56" s="3"/>
      <c r="BV56" s="4"/>
      <c r="BW56" s="3"/>
      <c r="BX56" s="4"/>
      <c r="BY56" s="48">
        <f t="shared" ref="BY56:BY94" si="46">AK56+AM56+AO56+AQ56+AS56+AU56+AW56+AY56+BA56+BC56+BE56+BG56+BI56+BK56+BM56+BO56+BQ56+BS56+BU56+BW56</f>
        <v>0</v>
      </c>
      <c r="BZ56" s="49">
        <f t="shared" ref="BZ56:BZ94" si="47">IF(AND(BY56=0,CC56=0),0,(ABS(AK56)*AL56+ABS(AM56)*AN56+ABS(AO56)*AP56+ABS(AQ56)*AR56+ABS(AS56)*AT56+ABS(AU56)*AV56+ABS(AW56)*AX56+ABS(AY56)*AZ56+ABS(BA56)*BB56+ABS(BC56)*BD56+ABS(BE56)*BF56+ABS(BG56)*BH56+ABS(BI56)*BJ56+ABS(BK56)*BL56+ABS(BM56)*BN56+ABS(BO56)*BP56+ABS(BQ56)*BR56+ABS(BS56)*BT56+ABS(BU56)*BV56+ABS(BW56)*BX56)/CC56)</f>
        <v>0</v>
      </c>
      <c r="CA56" s="50"/>
      <c r="CB56" s="51">
        <f t="shared" ref="CB56:CB94" si="48">AJ56</f>
        <v>37225</v>
      </c>
      <c r="CC56" s="50">
        <f t="shared" ref="CC56:CC94" si="49">ABS(AK56)+ABS(AM56)+ABS(AO56)+ABS(AQ56)+ABS(AS56)+ABS(AU56)+ABS(AW56)+ABS(AY56)+ABS(BA56)+ABS(BC56)+ABS(BE56)+ABS(BG56)+ABS(BI56)+ABS(BK56)+ABS(BM56)+ABS(BO56)+ABS(BQ56)+ABS(BS56)+ABS(BU56)+ABS(BW56)</f>
        <v>0</v>
      </c>
      <c r="CD56" s="52">
        <f>DK80*24</f>
        <v>720</v>
      </c>
      <c r="CE56" s="50">
        <f>DK80*8</f>
        <v>240</v>
      </c>
      <c r="CF56" s="50">
        <f>DL80*16</f>
        <v>80</v>
      </c>
      <c r="CG56" s="50">
        <f t="shared" ref="CG56:CG71" si="50">CG12</f>
        <v>0.99688603656890984</v>
      </c>
      <c r="CH56" s="53">
        <f>D56*(CE56+CF56)</f>
        <v>0</v>
      </c>
      <c r="CI56" s="53">
        <f>IF(YEAR($AJ56)=$CI$10,(($CN56-$AL$92)*$AK$92+($CN56-$AN$92)*$AM$92+($CN56-$AP$92)*$AO$92+($CN56-$AR$92)*$AQ$92+($CN56-$AT$92)*$AS$92+($CN56-$AV$92)*$AU$92+($CN56-$AX$92)*$AW$92+($CN56-$AZ$92)*$AY$92+($CN56-$BB$92)*$BA$92+($CN56-$BD$92)*$BC$92+($CN56-$BF$92)*$BE$92+($CN56-$BH$92)*$BG$92+($CN56-$BJ$92)*$BI$92+($CN56-$BL$92)*$BK$92+($CN56-$BN$92)*$BM$92+($CN56-$BP$92)*$BO$92+($CN56-$BR$92)*$BQ$92+($CN56-$BT$92)*$BS$92+($CN56-$BV$92)*$BU$92+($CN56-$BX$92)*$BW$92)*($CE56+$CF56)*$CG56,0)</f>
        <v>0</v>
      </c>
      <c r="CJ56" s="53">
        <f>IF(YEAR($AJ56)=$CJ$10,(($CN56-$AL$93)*$AK$93+($CN56-$AN$93)*$AM$93+($CN56-$AP$93)*$AO$93+($CN56-$AR$93)*$AQ$93+($CN56-$AT$93)*$AS$93+($CN56-$AV$93)*$AU$93+($CN56-$AX$93)*$AW$93+($CN56-$AZ$93)*$AY$93+($CN56-$BB$93)*$BA$93+($CN56-$BD$93)*$BC$93+($CN56-$BF$93)*$BE$93+($CN56-$BH$93)*$BG$93+($CN56-$BJ$93)*$BI$93+($CN56-$BL$93)*$BK$93+($CN56-$BN$93)*$BM$93+($CN56-$BP$93)*$BO$93+($CN56-$BR$93)*$BQ$93+($CN56-$BT$93)*$BS$93+($CN56-$BV$93)*$BU$93+($CN56-$BX$93)*$BW$93)*($CE56+$CF56)*$CG56,0)</f>
        <v>0</v>
      </c>
      <c r="CK56" s="53">
        <f>IF(YEAR($AJ56)=$CK$10,(($CN56-$AL$94)*$AK$94+($CN56-$AN$94)*$AM$94+($CN56-$AP$94)*$AO$94+($CN56-$AR$94)*$AQ$94+($CN56-$AT$94)*$AS$94+($CN56-$AV$94)*$AU$94+($CN56-$AX$94)*$AW$94+($CN56-$AZ$94)*$AY$94+($CN56-$BB$94)*$BA$94+($CN56-$BD$94)*$BC$94+($CN56-$BF$94)*$BE$94+($CN56-$BH$94)*$BG$94+($CN56-$BJ$94)*$BI$94+($CN56-$BL$94)*$BK$94+($CN56-$BN$94)*$BM$94+($CN56-$BP$94)*$BO$94+($CN56-$BR$94)*$BQ$94+($CN56-$BT$94)*$BS$94+($CN56-$BV$94)*$BU$94+($CN56-$BX$94)*$BW$94)*($CE56+$CF56)*$CG56,0)</f>
        <v>0</v>
      </c>
      <c r="CL56" s="25">
        <f t="shared" ref="CL56:CL91" si="51">CC56*CD56</f>
        <v>0</v>
      </c>
      <c r="CN56" s="29">
        <f>([4]EnergyCurve!$L34*CE56+[4]EnergyCurve!$AD34*CF56)/(CE56+CF56)</f>
        <v>35.541489987500043</v>
      </c>
      <c r="DI56" s="25">
        <f t="shared" si="22"/>
        <v>5</v>
      </c>
      <c r="DJ56" s="54">
        <f>[4]EnergyCurve!$D78</f>
        <v>38534</v>
      </c>
      <c r="DK56" s="30">
        <f t="shared" si="37"/>
        <v>25</v>
      </c>
      <c r="DL56" s="30">
        <f t="shared" si="38"/>
        <v>20</v>
      </c>
      <c r="DM56" s="233">
        <v>38200</v>
      </c>
      <c r="DN56" s="154">
        <v>21</v>
      </c>
      <c r="DO56" s="155">
        <v>4</v>
      </c>
      <c r="DP56" s="155">
        <v>5</v>
      </c>
      <c r="DQ56" s="155">
        <v>1</v>
      </c>
      <c r="DR56" s="154">
        <v>31</v>
      </c>
      <c r="DS56" s="55"/>
      <c r="DT56" s="55"/>
      <c r="DU56" s="233">
        <v>38200</v>
      </c>
      <c r="DV56" s="154">
        <v>22</v>
      </c>
      <c r="DW56" s="155">
        <v>4</v>
      </c>
      <c r="DX56" s="155">
        <v>5</v>
      </c>
      <c r="DY56" s="155">
        <v>0</v>
      </c>
      <c r="DZ56" s="154">
        <v>31</v>
      </c>
      <c r="EA56" s="55"/>
      <c r="EB56" s="55"/>
      <c r="EQ56" s="54"/>
      <c r="ER56" s="190"/>
      <c r="ES56" s="167"/>
      <c r="ET56" s="167"/>
    </row>
    <row r="57" spans="1:153" ht="18.75" thickBot="1" x14ac:dyDescent="0.3">
      <c r="A57" s="100">
        <f t="shared" ref="A57:A94" si="52">A13</f>
        <v>37226</v>
      </c>
      <c r="B57" s="101">
        <f>[4]EnergyCurve!$P35+[4]EnergyCurve!$R35+B13</f>
        <v>-107239.572265625</v>
      </c>
      <c r="C57" s="86">
        <f t="shared" si="39"/>
        <v>-144.92691330868422</v>
      </c>
      <c r="D57" s="86">
        <f t="shared" si="40"/>
        <v>0</v>
      </c>
      <c r="E57" s="85">
        <f t="shared" ref="E57:E94" si="53">B57+(D57*(CE57+CF57)*CG57)+(D13*CD13*CG13)</f>
        <v>-107239.572265625</v>
      </c>
      <c r="F57" s="118">
        <f t="shared" ref="F57:F91" si="54">C57+D57</f>
        <v>-144.92691330868422</v>
      </c>
      <c r="G57" s="87">
        <f>([4]EnergyCurve!$J35*CE57+[4]EnergyCurve!$AB35*CF57+G13*CD13)/CD57</f>
        <v>51.220893326626026</v>
      </c>
      <c r="H57" s="87">
        <f t="shared" ref="H57:H77" si="55">I57-G57</f>
        <v>-1.9487535355281054</v>
      </c>
      <c r="I57" s="82">
        <f>([4]EnergyCurve!$L35*CE57+[4]EnergyCurve!$AD35*CF57+I13*CD13)/CD57</f>
        <v>49.272139791097921</v>
      </c>
      <c r="J57" s="85">
        <f>[4]EnergyCurve!$T35</f>
        <v>199777.60686943005</v>
      </c>
      <c r="K57" s="88">
        <f t="shared" ref="K57:K94" si="56">(((CN57-AL57)*AK57+(CN57-AN57)*AM57+(CN57-AP57)*AO57+(CN57-AR57)*AQ57+(CN57-AT57)*AS57+(CN57-AV57)*AU57+(CN57-AX57)*AW57+(CN57-AZ57)*AY57+(CN57-BB57)*BA57+(CN57-BD57)*BC57+(CN57-BF57)*BE57+(CN57-BH57)*BG57+(CN57-BJ57)*BI57+(CN57-BL57)*BK57+(CN57-BN57)*BM57+(CN57-BP57)*BO57+(CN57-BR57)*BQ57+(CN57-BT57)*BS57+(CN57-BV57)*BU57+(CN57-BX57)*BW57)*(CE57+CF57)*CG57)+CI57+CJ57+CK57</f>
        <v>0</v>
      </c>
      <c r="L57" s="88">
        <f t="shared" si="41"/>
        <v>199777.60686943005</v>
      </c>
      <c r="M57" s="69"/>
      <c r="N57" s="78">
        <f t="shared" si="42"/>
        <v>37226</v>
      </c>
      <c r="O57" s="114">
        <v>33.5</v>
      </c>
      <c r="P57" s="114">
        <v>33.5</v>
      </c>
      <c r="Q57" s="105">
        <f>AVERAGE(O57:P57)-G57</f>
        <v>-17.720893326626026</v>
      </c>
      <c r="R57" s="372"/>
      <c r="S57" s="217">
        <f t="shared" si="43"/>
        <v>49.272139791097921</v>
      </c>
      <c r="T57" s="46">
        <f>IF(U56=4,T56+1,T56)</f>
        <v>2002</v>
      </c>
      <c r="U57" s="45">
        <f>IF(U56=4,1,U56+1)</f>
        <v>2</v>
      </c>
      <c r="V57" s="125" t="str">
        <f t="shared" si="44"/>
        <v>Q2 2002</v>
      </c>
      <c r="W57" s="84">
        <f t="array" ref="W57">SUM(IF((INT((MONTH($A$56:$A$91)-1)/3)=U57-1)*(YEAR($A$56:$A$91)=T57),$I$56:$I$91*$DK$12:$DK$47))/SUM(IF((INT((MONTH($A$56:$A$91)-1)/3)=U57-1)*(YEAR($A$56:$A$91)=T57),$DK$12:$DK$47))</f>
        <v>44.580900711181847</v>
      </c>
      <c r="X57" s="124">
        <f t="array" ref="X57">AVERAGE(IF((INT((MONTH($A$56:$A$91)-1)/3)=U57-1)*(YEAR($A$56:$A$91)=T57),$I$56:$I$91))</f>
        <v>44.584501418462175</v>
      </c>
      <c r="Y57" s="132">
        <f t="shared" ref="Y57:Y66" si="57">W57-$W$12</f>
        <v>-17.491299463060408</v>
      </c>
      <c r="Z57" s="133">
        <v>0</v>
      </c>
      <c r="AA57" s="131"/>
      <c r="AB57" s="131"/>
      <c r="AC57" s="131"/>
      <c r="AD57" s="131"/>
      <c r="AE57" s="131"/>
      <c r="AF57" s="131"/>
      <c r="AG57" s="131"/>
      <c r="AH57" s="131"/>
      <c r="AI57" s="131"/>
      <c r="AJ57" s="47">
        <f t="shared" si="45"/>
        <v>37226</v>
      </c>
      <c r="AK57" s="1"/>
      <c r="AL57" s="2"/>
      <c r="AM57" s="1"/>
      <c r="AN57" s="2"/>
      <c r="AO57" s="1"/>
      <c r="AP57" s="2"/>
      <c r="AQ57" s="1"/>
      <c r="AR57" s="2"/>
      <c r="AS57" s="1"/>
      <c r="AT57" s="2"/>
      <c r="AU57" s="1"/>
      <c r="AV57" s="2"/>
      <c r="AW57" s="1"/>
      <c r="AX57" s="2"/>
      <c r="AY57" s="1"/>
      <c r="AZ57" s="2"/>
      <c r="BA57" s="1"/>
      <c r="BB57" s="2"/>
      <c r="BC57" s="1"/>
      <c r="BD57" s="2"/>
      <c r="BE57" s="1"/>
      <c r="BF57" s="2"/>
      <c r="BG57" s="1"/>
      <c r="BH57" s="2"/>
      <c r="BI57" s="1"/>
      <c r="BJ57" s="2"/>
      <c r="BK57" s="1"/>
      <c r="BL57" s="2"/>
      <c r="BM57" s="1"/>
      <c r="BN57" s="2"/>
      <c r="BO57" s="1"/>
      <c r="BP57" s="2"/>
      <c r="BQ57" s="1"/>
      <c r="BR57" s="2"/>
      <c r="BS57" s="1"/>
      <c r="BT57" s="2"/>
      <c r="BU57" s="1"/>
      <c r="BV57" s="2"/>
      <c r="BW57" s="1"/>
      <c r="BX57" s="2"/>
      <c r="BY57" s="48">
        <f t="shared" si="46"/>
        <v>0</v>
      </c>
      <c r="BZ57" s="49">
        <f t="shared" si="47"/>
        <v>0</v>
      </c>
      <c r="CA57" s="50"/>
      <c r="CB57" s="51">
        <f t="shared" si="48"/>
        <v>37226</v>
      </c>
      <c r="CC57" s="50">
        <f t="shared" si="49"/>
        <v>0</v>
      </c>
      <c r="CD57" s="52">
        <f t="shared" ref="CD57:CD91" si="58">DK81*24</f>
        <v>744</v>
      </c>
      <c r="CE57" s="50">
        <f t="shared" ref="CE57:CE91" si="59">DK81*8</f>
        <v>248</v>
      </c>
      <c r="CF57" s="50">
        <f t="shared" ref="CF57:CF91" si="60">DL81*16</f>
        <v>96</v>
      </c>
      <c r="CG57" s="50">
        <f t="shared" si="50"/>
        <v>0.99456482404641944</v>
      </c>
      <c r="CH57" s="53">
        <f t="shared" ref="CH57:CH91" si="61">D57*(CE57+CF57)</f>
        <v>0</v>
      </c>
      <c r="CI57" s="53">
        <f t="shared" ref="CI57:CI91" si="62">IF(YEAR($AJ57)=$CI$10,(($CN57-$AL$92)*$AK$92+($CN57-$AN$92)*$AM$92+($CN57-$AP$92)*$AO$92+($CN57-$AR$92)*$AQ$92+($CN57-$AT$92)*$AS$92+($CN57-$AV$92)*$AU$92+($CN57-$AX$92)*$AW$92+($CN57-$AZ$92)*$AY$92+($CN57-$BB$92)*$BA$92+($CN57-$BD$92)*$BC$92+($CN57-$BF$92)*$BE$92+($CN57-$BH$92)*$BG$92+($CN57-$BJ$92)*$BI$92+($CN57-$BL$92)*$BK$92+($CN57-$BN$92)*$BM$92+($CN57-$BP$92)*$BO$92+($CN57-$BR$92)*$BQ$92+($CN57-$BT$92)*$BS$92+($CN57-$BV$92)*$BU$92+($CN57-$BX$92)*$BW$92)*($CE57+$CF57)*$CG57,0)</f>
        <v>0</v>
      </c>
      <c r="CJ57" s="53">
        <f t="shared" ref="CJ57:CJ91" si="63">IF(YEAR($AJ57)=$CJ$10,(($CN57-$AL$93)*$AK$93+($CN57-$AN$93)*$AM$93+($CN57-$AP$93)*$AO$93+($CN57-$AR$93)*$AQ$93+($CN57-$AT$93)*$AS$93+($CN57-$AV$93)*$AU$93+($CN57-$AX$93)*$AW$93+($CN57-$AZ$93)*$AY$93+($CN57-$BB$93)*$BA$93+($CN57-$BD$93)*$BC$93+($CN57-$BF$93)*$BE$93+($CN57-$BH$93)*$BG$93+($CN57-$BJ$93)*$BI$93+($CN57-$BL$93)*$BK$93+($CN57-$BN$93)*$BM$93+($CN57-$BP$93)*$BO$93+($CN57-$BR$93)*$BQ$93+($CN57-$BT$93)*$BS$93+($CN57-$BV$93)*$BU$93+($CN57-$BX$93)*$BW$93)*($CE57+$CF57)*$CG57,0)</f>
        <v>0</v>
      </c>
      <c r="CK57" s="53">
        <f t="shared" ref="CK57:CK91" si="64">IF(YEAR($AJ57)=$CK$10,(($CN57-$AL$94)*$AK$94+($CN57-$AN$94)*$AM$94+($CN57-$AP$94)*$AO$94+($CN57-$AR$94)*$AQ$94+($CN57-$AT$94)*$AS$94+($CN57-$AV$94)*$AU$94+($CN57-$AX$94)*$AW$94+($CN57-$AZ$94)*$AY$94+($CN57-$BB$94)*$BA$94+($CN57-$BD$94)*$BC$94+($CN57-$BF$94)*$BE$94+($CN57-$BH$94)*$BG$94+($CN57-$BJ$94)*$BI$94+($CN57-$BL$94)*$BK$94+($CN57-$BN$94)*$BM$94+($CN57-$BP$94)*$BO$94+($CN57-$BR$94)*$BQ$94+($CN57-$BT$94)*$BS$94+($CN57-$BV$94)*$BU$94+($CN57-$BX$94)*$BW$94)*($CE57+$CF57)*$CG57,0)</f>
        <v>0</v>
      </c>
      <c r="CL57" s="25">
        <f t="shared" si="51"/>
        <v>0</v>
      </c>
      <c r="CN57" s="29">
        <f>([4]EnergyCurve!$L35*CE57+[4]EnergyCurve!$AD35*CF57)/(CE57+CF57)</f>
        <v>39.744223901223933</v>
      </c>
      <c r="DI57" s="25">
        <f t="shared" si="22"/>
        <v>4</v>
      </c>
      <c r="DJ57" s="54">
        <f>[4]EnergyCurve!$D79</f>
        <v>38565</v>
      </c>
      <c r="DK57" s="30">
        <f t="shared" si="37"/>
        <v>27</v>
      </c>
      <c r="DL57" s="30">
        <f t="shared" si="38"/>
        <v>23</v>
      </c>
      <c r="DM57" s="233">
        <v>38231</v>
      </c>
      <c r="DN57" s="154">
        <v>21</v>
      </c>
      <c r="DO57" s="155">
        <v>4</v>
      </c>
      <c r="DP57" s="155">
        <v>4</v>
      </c>
      <c r="DQ57" s="155">
        <v>1</v>
      </c>
      <c r="DR57" s="154">
        <v>30</v>
      </c>
      <c r="DS57" s="55"/>
      <c r="DT57" s="55"/>
      <c r="DU57" s="233">
        <v>38231</v>
      </c>
      <c r="DV57" s="154">
        <v>21</v>
      </c>
      <c r="DW57" s="155">
        <v>4</v>
      </c>
      <c r="DX57" s="155">
        <v>4</v>
      </c>
      <c r="DY57" s="155">
        <v>1</v>
      </c>
      <c r="DZ57" s="154">
        <v>30</v>
      </c>
      <c r="EA57" s="55"/>
      <c r="EB57" s="55"/>
      <c r="EQ57" s="54"/>
      <c r="ER57" s="190"/>
      <c r="ES57" s="167"/>
      <c r="ET57" s="167"/>
    </row>
    <row r="58" spans="1:153" ht="18.75" thickBot="1" x14ac:dyDescent="0.3">
      <c r="A58" s="98">
        <f t="shared" si="52"/>
        <v>37257</v>
      </c>
      <c r="B58" s="99">
        <f>[4]EnergyCurve!$P36+[4]EnergyCurve!$R36+B14</f>
        <v>132361.64819335938</v>
      </c>
      <c r="C58" s="90">
        <f t="shared" si="39"/>
        <v>179.25334878344131</v>
      </c>
      <c r="D58" s="89">
        <f t="shared" si="40"/>
        <v>-20</v>
      </c>
      <c r="E58" s="90">
        <f t="shared" si="53"/>
        <v>113464.82075936202</v>
      </c>
      <c r="F58" s="117">
        <f t="shared" si="54"/>
        <v>159.25334878344131</v>
      </c>
      <c r="G58" s="91">
        <f>([4]EnergyCurve!$J36*CE58+[4]EnergyCurve!$AB36*CF58+G14*CD14)/CD58</f>
        <v>49.913262315975722</v>
      </c>
      <c r="H58" s="91">
        <f t="shared" si="55"/>
        <v>-1.4792922930251748</v>
      </c>
      <c r="I58" s="121">
        <f>([4]EnergyCurve!$L36*CE58+[4]EnergyCurve!$AD36*CF58+I14*CD14)/CD58</f>
        <v>48.433970022950547</v>
      </c>
      <c r="J58" s="99">
        <f>[4]EnergyCurve!$T36</f>
        <v>-140853.37944383972</v>
      </c>
      <c r="K58" s="92">
        <f t="shared" si="56"/>
        <v>114627.4150133362</v>
      </c>
      <c r="L58" s="92">
        <f t="shared" si="41"/>
        <v>-26225.964430503518</v>
      </c>
      <c r="M58" s="69"/>
      <c r="N58" s="78">
        <f t="shared" si="42"/>
        <v>37257</v>
      </c>
      <c r="O58" s="114">
        <v>25.25</v>
      </c>
      <c r="P58" s="114">
        <v>25.25</v>
      </c>
      <c r="Q58" s="105">
        <f t="shared" ref="Q58:Q76" si="65">AVERAGE(O58:P58)-G58</f>
        <v>-24.663262315975722</v>
      </c>
      <c r="R58" s="372"/>
      <c r="S58" s="217">
        <f t="shared" si="43"/>
        <v>48.433970022950547</v>
      </c>
      <c r="T58" s="46">
        <f t="shared" ref="T58:T63" si="66">IF(U57=4,T57+1,T57)</f>
        <v>2002</v>
      </c>
      <c r="U58" s="45">
        <f t="shared" ref="U58:U63" si="67">IF(U57=4,1,U57+1)</f>
        <v>3</v>
      </c>
      <c r="V58" s="126" t="str">
        <f t="shared" si="44"/>
        <v>Q3 2002</v>
      </c>
      <c r="W58" s="84">
        <f t="array" ref="W58">SUM(IF((INT((MONTH($A$56:$A$91)-1)/3)=U58-1)*(YEAR($A$56:$A$91)=T58),$I$56:$I$91*$DK$12:$DK$47))/SUM(IF((INT((MONTH($A$56:$A$91)-1)/3)=U58-1)*(YEAR($A$56:$A$91)=T58),$DK$12:$DK$47))</f>
        <v>41.132801630144129</v>
      </c>
      <c r="X58" s="124">
        <f t="array" ref="X58">AVERAGE(IF((INT((MONTH($A$56:$A$91)-1)/3)=U58-1)*(YEAR($A$56:$A$91)=T58),$I$56:$I$91))</f>
        <v>41.124243174110681</v>
      </c>
      <c r="Y58" s="134">
        <f t="shared" si="57"/>
        <v>-20.939398544098125</v>
      </c>
      <c r="Z58" s="134">
        <f t="shared" ref="Z58:Z66" si="68">W58-$W$13</f>
        <v>-16.471984660766154</v>
      </c>
      <c r="AA58" s="130">
        <v>0</v>
      </c>
      <c r="AB58" s="131"/>
      <c r="AC58" s="131"/>
      <c r="AD58" s="131"/>
      <c r="AE58" s="131"/>
      <c r="AF58" s="131"/>
      <c r="AG58" s="131"/>
      <c r="AH58" s="131"/>
      <c r="AI58" s="131"/>
      <c r="AJ58" s="47">
        <f t="shared" si="45"/>
        <v>37257</v>
      </c>
      <c r="AK58" s="1">
        <v>-5</v>
      </c>
      <c r="AL58" s="2">
        <v>47.5</v>
      </c>
      <c r="AM58" s="1">
        <v>-15</v>
      </c>
      <c r="AN58" s="2">
        <v>47</v>
      </c>
      <c r="AO58" s="1"/>
      <c r="AP58" s="2"/>
      <c r="AQ58" s="1"/>
      <c r="AR58" s="2"/>
      <c r="AS58" s="1"/>
      <c r="AT58" s="2"/>
      <c r="AU58" s="1"/>
      <c r="AV58" s="2"/>
      <c r="AW58" s="1"/>
      <c r="AX58" s="2"/>
      <c r="AY58" s="1"/>
      <c r="AZ58" s="2"/>
      <c r="BA58" s="1"/>
      <c r="BB58" s="2"/>
      <c r="BC58" s="1"/>
      <c r="BD58" s="2"/>
      <c r="BE58" s="1"/>
      <c r="BF58" s="2"/>
      <c r="BG58" s="1"/>
      <c r="BH58" s="2"/>
      <c r="BI58" s="1"/>
      <c r="BJ58" s="2"/>
      <c r="BK58" s="1"/>
      <c r="BL58" s="2"/>
      <c r="BM58" s="1"/>
      <c r="BN58" s="2"/>
      <c r="BO58" s="1"/>
      <c r="BP58" s="2"/>
      <c r="BQ58" s="1"/>
      <c r="BR58" s="2"/>
      <c r="BS58" s="1"/>
      <c r="BT58" s="2"/>
      <c r="BU58" s="1"/>
      <c r="BV58" s="2"/>
      <c r="BW58" s="1"/>
      <c r="BX58" s="2"/>
      <c r="BY58" s="48">
        <f t="shared" si="46"/>
        <v>-20</v>
      </c>
      <c r="BZ58" s="49">
        <f t="shared" si="47"/>
        <v>47.125</v>
      </c>
      <c r="CA58" s="50"/>
      <c r="CB58" s="51">
        <f t="shared" si="48"/>
        <v>37257</v>
      </c>
      <c r="CC58" s="50">
        <f t="shared" si="49"/>
        <v>20</v>
      </c>
      <c r="CD58" s="52">
        <f t="shared" si="58"/>
        <v>744</v>
      </c>
      <c r="CE58" s="50">
        <f t="shared" si="59"/>
        <v>248</v>
      </c>
      <c r="CF58" s="50">
        <f t="shared" si="60"/>
        <v>80</v>
      </c>
      <c r="CG58" s="50">
        <f t="shared" si="50"/>
        <v>0.99248043245784456</v>
      </c>
      <c r="CH58" s="53">
        <f t="shared" si="61"/>
        <v>-6560</v>
      </c>
      <c r="CI58" s="53">
        <f t="shared" si="62"/>
        <v>0</v>
      </c>
      <c r="CJ58" s="53">
        <f t="shared" si="63"/>
        <v>0</v>
      </c>
      <c r="CK58" s="53">
        <f t="shared" si="64"/>
        <v>0</v>
      </c>
      <c r="CL58" s="25">
        <f t="shared" si="51"/>
        <v>14880</v>
      </c>
      <c r="CN58" s="29">
        <f>([4]EnergyCurve!$L36*CE58+[4]EnergyCurve!$AD36*CF58)/(CE58+CF58)</f>
        <v>29.518918568514692</v>
      </c>
      <c r="DI58" s="25">
        <f t="shared" si="22"/>
        <v>4</v>
      </c>
      <c r="DJ58" s="54">
        <f>[4]EnergyCurve!$D80</f>
        <v>38596</v>
      </c>
      <c r="DK58" s="30">
        <f t="shared" si="37"/>
        <v>25</v>
      </c>
      <c r="DL58" s="30">
        <f t="shared" si="38"/>
        <v>21</v>
      </c>
      <c r="DM58" s="233">
        <v>38261</v>
      </c>
      <c r="DN58" s="154">
        <v>20</v>
      </c>
      <c r="DO58" s="155">
        <v>5</v>
      </c>
      <c r="DP58" s="155">
        <v>5</v>
      </c>
      <c r="DQ58" s="155">
        <v>1</v>
      </c>
      <c r="DR58" s="154">
        <v>31</v>
      </c>
      <c r="DS58" s="55"/>
      <c r="DT58" s="55"/>
      <c r="DU58" s="233">
        <v>38261</v>
      </c>
      <c r="DV58" s="154">
        <v>21</v>
      </c>
      <c r="DW58" s="155">
        <v>5</v>
      </c>
      <c r="DX58" s="155">
        <v>5</v>
      </c>
      <c r="DY58" s="155">
        <v>0</v>
      </c>
      <c r="DZ58" s="154">
        <v>31</v>
      </c>
      <c r="EA58" s="55"/>
      <c r="EB58" s="55"/>
      <c r="EQ58" s="54"/>
      <c r="ER58" s="190"/>
      <c r="ES58" s="167"/>
      <c r="ET58" s="167"/>
    </row>
    <row r="59" spans="1:153" ht="18.75" thickBot="1" x14ac:dyDescent="0.3">
      <c r="A59" s="100">
        <f t="shared" si="52"/>
        <v>37288</v>
      </c>
      <c r="B59" s="101">
        <f>[4]EnergyCurve!$P37+[4]EnergyCurve!$R37+B15</f>
        <v>116679.95947265625</v>
      </c>
      <c r="C59" s="86">
        <f t="shared" si="39"/>
        <v>175.26272468519144</v>
      </c>
      <c r="D59" s="86">
        <f t="shared" si="40"/>
        <v>-20</v>
      </c>
      <c r="E59" s="85">
        <f t="shared" si="53"/>
        <v>99560.849745243293</v>
      </c>
      <c r="F59" s="118">
        <f t="shared" si="54"/>
        <v>155.26272468519144</v>
      </c>
      <c r="G59" s="87">
        <f>([4]EnergyCurve!$J37*CE59+[4]EnergyCurve!$AB37*CF59+G15*CD15)/CD59</f>
        <v>49.787539164225258</v>
      </c>
      <c r="H59" s="87">
        <f t="shared" si="55"/>
        <v>-1.6867302275355271</v>
      </c>
      <c r="I59" s="82">
        <f>([4]EnergyCurve!$L37*CE59+[4]EnergyCurve!$AD37*CF59+I15*CD15)/CD59</f>
        <v>48.100808936689731</v>
      </c>
      <c r="J59" s="85">
        <f>[4]EnergyCurve!$T37</f>
        <v>-141176.54749199111</v>
      </c>
      <c r="K59" s="88">
        <f t="shared" si="56"/>
        <v>104043.84343633152</v>
      </c>
      <c r="L59" s="88">
        <f t="shared" si="41"/>
        <v>-37132.704055659589</v>
      </c>
      <c r="M59" s="69"/>
      <c r="N59" s="78">
        <f t="shared" si="42"/>
        <v>37288</v>
      </c>
      <c r="O59" s="114">
        <v>25.25</v>
      </c>
      <c r="P59" s="114">
        <v>25.25</v>
      </c>
      <c r="Q59" s="105">
        <f t="shared" si="65"/>
        <v>-24.537539164225258</v>
      </c>
      <c r="R59" s="372"/>
      <c r="S59" s="217">
        <f t="shared" si="43"/>
        <v>48.100808936689731</v>
      </c>
      <c r="T59" s="46">
        <f t="shared" si="66"/>
        <v>2002</v>
      </c>
      <c r="U59" s="45">
        <f t="shared" si="67"/>
        <v>4</v>
      </c>
      <c r="V59" s="125" t="str">
        <f t="shared" si="44"/>
        <v>Q4 2002</v>
      </c>
      <c r="W59" s="84">
        <f t="array" ref="W59">SUM(IF((INT((MONTH($A$56:$A$91)-1)/3)=U59-1)*(YEAR($A$56:$A$91)=T59),$I$56:$I$91*$DK$12:$DK$47))/SUM(IF((INT((MONTH($A$56:$A$91)-1)/3)=U59-1)*(YEAR($A$56:$A$91)=T59),$DK$12:$DK$47))</f>
        <v>47.216677482070025</v>
      </c>
      <c r="X59" s="124">
        <f t="array" ref="X59">AVERAGE(IF((INT((MONTH($A$56:$A$91)-1)/3)=U59-1)*(YEAR($A$56:$A$91)=T59),$I$56:$I$91))</f>
        <v>47.297139078184813</v>
      </c>
      <c r="Y59" s="132">
        <f t="shared" si="57"/>
        <v>-14.855522692172229</v>
      </c>
      <c r="Z59" s="132">
        <f t="shared" si="68"/>
        <v>-10.388108808840258</v>
      </c>
      <c r="AA59" s="132">
        <f t="shared" ref="AA59:AA66" si="69">W59-$W$14</f>
        <v>-3.6215431117802979</v>
      </c>
      <c r="AB59" s="133">
        <v>0</v>
      </c>
      <c r="AC59" s="131"/>
      <c r="AD59" s="131"/>
      <c r="AE59" s="131"/>
      <c r="AF59" s="131"/>
      <c r="AG59" s="131"/>
      <c r="AH59" s="131"/>
      <c r="AI59" s="131"/>
      <c r="AJ59" s="47">
        <f t="shared" si="45"/>
        <v>37288</v>
      </c>
      <c r="AK59" s="1">
        <v>-5</v>
      </c>
      <c r="AL59" s="2">
        <v>47.5</v>
      </c>
      <c r="AM59" s="1">
        <v>-15</v>
      </c>
      <c r="AN59" s="2">
        <v>47</v>
      </c>
      <c r="AO59" s="1"/>
      <c r="AP59" s="2"/>
      <c r="AQ59" s="1"/>
      <c r="AR59" s="2"/>
      <c r="AS59" s="1"/>
      <c r="AT59" s="2"/>
      <c r="AU59" s="1"/>
      <c r="AV59" s="2"/>
      <c r="AW59" s="1"/>
      <c r="AX59" s="2"/>
      <c r="AY59" s="1"/>
      <c r="AZ59" s="2"/>
      <c r="BA59" s="1"/>
      <c r="BB59" s="2"/>
      <c r="BC59" s="1"/>
      <c r="BD59" s="2"/>
      <c r="BE59" s="1"/>
      <c r="BF59" s="2"/>
      <c r="BG59" s="1"/>
      <c r="BH59" s="2"/>
      <c r="BI59" s="1"/>
      <c r="BJ59" s="2"/>
      <c r="BK59" s="1"/>
      <c r="BL59" s="2"/>
      <c r="BM59" s="1"/>
      <c r="BN59" s="2"/>
      <c r="BO59" s="1"/>
      <c r="BP59" s="2"/>
      <c r="BQ59" s="1"/>
      <c r="BR59" s="2"/>
      <c r="BS59" s="1"/>
      <c r="BT59" s="2"/>
      <c r="BU59" s="1"/>
      <c r="BV59" s="2"/>
      <c r="BW59" s="1"/>
      <c r="BX59" s="2"/>
      <c r="BY59" s="48">
        <f t="shared" si="46"/>
        <v>-20</v>
      </c>
      <c r="BZ59" s="49">
        <f t="shared" si="47"/>
        <v>47.125</v>
      </c>
      <c r="CA59" s="50"/>
      <c r="CB59" s="51">
        <f t="shared" si="48"/>
        <v>37288</v>
      </c>
      <c r="CC59" s="50">
        <f t="shared" si="49"/>
        <v>20</v>
      </c>
      <c r="CD59" s="52">
        <f t="shared" si="58"/>
        <v>672</v>
      </c>
      <c r="CE59" s="50">
        <f t="shared" si="59"/>
        <v>224</v>
      </c>
      <c r="CF59" s="50">
        <f t="shared" si="60"/>
        <v>64</v>
      </c>
      <c r="CG59" s="50">
        <f t="shared" si="50"/>
        <v>0.99068922033639828</v>
      </c>
      <c r="CH59" s="53">
        <f t="shared" si="61"/>
        <v>-5760</v>
      </c>
      <c r="CI59" s="53">
        <f t="shared" si="62"/>
        <v>0</v>
      </c>
      <c r="CJ59" s="53">
        <f t="shared" si="63"/>
        <v>0</v>
      </c>
      <c r="CK59" s="53">
        <f t="shared" si="64"/>
        <v>0</v>
      </c>
      <c r="CL59" s="25">
        <f t="shared" si="51"/>
        <v>13440</v>
      </c>
      <c r="CN59" s="29">
        <f>([4]EnergyCurve!$L37*CE59+[4]EnergyCurve!$AD37*CF59)/(CE59+CF59)</f>
        <v>28.892069942359448</v>
      </c>
      <c r="DI59" s="25">
        <f t="shared" si="22"/>
        <v>5</v>
      </c>
      <c r="DJ59" s="54">
        <f>[4]EnergyCurve!$D81</f>
        <v>38626</v>
      </c>
      <c r="DK59" s="30">
        <f t="shared" si="37"/>
        <v>26</v>
      </c>
      <c r="DL59" s="30">
        <f t="shared" si="38"/>
        <v>21</v>
      </c>
      <c r="DM59" s="233">
        <v>38292</v>
      </c>
      <c r="DN59" s="154">
        <v>21</v>
      </c>
      <c r="DO59" s="155">
        <v>4</v>
      </c>
      <c r="DP59" s="155">
        <v>4</v>
      </c>
      <c r="DQ59" s="155">
        <v>1</v>
      </c>
      <c r="DR59" s="154">
        <v>30</v>
      </c>
      <c r="DS59" s="55"/>
      <c r="DT59" s="55"/>
      <c r="DU59" s="233">
        <v>38292</v>
      </c>
      <c r="DV59" s="154">
        <v>21</v>
      </c>
      <c r="DW59" s="155">
        <v>4</v>
      </c>
      <c r="DX59" s="155">
        <v>4</v>
      </c>
      <c r="DY59" s="155">
        <v>1</v>
      </c>
      <c r="DZ59" s="154">
        <v>30</v>
      </c>
      <c r="EA59" s="55"/>
      <c r="EB59" s="55"/>
      <c r="EQ59" s="54"/>
      <c r="ER59" s="190"/>
      <c r="ES59" s="167"/>
      <c r="ET59" s="167"/>
    </row>
    <row r="60" spans="1:153" ht="18.75" thickBot="1" x14ac:dyDescent="0.3">
      <c r="A60" s="98">
        <f t="shared" si="52"/>
        <v>37316</v>
      </c>
      <c r="B60" s="99">
        <f>[4]EnergyCurve!$P38+[4]EnergyCurve!$R38+B16</f>
        <v>131147.27758789063</v>
      </c>
      <c r="C60" s="90">
        <f t="shared" si="39"/>
        <v>178.26353318110569</v>
      </c>
      <c r="D60" s="89">
        <f t="shared" si="40"/>
        <v>-20</v>
      </c>
      <c r="E60" s="90">
        <f t="shared" si="53"/>
        <v>112319.85900298109</v>
      </c>
      <c r="F60" s="117">
        <f t="shared" si="54"/>
        <v>158.26353318110569</v>
      </c>
      <c r="G60" s="91">
        <f>([4]EnergyCurve!$J38*CE60+[4]EnergyCurve!$AB38*CF60+G16*CD16)/CD60</f>
        <v>48.05774118567026</v>
      </c>
      <c r="H60" s="91">
        <f t="shared" si="55"/>
        <v>-1.8042656692458721</v>
      </c>
      <c r="I60" s="121">
        <f>([4]EnergyCurve!$L38*CE60+[4]EnergyCurve!$AD38*CF60+I16*CD16)/CD60</f>
        <v>46.253475516424388</v>
      </c>
      <c r="J60" s="99">
        <f>[4]EnergyCurve!$T38</f>
        <v>-170896.8514770474</v>
      </c>
      <c r="K60" s="92">
        <f t="shared" si="56"/>
        <v>121996.80259579084</v>
      </c>
      <c r="L60" s="92">
        <f t="shared" si="41"/>
        <v>-48900.04888125656</v>
      </c>
      <c r="M60" s="69"/>
      <c r="N60" s="78">
        <f t="shared" si="42"/>
        <v>37316</v>
      </c>
      <c r="O60" s="114">
        <v>25.25</v>
      </c>
      <c r="P60" s="114">
        <v>25.25</v>
      </c>
      <c r="Q60" s="105">
        <f t="shared" si="65"/>
        <v>-22.80774118567026</v>
      </c>
      <c r="R60" s="372"/>
      <c r="S60" s="217">
        <f t="shared" si="43"/>
        <v>46.253475516424388</v>
      </c>
      <c r="T60" s="46">
        <f t="shared" si="66"/>
        <v>2003</v>
      </c>
      <c r="U60" s="45">
        <f t="shared" si="67"/>
        <v>1</v>
      </c>
      <c r="V60" s="126" t="str">
        <f t="shared" si="44"/>
        <v>Q1 2003</v>
      </c>
      <c r="W60" s="84">
        <f t="array" ref="W60">SUM(IF((INT((MONTH($A$56:$A$91)-1)/3)=U60-1)*(YEAR($A$56:$A$91)=T60),$I$56:$I$91*$DK$12:$DK$47))/SUM(IF((INT((MONTH($A$56:$A$91)-1)/3)=U60-1)*(YEAR($A$56:$A$91)=T60),$DK$12:$DK$47))</f>
        <v>43.314189884765831</v>
      </c>
      <c r="X60" s="124">
        <f t="array" ref="X60">AVERAGE(IF((INT((MONTH($A$56:$A$91)-1)/3)=U60-1)*(YEAR($A$56:$A$91)=T60),$I$56:$I$91))</f>
        <v>43.315879177253329</v>
      </c>
      <c r="Y60" s="134">
        <f t="shared" si="57"/>
        <v>-18.758010289476424</v>
      </c>
      <c r="Z60" s="134">
        <f t="shared" si="68"/>
        <v>-14.290596406144452</v>
      </c>
      <c r="AA60" s="134">
        <f t="shared" si="69"/>
        <v>-7.5240307090844922</v>
      </c>
      <c r="AB60" s="134">
        <f t="shared" ref="AB60:AB66" si="70">W60-$W$15</f>
        <v>-16.278234135689779</v>
      </c>
      <c r="AC60" s="130">
        <v>0</v>
      </c>
      <c r="AD60" s="131"/>
      <c r="AE60" s="131"/>
      <c r="AF60" s="131"/>
      <c r="AG60" s="131"/>
      <c r="AH60" s="131"/>
      <c r="AI60" s="131"/>
      <c r="AJ60" s="47">
        <f t="shared" si="45"/>
        <v>37316</v>
      </c>
      <c r="AK60" s="1">
        <v>-5</v>
      </c>
      <c r="AL60" s="2">
        <v>47.5</v>
      </c>
      <c r="AM60" s="1">
        <v>-15</v>
      </c>
      <c r="AN60" s="2">
        <v>47</v>
      </c>
      <c r="AO60" s="1"/>
      <c r="AP60" s="2"/>
      <c r="AQ60" s="1"/>
      <c r="AR60" s="2"/>
      <c r="AS60" s="1"/>
      <c r="AT60" s="2"/>
      <c r="AU60" s="1"/>
      <c r="AV60" s="2"/>
      <c r="AW60" s="1"/>
      <c r="AX60" s="2"/>
      <c r="AY60" s="1"/>
      <c r="AZ60" s="2"/>
      <c r="BA60" s="1"/>
      <c r="BB60" s="2"/>
      <c r="BC60" s="1"/>
      <c r="BD60" s="2"/>
      <c r="BE60" s="1"/>
      <c r="BF60" s="2"/>
      <c r="BG60" s="1"/>
      <c r="BH60" s="2"/>
      <c r="BI60" s="1"/>
      <c r="BJ60" s="2"/>
      <c r="BK60" s="1"/>
      <c r="BL60" s="2"/>
      <c r="BM60" s="1"/>
      <c r="BN60" s="2"/>
      <c r="BO60" s="1"/>
      <c r="BP60" s="2"/>
      <c r="BQ60" s="1"/>
      <c r="BR60" s="2"/>
      <c r="BS60" s="1"/>
      <c r="BT60" s="2"/>
      <c r="BU60" s="1"/>
      <c r="BV60" s="2"/>
      <c r="BW60" s="1"/>
      <c r="BX60" s="2"/>
      <c r="BY60" s="48">
        <f t="shared" si="46"/>
        <v>-20</v>
      </c>
      <c r="BZ60" s="49">
        <f t="shared" si="47"/>
        <v>47.125</v>
      </c>
      <c r="CA60" s="50"/>
      <c r="CB60" s="51">
        <f t="shared" si="48"/>
        <v>37316</v>
      </c>
      <c r="CC60" s="50">
        <f t="shared" si="49"/>
        <v>20</v>
      </c>
      <c r="CD60" s="52">
        <f t="shared" si="58"/>
        <v>744</v>
      </c>
      <c r="CE60" s="50">
        <f t="shared" si="59"/>
        <v>248</v>
      </c>
      <c r="CF60" s="50">
        <f t="shared" si="60"/>
        <v>80</v>
      </c>
      <c r="CG60" s="50">
        <f t="shared" si="50"/>
        <v>0.98883500971163563</v>
      </c>
      <c r="CH60" s="53">
        <f t="shared" si="61"/>
        <v>-6560</v>
      </c>
      <c r="CI60" s="53">
        <f t="shared" si="62"/>
        <v>0</v>
      </c>
      <c r="CJ60" s="53">
        <f t="shared" si="63"/>
        <v>0</v>
      </c>
      <c r="CK60" s="53">
        <f t="shared" si="64"/>
        <v>0</v>
      </c>
      <c r="CL60" s="25">
        <f t="shared" si="51"/>
        <v>14880</v>
      </c>
      <c r="CN60" s="29">
        <f>([4]EnergyCurve!$L38*CE60+[4]EnergyCurve!$AD38*CF60)/(CE60+CF60)</f>
        <v>28.317945856705848</v>
      </c>
      <c r="DI60" s="25">
        <f t="shared" si="22"/>
        <v>4</v>
      </c>
      <c r="DJ60" s="54">
        <f>[4]EnergyCurve!$D82</f>
        <v>38657</v>
      </c>
      <c r="DK60" s="30">
        <f t="shared" si="37"/>
        <v>25</v>
      </c>
      <c r="DL60" s="30">
        <f t="shared" si="38"/>
        <v>21</v>
      </c>
      <c r="DM60" s="233">
        <v>38322</v>
      </c>
      <c r="DN60" s="154">
        <v>22</v>
      </c>
      <c r="DO60" s="155">
        <v>3</v>
      </c>
      <c r="DP60" s="155">
        <v>4</v>
      </c>
      <c r="DQ60" s="155">
        <v>2</v>
      </c>
      <c r="DR60" s="154">
        <v>31</v>
      </c>
      <c r="DS60" s="55"/>
      <c r="DT60" s="55"/>
      <c r="DU60" s="233">
        <v>38322</v>
      </c>
      <c r="DV60" s="154">
        <v>23</v>
      </c>
      <c r="DW60" s="155">
        <v>3</v>
      </c>
      <c r="DX60" s="155">
        <v>4</v>
      </c>
      <c r="DY60" s="155">
        <v>1</v>
      </c>
      <c r="DZ60" s="154">
        <v>31</v>
      </c>
      <c r="EA60" s="55"/>
      <c r="EB60" s="55"/>
      <c r="EQ60" s="54"/>
      <c r="ER60" s="190"/>
      <c r="ES60" s="167"/>
      <c r="ET60" s="167"/>
    </row>
    <row r="61" spans="1:153" ht="21" customHeight="1" thickBot="1" x14ac:dyDescent="0.3">
      <c r="A61" s="100">
        <f t="shared" si="52"/>
        <v>37347</v>
      </c>
      <c r="B61" s="101">
        <f>[4]EnergyCurve!$P39+[4]EnergyCurve!$R39+B17</f>
        <v>133347.6708984375</v>
      </c>
      <c r="C61" s="86">
        <f t="shared" si="39"/>
        <v>187.63418370823453</v>
      </c>
      <c r="D61" s="86">
        <f t="shared" si="40"/>
        <v>-20</v>
      </c>
      <c r="E61" s="85">
        <f t="shared" si="53"/>
        <v>119134.09123367992</v>
      </c>
      <c r="F61" s="118">
        <f t="shared" si="54"/>
        <v>167.63418370823453</v>
      </c>
      <c r="G61" s="87">
        <f>([4]EnergyCurve!$J39*CE61+[4]EnergyCurve!$AB39*CF61+G17*CD17)/CD61</f>
        <v>45.309899902343751</v>
      </c>
      <c r="H61" s="87">
        <f t="shared" si="55"/>
        <v>-0.93208141794488597</v>
      </c>
      <c r="I61" s="82">
        <f>([4]EnergyCurve!$L39*CE61+[4]EnergyCurve!$AD39*CF61+I17*CD17)/CD61</f>
        <v>44.377818484398865</v>
      </c>
      <c r="J61" s="85">
        <f>[4]EnergyCurve!$T39</f>
        <v>-98701.434149869499</v>
      </c>
      <c r="K61" s="88">
        <f t="shared" si="56"/>
        <v>120418.5396447315</v>
      </c>
      <c r="L61" s="88">
        <f t="shared" si="41"/>
        <v>21717.105494862</v>
      </c>
      <c r="M61" s="69"/>
      <c r="N61" s="78">
        <f t="shared" si="42"/>
        <v>37347</v>
      </c>
      <c r="O61" s="114">
        <v>30.5</v>
      </c>
      <c r="P61" s="114">
        <v>30.5</v>
      </c>
      <c r="Q61" s="105">
        <f t="shared" si="65"/>
        <v>-14.809899902343751</v>
      </c>
      <c r="R61" s="372"/>
      <c r="S61" s="217">
        <f t="shared" si="43"/>
        <v>44.377818484398865</v>
      </c>
      <c r="T61" s="46">
        <f t="shared" si="66"/>
        <v>2003</v>
      </c>
      <c r="U61" s="45">
        <f t="shared" si="67"/>
        <v>2</v>
      </c>
      <c r="V61" s="125" t="str">
        <f t="shared" si="44"/>
        <v>Q2 2003</v>
      </c>
      <c r="W61" s="84">
        <f t="array" ref="W61">SUM(IF((INT((MONTH($A$56:$A$91)-1)/3)=U61-1)*(YEAR($A$56:$A$91)=T61),$I$56:$I$91*$DK$12:$DK$47))/SUM(IF((INT((MONTH($A$56:$A$91)-1)/3)=U61-1)*(YEAR($A$56:$A$91)=T61),$DK$12:$DK$47))</f>
        <v>40.295740783808419</v>
      </c>
      <c r="X61" s="124">
        <f t="array" ref="X61">AVERAGE(IF((INT((MONTH($A$56:$A$91)-1)/3)=U61-1)*(YEAR($A$56:$A$91)=T61),$I$56:$I$91))</f>
        <v>40.297532852991907</v>
      </c>
      <c r="Y61" s="132">
        <f t="shared" si="57"/>
        <v>-21.776459390433835</v>
      </c>
      <c r="Z61" s="132">
        <f t="shared" si="68"/>
        <v>-17.309045507101864</v>
      </c>
      <c r="AA61" s="132">
        <f t="shared" si="69"/>
        <v>-10.542479810041904</v>
      </c>
      <c r="AB61" s="132">
        <f t="shared" si="70"/>
        <v>-19.296683236647191</v>
      </c>
      <c r="AC61" s="132">
        <f t="shared" ref="AC61:AC66" si="71">W61-$W$16</f>
        <v>-10.428014106242117</v>
      </c>
      <c r="AD61" s="133">
        <v>0</v>
      </c>
      <c r="AE61" s="131"/>
      <c r="AF61" s="131"/>
      <c r="AG61" s="131"/>
      <c r="AH61" s="131"/>
      <c r="AI61" s="131"/>
      <c r="AJ61" s="47">
        <f t="shared" si="45"/>
        <v>37347</v>
      </c>
      <c r="AK61" s="1">
        <v>-5</v>
      </c>
      <c r="AL61" s="2">
        <v>47.5</v>
      </c>
      <c r="AM61" s="1">
        <v>-15</v>
      </c>
      <c r="AN61" s="2">
        <v>47</v>
      </c>
      <c r="AO61" s="1"/>
      <c r="AP61" s="2"/>
      <c r="AQ61" s="1"/>
      <c r="AR61" s="2"/>
      <c r="AS61" s="1"/>
      <c r="AT61" s="2"/>
      <c r="AU61" s="1"/>
      <c r="AV61" s="2"/>
      <c r="AW61" s="1"/>
      <c r="AX61" s="2"/>
      <c r="AY61" s="1"/>
      <c r="AZ61" s="2"/>
      <c r="BA61" s="1"/>
      <c r="BB61" s="2"/>
      <c r="BC61" s="1"/>
      <c r="BD61" s="2"/>
      <c r="BE61" s="1"/>
      <c r="BF61" s="2"/>
      <c r="BG61" s="1"/>
      <c r="BH61" s="2"/>
      <c r="BI61" s="1"/>
      <c r="BJ61" s="2"/>
      <c r="BK61" s="1"/>
      <c r="BL61" s="2"/>
      <c r="BM61" s="1"/>
      <c r="BN61" s="2"/>
      <c r="BO61" s="1"/>
      <c r="BP61" s="2"/>
      <c r="BQ61" s="1"/>
      <c r="BR61" s="2"/>
      <c r="BS61" s="1"/>
      <c r="BT61" s="2"/>
      <c r="BU61" s="1"/>
      <c r="BV61" s="2"/>
      <c r="BW61" s="1"/>
      <c r="BX61" s="2"/>
      <c r="BY61" s="48">
        <f t="shared" si="46"/>
        <v>-20</v>
      </c>
      <c r="BZ61" s="49">
        <f t="shared" si="47"/>
        <v>47.125</v>
      </c>
      <c r="CA61" s="50"/>
      <c r="CB61" s="51">
        <f t="shared" si="48"/>
        <v>37347</v>
      </c>
      <c r="CC61" s="50">
        <f t="shared" si="49"/>
        <v>20</v>
      </c>
      <c r="CD61" s="52">
        <f t="shared" si="58"/>
        <v>720</v>
      </c>
      <c r="CE61" s="50">
        <f t="shared" si="59"/>
        <v>240</v>
      </c>
      <c r="CF61" s="50">
        <f t="shared" si="60"/>
        <v>64</v>
      </c>
      <c r="CG61" s="50">
        <f t="shared" si="50"/>
        <v>0.98705414338594299</v>
      </c>
      <c r="CH61" s="53">
        <f t="shared" si="61"/>
        <v>-6080</v>
      </c>
      <c r="CI61" s="53">
        <f t="shared" si="62"/>
        <v>0</v>
      </c>
      <c r="CJ61" s="53">
        <f t="shared" si="63"/>
        <v>0</v>
      </c>
      <c r="CK61" s="53">
        <f t="shared" si="64"/>
        <v>0</v>
      </c>
      <c r="CL61" s="25">
        <f t="shared" si="51"/>
        <v>14400</v>
      </c>
      <c r="CN61" s="29">
        <f>([4]EnergyCurve!$L39*CE61+[4]EnergyCurve!$AD39*CF61)/(CE61+CF61)</f>
        <v>27.059554760410755</v>
      </c>
      <c r="DI61" s="25">
        <f t="shared" si="22"/>
        <v>5</v>
      </c>
      <c r="DJ61" s="54">
        <f>[4]EnergyCurve!$D83</f>
        <v>38687</v>
      </c>
      <c r="DK61" s="30">
        <f t="shared" si="37"/>
        <v>26</v>
      </c>
      <c r="DL61" s="30">
        <f t="shared" si="38"/>
        <v>21</v>
      </c>
      <c r="DM61" s="233">
        <v>38353</v>
      </c>
      <c r="DN61" s="154">
        <v>21</v>
      </c>
      <c r="DO61" s="155">
        <v>4</v>
      </c>
      <c r="DP61" s="155">
        <v>5</v>
      </c>
      <c r="DQ61" s="155">
        <v>1</v>
      </c>
      <c r="DR61" s="154">
        <v>31</v>
      </c>
      <c r="DS61" s="55"/>
      <c r="DT61" s="55"/>
      <c r="DU61" s="233">
        <v>38353</v>
      </c>
      <c r="DV61" s="154">
        <v>21</v>
      </c>
      <c r="DW61" s="155">
        <v>4</v>
      </c>
      <c r="DX61" s="155">
        <v>5</v>
      </c>
      <c r="DY61" s="155">
        <v>1</v>
      </c>
      <c r="DZ61" s="154">
        <v>31</v>
      </c>
      <c r="EA61" s="55"/>
      <c r="EB61" s="55"/>
      <c r="EQ61" s="54"/>
      <c r="ER61" s="190"/>
      <c r="ES61" s="167"/>
      <c r="ET61" s="167"/>
    </row>
    <row r="62" spans="1:153" ht="18.75" thickBot="1" x14ac:dyDescent="0.3">
      <c r="A62" s="98">
        <f t="shared" si="52"/>
        <v>37377</v>
      </c>
      <c r="B62" s="99">
        <f>[4]EnergyCurve!$P40+[4]EnergyCurve!$R40+B18</f>
        <v>141325.78564453125</v>
      </c>
      <c r="C62" s="90">
        <f t="shared" si="39"/>
        <v>192.83546638424258</v>
      </c>
      <c r="D62" s="89">
        <f t="shared" si="40"/>
        <v>-20</v>
      </c>
      <c r="E62" s="90">
        <f t="shared" si="53"/>
        <v>126668.13077486878</v>
      </c>
      <c r="F62" s="117">
        <f t="shared" si="54"/>
        <v>172.83546638424258</v>
      </c>
      <c r="G62" s="91">
        <f>([4]EnergyCurve!$J40*CE62+[4]EnergyCurve!$AB40*CF62+G18*CD18)/CD62</f>
        <v>45.437606175740562</v>
      </c>
      <c r="H62" s="91">
        <f t="shared" si="55"/>
        <v>-0.92367628380097955</v>
      </c>
      <c r="I62" s="121">
        <f>([4]EnergyCurve!$L40*CE62+[4]EnergyCurve!$AD40*CF62+I18*CD18)/CD62</f>
        <v>44.513929891939583</v>
      </c>
      <c r="J62" s="99">
        <f>[4]EnergyCurve!$T40</f>
        <v>-104197.93114637448</v>
      </c>
      <c r="K62" s="92">
        <f t="shared" si="56"/>
        <v>124871.75277358049</v>
      </c>
      <c r="L62" s="92">
        <f t="shared" si="41"/>
        <v>20673.821627206009</v>
      </c>
      <c r="M62" s="69"/>
      <c r="N62" s="78">
        <f t="shared" si="42"/>
        <v>37377</v>
      </c>
      <c r="O62" s="114">
        <v>28.5</v>
      </c>
      <c r="P62" s="114">
        <v>28.5</v>
      </c>
      <c r="Q62" s="105">
        <f t="shared" si="65"/>
        <v>-16.937606175740562</v>
      </c>
      <c r="R62" s="372"/>
      <c r="S62" s="217">
        <f t="shared" si="43"/>
        <v>44.513929891939583</v>
      </c>
      <c r="T62" s="46">
        <f t="shared" si="66"/>
        <v>2003</v>
      </c>
      <c r="U62" s="45">
        <f t="shared" si="67"/>
        <v>3</v>
      </c>
      <c r="V62" s="126" t="str">
        <f t="shared" si="44"/>
        <v>Q3 2003</v>
      </c>
      <c r="W62" s="84">
        <f t="array" ref="W62">SUM(IF((INT((MONTH($A$56:$A$91)-1)/3)=U62-1)*(YEAR($A$56:$A$91)=T62),$I$56:$I$91*$DK$12:$DK$47))/SUM(IF((INT((MONTH($A$56:$A$91)-1)/3)=U62-1)*(YEAR($A$56:$A$91)=T62),$DK$12:$DK$47))</f>
        <v>41.081512182802655</v>
      </c>
      <c r="X62" s="124">
        <f t="array" ref="X62">AVERAGE(IF((INT((MONTH($A$56:$A$91)-1)/3)=U62-1)*(YEAR($A$56:$A$91)=T62),$I$56:$I$91))</f>
        <v>41.0838353187983</v>
      </c>
      <c r="Y62" s="134">
        <f t="shared" si="57"/>
        <v>-20.9906879914396</v>
      </c>
      <c r="Z62" s="134">
        <f t="shared" si="68"/>
        <v>-16.523274108107628</v>
      </c>
      <c r="AA62" s="134">
        <f t="shared" si="69"/>
        <v>-9.7567084110476685</v>
      </c>
      <c r="AB62" s="134">
        <f t="shared" si="70"/>
        <v>-18.510911837652955</v>
      </c>
      <c r="AC62" s="134">
        <f t="shared" si="71"/>
        <v>-9.6422427072478811</v>
      </c>
      <c r="AD62" s="134">
        <f>W62-$W$17</f>
        <v>-6.1002259173470819</v>
      </c>
      <c r="AE62" s="130">
        <v>0</v>
      </c>
      <c r="AF62" s="131"/>
      <c r="AG62" s="131"/>
      <c r="AH62" s="131"/>
      <c r="AI62" s="131"/>
      <c r="AJ62" s="47">
        <f t="shared" si="45"/>
        <v>37377</v>
      </c>
      <c r="AK62" s="1">
        <v>-5</v>
      </c>
      <c r="AL62" s="2">
        <v>47.5</v>
      </c>
      <c r="AM62" s="1">
        <v>-15</v>
      </c>
      <c r="AN62" s="2">
        <v>47</v>
      </c>
      <c r="AO62" s="1"/>
      <c r="AP62" s="2"/>
      <c r="AQ62" s="1"/>
      <c r="AR62" s="2"/>
      <c r="AS62" s="1"/>
      <c r="AT62" s="2"/>
      <c r="AU62" s="1"/>
      <c r="AV62" s="2"/>
      <c r="AW62" s="1"/>
      <c r="AX62" s="2"/>
      <c r="AY62" s="1"/>
      <c r="AZ62" s="2"/>
      <c r="BA62" s="1"/>
      <c r="BB62" s="2"/>
      <c r="BC62" s="1"/>
      <c r="BD62" s="2"/>
      <c r="BE62" s="1"/>
      <c r="BF62" s="2"/>
      <c r="BG62" s="1"/>
      <c r="BH62" s="2"/>
      <c r="BI62" s="1"/>
      <c r="BJ62" s="2"/>
      <c r="BK62" s="1"/>
      <c r="BL62" s="2"/>
      <c r="BM62" s="1"/>
      <c r="BN62" s="2"/>
      <c r="BO62" s="1"/>
      <c r="BP62" s="2"/>
      <c r="BQ62" s="1"/>
      <c r="BR62" s="2"/>
      <c r="BS62" s="1"/>
      <c r="BT62" s="2"/>
      <c r="BU62" s="1"/>
      <c r="BV62" s="2"/>
      <c r="BW62" s="1"/>
      <c r="BX62" s="2"/>
      <c r="BY62" s="48">
        <f t="shared" si="46"/>
        <v>-20</v>
      </c>
      <c r="BZ62" s="49">
        <f t="shared" si="47"/>
        <v>47.125</v>
      </c>
      <c r="CA62" s="50"/>
      <c r="CB62" s="51">
        <f t="shared" si="48"/>
        <v>37377</v>
      </c>
      <c r="CC62" s="50">
        <f t="shared" si="49"/>
        <v>20</v>
      </c>
      <c r="CD62" s="52">
        <f t="shared" si="58"/>
        <v>744</v>
      </c>
      <c r="CE62" s="50">
        <f t="shared" si="59"/>
        <v>248</v>
      </c>
      <c r="CF62" s="50">
        <f t="shared" si="60"/>
        <v>80</v>
      </c>
      <c r="CG62" s="50">
        <f t="shared" si="50"/>
        <v>0.98505745091817609</v>
      </c>
      <c r="CH62" s="53">
        <f t="shared" si="61"/>
        <v>-6560</v>
      </c>
      <c r="CI62" s="53">
        <f t="shared" si="62"/>
        <v>0</v>
      </c>
      <c r="CJ62" s="53">
        <f t="shared" si="63"/>
        <v>0</v>
      </c>
      <c r="CK62" s="53">
        <f t="shared" si="64"/>
        <v>0</v>
      </c>
      <c r="CL62" s="25">
        <f t="shared" si="51"/>
        <v>14880</v>
      </c>
      <c r="CN62" s="29">
        <f>([4]EnergyCurve!$L40*CE62+[4]EnergyCurve!$AD40*CF62)/(CE62+CF62)</f>
        <v>27.800920831864747</v>
      </c>
      <c r="DI62" s="25">
        <f t="shared" si="22"/>
        <v>4</v>
      </c>
      <c r="DJ62" s="54">
        <f>[4]EnergyCurve!$D84</f>
        <v>38718</v>
      </c>
      <c r="DK62" s="30">
        <f t="shared" si="37"/>
        <v>25</v>
      </c>
      <c r="DL62" s="30">
        <f t="shared" si="38"/>
        <v>21</v>
      </c>
      <c r="DM62" s="233">
        <v>38384</v>
      </c>
      <c r="DN62" s="154">
        <v>19</v>
      </c>
      <c r="DO62" s="155">
        <v>4</v>
      </c>
      <c r="DP62" s="155">
        <v>4</v>
      </c>
      <c r="DQ62" s="155">
        <v>1</v>
      </c>
      <c r="DR62" s="154">
        <v>28</v>
      </c>
      <c r="DS62" s="55"/>
      <c r="DT62" s="55"/>
      <c r="DU62" s="233">
        <v>38384</v>
      </c>
      <c r="DV62" s="154">
        <v>20</v>
      </c>
      <c r="DW62" s="155">
        <v>4</v>
      </c>
      <c r="DX62" s="155">
        <v>4</v>
      </c>
      <c r="DY62" s="155">
        <v>0</v>
      </c>
      <c r="DZ62" s="154">
        <v>28</v>
      </c>
      <c r="EA62" s="55"/>
      <c r="EB62" s="55"/>
      <c r="EQ62" s="54"/>
      <c r="ER62" s="190"/>
      <c r="ES62" s="167"/>
      <c r="ET62" s="167"/>
    </row>
    <row r="63" spans="1:153" ht="18.75" thickBot="1" x14ac:dyDescent="0.3">
      <c r="A63" s="100">
        <f t="shared" si="52"/>
        <v>37408</v>
      </c>
      <c r="B63" s="101">
        <f>[4]EnergyCurve!$P41+[4]EnergyCurve!$R41+B19</f>
        <v>137322.71875</v>
      </c>
      <c r="C63" s="86">
        <f t="shared" si="39"/>
        <v>193.99375755131817</v>
      </c>
      <c r="D63" s="86">
        <f t="shared" si="40"/>
        <v>-20</v>
      </c>
      <c r="E63" s="85">
        <f t="shared" si="53"/>
        <v>123165.28188364379</v>
      </c>
      <c r="F63" s="118">
        <f t="shared" si="54"/>
        <v>173.99375755131817</v>
      </c>
      <c r="G63" s="87">
        <f>([4]EnergyCurve!$J41*CE63+[4]EnergyCurve!$AB41*CF63+G19*CD19)/CD63</f>
        <v>45.858581331041123</v>
      </c>
      <c r="H63" s="87">
        <f t="shared" si="55"/>
        <v>-0.99682545199303974</v>
      </c>
      <c r="I63" s="82">
        <f>([4]EnergyCurve!$L41*CE63+[4]EnergyCurve!$AD41*CF63+I19*CD19)/CD63</f>
        <v>44.861755879048083</v>
      </c>
      <c r="J63" s="85">
        <f>[4]EnergyCurve!$T41</f>
        <v>-109757.35459614027</v>
      </c>
      <c r="K63" s="88">
        <f t="shared" si="56"/>
        <v>118431.79669091792</v>
      </c>
      <c r="L63" s="88">
        <f t="shared" si="41"/>
        <v>8674.4420947776525</v>
      </c>
      <c r="M63" s="218"/>
      <c r="N63" s="78">
        <f t="shared" si="42"/>
        <v>37408</v>
      </c>
      <c r="O63" s="114">
        <v>26</v>
      </c>
      <c r="P63" s="114">
        <v>26</v>
      </c>
      <c r="Q63" s="105">
        <f t="shared" si="65"/>
        <v>-19.858581331041123</v>
      </c>
      <c r="R63" s="372"/>
      <c r="S63" s="217">
        <f t="shared" si="43"/>
        <v>44.861755879048083</v>
      </c>
      <c r="T63" s="46">
        <f t="shared" si="66"/>
        <v>2003</v>
      </c>
      <c r="U63" s="45">
        <f t="shared" si="67"/>
        <v>4</v>
      </c>
      <c r="V63" s="125" t="str">
        <f t="shared" si="44"/>
        <v>Q4 2003</v>
      </c>
      <c r="W63" s="84">
        <f t="array" ref="W63">SUM(IF((INT((MONTH($A$56:$A$91)-1)/3)=U63-1)*(YEAR($A$56:$A$91)=T63),$I$56:$I$91*$DK$12:$DK$47))/SUM(IF((INT((MONTH($A$56:$A$91)-1)/3)=U63-1)*(YEAR($A$56:$A$91)=T63),$DK$12:$DK$47))</f>
        <v>43.890025269879928</v>
      </c>
      <c r="X63" s="124">
        <f t="array" ref="X63">AVERAGE(IF((INT((MONTH($A$56:$A$91)-1)/3)=U63-1)*(YEAR($A$56:$A$91)=T63),$I$56:$I$91))</f>
        <v>43.919533261961739</v>
      </c>
      <c r="Y63" s="132">
        <f t="shared" si="57"/>
        <v>-18.182174904362327</v>
      </c>
      <c r="Z63" s="132">
        <f t="shared" si="68"/>
        <v>-13.714761021030355</v>
      </c>
      <c r="AA63" s="132">
        <f t="shared" si="69"/>
        <v>-6.9481953239703955</v>
      </c>
      <c r="AB63" s="132">
        <f t="shared" si="70"/>
        <v>-15.702398750575682</v>
      </c>
      <c r="AC63" s="132">
        <f t="shared" si="71"/>
        <v>-6.8337296201706081</v>
      </c>
      <c r="AD63" s="132">
        <f>W63-$W$17</f>
        <v>-3.2917128302698089</v>
      </c>
      <c r="AE63" s="132">
        <f>W63-$W$18</f>
        <v>-4.2527443443016111</v>
      </c>
      <c r="AF63" s="133">
        <v>0</v>
      </c>
      <c r="AG63" s="131"/>
      <c r="AH63" s="131"/>
      <c r="AI63" s="131"/>
      <c r="AJ63" s="47">
        <f t="shared" si="45"/>
        <v>37408</v>
      </c>
      <c r="AK63" s="1">
        <v>-5</v>
      </c>
      <c r="AL63" s="2">
        <v>47.5</v>
      </c>
      <c r="AM63" s="1">
        <v>-15</v>
      </c>
      <c r="AN63" s="2">
        <v>47</v>
      </c>
      <c r="AO63" s="1"/>
      <c r="AP63" s="2"/>
      <c r="AQ63" s="1"/>
      <c r="AR63" s="2"/>
      <c r="AS63" s="1"/>
      <c r="AT63" s="2"/>
      <c r="AU63" s="1"/>
      <c r="AV63" s="2"/>
      <c r="AW63" s="1"/>
      <c r="AX63" s="2"/>
      <c r="AY63" s="1"/>
      <c r="AZ63" s="2"/>
      <c r="BA63" s="1"/>
      <c r="BB63" s="2"/>
      <c r="BC63" s="1"/>
      <c r="BD63" s="2"/>
      <c r="BE63" s="1"/>
      <c r="BF63" s="2"/>
      <c r="BG63" s="1"/>
      <c r="BH63" s="2"/>
      <c r="BI63" s="1"/>
      <c r="BJ63" s="2"/>
      <c r="BK63" s="1"/>
      <c r="BL63" s="2"/>
      <c r="BM63" s="1"/>
      <c r="BN63" s="2"/>
      <c r="BO63" s="1"/>
      <c r="BP63" s="2"/>
      <c r="BQ63" s="1"/>
      <c r="BR63" s="2"/>
      <c r="BS63" s="1"/>
      <c r="BT63" s="2"/>
      <c r="BU63" s="1"/>
      <c r="BV63" s="2"/>
      <c r="BW63" s="1"/>
      <c r="BX63" s="2"/>
      <c r="BY63" s="48">
        <f t="shared" si="46"/>
        <v>-20</v>
      </c>
      <c r="BZ63" s="49">
        <f t="shared" si="47"/>
        <v>47.125</v>
      </c>
      <c r="CA63" s="50"/>
      <c r="CB63" s="51">
        <f t="shared" si="48"/>
        <v>37408</v>
      </c>
      <c r="CC63" s="50">
        <f t="shared" si="49"/>
        <v>20</v>
      </c>
      <c r="CD63" s="52">
        <f t="shared" si="58"/>
        <v>720</v>
      </c>
      <c r="CE63" s="50">
        <f t="shared" si="59"/>
        <v>240</v>
      </c>
      <c r="CF63" s="50">
        <f t="shared" si="60"/>
        <v>80</v>
      </c>
      <c r="CG63" s="50">
        <f t="shared" si="50"/>
        <v>0.98315533794140342</v>
      </c>
      <c r="CH63" s="53">
        <f t="shared" si="61"/>
        <v>-6400</v>
      </c>
      <c r="CI63" s="53">
        <f t="shared" si="62"/>
        <v>0</v>
      </c>
      <c r="CJ63" s="53">
        <f t="shared" si="63"/>
        <v>0</v>
      </c>
      <c r="CK63" s="53">
        <f t="shared" si="64"/>
        <v>0</v>
      </c>
      <c r="CL63" s="25">
        <f t="shared" si="51"/>
        <v>14400</v>
      </c>
      <c r="CN63" s="29">
        <f>([4]EnergyCurve!$L41*CE63+[4]EnergyCurve!$AD41*CF63)/(CE63+CF63)</f>
        <v>28.302981221458992</v>
      </c>
      <c r="DI63" s="25">
        <f t="shared" si="22"/>
        <v>4</v>
      </c>
      <c r="DJ63" s="54">
        <f>[4]EnergyCurve!$D85</f>
        <v>38749</v>
      </c>
      <c r="DK63" s="30">
        <f t="shared" si="37"/>
        <v>24</v>
      </c>
      <c r="DL63" s="30">
        <f t="shared" si="38"/>
        <v>20</v>
      </c>
      <c r="DM63" s="233">
        <v>38412</v>
      </c>
      <c r="DN63" s="154">
        <v>22</v>
      </c>
      <c r="DO63" s="155">
        <v>4</v>
      </c>
      <c r="DP63" s="155">
        <v>4</v>
      </c>
      <c r="DQ63" s="155">
        <v>1</v>
      </c>
      <c r="DR63" s="154">
        <v>31</v>
      </c>
      <c r="DS63" s="55"/>
      <c r="DT63" s="55"/>
      <c r="DU63" s="233">
        <v>38412</v>
      </c>
      <c r="DV63" s="154">
        <v>23</v>
      </c>
      <c r="DW63" s="155">
        <v>4</v>
      </c>
      <c r="DX63" s="155">
        <v>4</v>
      </c>
      <c r="DY63" s="155">
        <v>0</v>
      </c>
      <c r="DZ63" s="154">
        <v>31</v>
      </c>
      <c r="EA63" s="55"/>
      <c r="EB63" s="55"/>
      <c r="EQ63" s="54"/>
      <c r="ER63" s="190"/>
      <c r="ES63" s="167"/>
      <c r="ET63" s="167"/>
    </row>
    <row r="64" spans="1:153" ht="18.75" thickBot="1" x14ac:dyDescent="0.3">
      <c r="A64" s="98">
        <f t="shared" si="52"/>
        <v>37438</v>
      </c>
      <c r="B64" s="99">
        <f>[4]EnergyCurve!$P42+[4]EnergyCurve!$R42+B20</f>
        <v>358469.537109375</v>
      </c>
      <c r="C64" s="90">
        <f t="shared" si="39"/>
        <v>491.09147366475537</v>
      </c>
      <c r="D64" s="89">
        <f t="shared" si="40"/>
        <v>-20</v>
      </c>
      <c r="E64" s="90">
        <f t="shared" si="53"/>
        <v>343870.64642066858</v>
      </c>
      <c r="F64" s="117">
        <f t="shared" si="54"/>
        <v>471.09147366475537</v>
      </c>
      <c r="G64" s="91">
        <f>([4]EnergyCurve!$J42*CE64+[4]EnergyCurve!$AB42*CF64+G20*CD20)/CD64</f>
        <v>41.776018060663695</v>
      </c>
      <c r="H64" s="91">
        <f t="shared" si="55"/>
        <v>-0.96855955149336381</v>
      </c>
      <c r="I64" s="121">
        <f>([4]EnergyCurve!$L42*CE64+[4]EnergyCurve!$AD42*CF64+I20*CD20)/CD64</f>
        <v>40.807458509170331</v>
      </c>
      <c r="J64" s="99">
        <f>[4]EnergyCurve!$T42</f>
        <v>-325201.52315333817</v>
      </c>
      <c r="K64" s="92">
        <f t="shared" si="56"/>
        <v>119270.94812349185</v>
      </c>
      <c r="L64" s="92">
        <f t="shared" si="41"/>
        <v>-205930.57502984634</v>
      </c>
      <c r="M64" s="69"/>
      <c r="N64" s="78">
        <f t="shared" si="42"/>
        <v>37438</v>
      </c>
      <c r="O64" s="114">
        <v>26</v>
      </c>
      <c r="P64" s="114">
        <v>26</v>
      </c>
      <c r="Q64" s="105">
        <f t="shared" si="65"/>
        <v>-15.776018060663695</v>
      </c>
      <c r="R64" s="372"/>
      <c r="S64" s="217">
        <f t="shared" si="43"/>
        <v>40.807458509170331</v>
      </c>
      <c r="T64" s="46">
        <f>IF(MONTH(TradeSum!$B$2)&gt;8,YEAR(TradeSum!$B$2)+1,YEAR(TradeSum!$B$2))</f>
        <v>2002</v>
      </c>
      <c r="U64" s="45"/>
      <c r="V64" s="126" t="str">
        <f>"Bal "&amp;T64</f>
        <v>Bal 2002</v>
      </c>
      <c r="W64" s="84">
        <f t="array" ref="W64">SUM(IF((YEAR($A$56:$A$91)=T64),$I$56:$I$91*$DK$12:$DK$47))/SUM(IF((YEAR($A$56:$A$91)=T64),$DK$12:$DK$47))</f>
        <v>45.12030047200583</v>
      </c>
      <c r="X64" s="124">
        <f t="array" ref="X64">AVERAGE(IF((YEAR($A$56:$A$91)=T64),$I$56:$I$91))</f>
        <v>45.15049212402814</v>
      </c>
      <c r="Y64" s="134">
        <f t="shared" si="57"/>
        <v>-16.951899702236425</v>
      </c>
      <c r="Z64" s="134">
        <f t="shared" si="68"/>
        <v>-12.484485818904453</v>
      </c>
      <c r="AA64" s="134">
        <f t="shared" si="69"/>
        <v>-5.7179201218444931</v>
      </c>
      <c r="AB64" s="134">
        <f t="shared" si="70"/>
        <v>-14.47212354844978</v>
      </c>
      <c r="AC64" s="134">
        <f t="shared" si="71"/>
        <v>-5.6034544180447057</v>
      </c>
      <c r="AD64" s="134">
        <f>W64-$W$17</f>
        <v>-2.0614376281439064</v>
      </c>
      <c r="AE64" s="134">
        <f>W64-$W$18</f>
        <v>-3.0224691421757086</v>
      </c>
      <c r="AF64" s="134">
        <f>W64-$W$19</f>
        <v>-6.3114263792732643</v>
      </c>
      <c r="AG64" s="130">
        <v>0</v>
      </c>
      <c r="AH64" s="135"/>
      <c r="AI64" s="131"/>
      <c r="AJ64" s="47">
        <f t="shared" si="45"/>
        <v>37438</v>
      </c>
      <c r="AK64" s="1">
        <v>-5</v>
      </c>
      <c r="AL64" s="2">
        <v>47.5</v>
      </c>
      <c r="AM64" s="1">
        <v>-15</v>
      </c>
      <c r="AN64" s="2">
        <v>47</v>
      </c>
      <c r="AO64" s="1"/>
      <c r="AP64" s="2"/>
      <c r="AQ64" s="1"/>
      <c r="AR64" s="2"/>
      <c r="AS64" s="1"/>
      <c r="AT64" s="2"/>
      <c r="AU64" s="1"/>
      <c r="AV64" s="2"/>
      <c r="AW64" s="1"/>
      <c r="AX64" s="2"/>
      <c r="AY64" s="1"/>
      <c r="AZ64" s="2"/>
      <c r="BA64" s="1"/>
      <c r="BB64" s="2"/>
      <c r="BC64" s="1"/>
      <c r="BD64" s="2"/>
      <c r="BE64" s="1"/>
      <c r="BF64" s="2"/>
      <c r="BG64" s="1"/>
      <c r="BH64" s="2"/>
      <c r="BI64" s="1"/>
      <c r="BJ64" s="2"/>
      <c r="BK64" s="1"/>
      <c r="BL64" s="2"/>
      <c r="BM64" s="1"/>
      <c r="BN64" s="2"/>
      <c r="BO64" s="1"/>
      <c r="BP64" s="2"/>
      <c r="BQ64" s="1"/>
      <c r="BR64" s="2"/>
      <c r="BS64" s="1"/>
      <c r="BT64" s="2"/>
      <c r="BU64" s="1"/>
      <c r="BV64" s="2"/>
      <c r="BW64" s="1"/>
      <c r="BX64" s="2"/>
      <c r="BY64" s="48">
        <f t="shared" si="46"/>
        <v>-20</v>
      </c>
      <c r="BZ64" s="49">
        <f t="shared" si="47"/>
        <v>47.125</v>
      </c>
      <c r="CA64" s="50"/>
      <c r="CB64" s="51">
        <f t="shared" si="48"/>
        <v>37438</v>
      </c>
      <c r="CC64" s="50">
        <f t="shared" si="49"/>
        <v>20</v>
      </c>
      <c r="CD64" s="52">
        <f t="shared" si="58"/>
        <v>744</v>
      </c>
      <c r="CE64" s="50">
        <f t="shared" si="59"/>
        <v>248</v>
      </c>
      <c r="CF64" s="50">
        <f t="shared" si="60"/>
        <v>80</v>
      </c>
      <c r="CG64" s="50">
        <f t="shared" si="50"/>
        <v>0.98110824520876327</v>
      </c>
      <c r="CH64" s="53">
        <f t="shared" si="61"/>
        <v>-6560</v>
      </c>
      <c r="CI64" s="53">
        <f t="shared" si="62"/>
        <v>0</v>
      </c>
      <c r="CJ64" s="53">
        <f t="shared" si="63"/>
        <v>0</v>
      </c>
      <c r="CK64" s="53">
        <f t="shared" si="64"/>
        <v>0</v>
      </c>
      <c r="CL64" s="25">
        <f t="shared" si="51"/>
        <v>14880</v>
      </c>
      <c r="CN64" s="29">
        <f>([4]EnergyCurve!$L42*CE64+[4]EnergyCurve!$AD42*CF64)/(CE64+CF64)</f>
        <v>28.593357789434577</v>
      </c>
      <c r="DI64" s="25">
        <f t="shared" si="22"/>
        <v>4</v>
      </c>
      <c r="DJ64" s="54">
        <f>[4]EnergyCurve!$D86</f>
        <v>38777</v>
      </c>
      <c r="DK64" s="30">
        <f t="shared" si="37"/>
        <v>27</v>
      </c>
      <c r="DL64" s="30">
        <f t="shared" si="38"/>
        <v>23</v>
      </c>
      <c r="DM64" s="233">
        <v>38443</v>
      </c>
      <c r="DN64" s="154">
        <v>21</v>
      </c>
      <c r="DO64" s="155">
        <v>5</v>
      </c>
      <c r="DP64" s="155">
        <v>4</v>
      </c>
      <c r="DQ64" s="155">
        <v>0</v>
      </c>
      <c r="DR64" s="154">
        <v>30</v>
      </c>
      <c r="DS64" s="55"/>
      <c r="DT64" s="55"/>
      <c r="DU64" s="233">
        <v>38443</v>
      </c>
      <c r="DV64" s="154">
        <v>21</v>
      </c>
      <c r="DW64" s="155">
        <v>5</v>
      </c>
      <c r="DX64" s="155">
        <v>4</v>
      </c>
      <c r="DY64" s="155">
        <v>0</v>
      </c>
      <c r="DZ64" s="154">
        <v>30</v>
      </c>
      <c r="EA64" s="55"/>
      <c r="EB64" s="55"/>
      <c r="EQ64" s="54"/>
      <c r="ER64" s="190"/>
      <c r="ES64" s="167"/>
      <c r="ET64" s="167"/>
    </row>
    <row r="65" spans="1:150" ht="18.75" thickBot="1" x14ac:dyDescent="0.3">
      <c r="A65" s="100">
        <f t="shared" si="52"/>
        <v>37469</v>
      </c>
      <c r="B65" s="101">
        <f>[4]EnergyCurve!$P43+[4]EnergyCurve!$R43+B21</f>
        <v>355640.115234375</v>
      </c>
      <c r="C65" s="86">
        <f t="shared" si="39"/>
        <v>488.30100295777913</v>
      </c>
      <c r="D65" s="86">
        <f t="shared" si="40"/>
        <v>-20</v>
      </c>
      <c r="E65" s="85">
        <f t="shared" si="53"/>
        <v>341073.68538556615</v>
      </c>
      <c r="F65" s="118">
        <f t="shared" si="54"/>
        <v>468.30100295777913</v>
      </c>
      <c r="G65" s="87">
        <f>([4]EnergyCurve!$J43*CE65+[4]EnergyCurve!$AB43*CF65+G21*CD21)/CD65</f>
        <v>42.603203332552347</v>
      </c>
      <c r="H65" s="87">
        <f t="shared" si="55"/>
        <v>-1.0481033436229055</v>
      </c>
      <c r="I65" s="82">
        <f>([4]EnergyCurve!$L43*CE65+[4]EnergyCurve!$AD43*CF65+I21*CD21)/CD65</f>
        <v>41.555099988929442</v>
      </c>
      <c r="J65" s="85">
        <f>[4]EnergyCurve!$T43</f>
        <v>-348962.27098009276</v>
      </c>
      <c r="K65" s="88">
        <f t="shared" si="56"/>
        <v>114112.4926001265</v>
      </c>
      <c r="L65" s="88">
        <f t="shared" si="41"/>
        <v>-234849.77837996627</v>
      </c>
      <c r="M65" s="69"/>
      <c r="N65" s="78">
        <f t="shared" si="42"/>
        <v>37469</v>
      </c>
      <c r="O65" s="114">
        <v>29.5</v>
      </c>
      <c r="P65" s="114">
        <v>29.5</v>
      </c>
      <c r="Q65" s="105">
        <f t="shared" si="65"/>
        <v>-13.103203332552347</v>
      </c>
      <c r="R65" s="372"/>
      <c r="S65" s="217">
        <f t="shared" si="43"/>
        <v>41.555099988929442</v>
      </c>
      <c r="T65" s="46">
        <f>T64+1</f>
        <v>2003</v>
      </c>
      <c r="U65" s="45"/>
      <c r="V65" s="127">
        <f>T65</f>
        <v>2003</v>
      </c>
      <c r="W65" s="84">
        <f t="array" ref="W65">SUM(IF((YEAR($A$56:$A$91)=T65),$I$56:$I$91*$DK$12:$DK$47))/SUM(IF((YEAR($A$56:$A$91)=T65),$DK$12:$DK$47))</f>
        <v>42.141559789745962</v>
      </c>
      <c r="X65" s="124">
        <f t="array" ref="X65">AVERAGE(IF((YEAR($A$56:$A$91)=T65),$I$56:$I$91))</f>
        <v>42.154195152751321</v>
      </c>
      <c r="Y65" s="132">
        <f t="shared" si="57"/>
        <v>-19.930640384496293</v>
      </c>
      <c r="Z65" s="132">
        <f t="shared" si="68"/>
        <v>-15.463226501164321</v>
      </c>
      <c r="AA65" s="132">
        <f t="shared" si="69"/>
        <v>-8.6966608041043614</v>
      </c>
      <c r="AB65" s="132">
        <f t="shared" si="70"/>
        <v>-17.450864230709648</v>
      </c>
      <c r="AC65" s="132">
        <f t="shared" si="71"/>
        <v>-8.582195100304574</v>
      </c>
      <c r="AD65" s="132">
        <f>W65-$W$17</f>
        <v>-5.0401783104037747</v>
      </c>
      <c r="AE65" s="132">
        <f>W65-$W$18</f>
        <v>-6.0012098244355769</v>
      </c>
      <c r="AF65" s="132">
        <f>W65-$W$19</f>
        <v>-9.2901670615331327</v>
      </c>
      <c r="AG65" s="132">
        <f>W65-$W$20</f>
        <v>-15.370542467400817</v>
      </c>
      <c r="AH65" s="133">
        <v>0</v>
      </c>
      <c r="AI65" s="135"/>
      <c r="AJ65" s="47">
        <f t="shared" si="45"/>
        <v>37469</v>
      </c>
      <c r="AK65" s="1">
        <v>-5</v>
      </c>
      <c r="AL65" s="2">
        <v>47.5</v>
      </c>
      <c r="AM65" s="1">
        <v>-15</v>
      </c>
      <c r="AN65" s="2">
        <v>47</v>
      </c>
      <c r="AO65" s="1"/>
      <c r="AP65" s="2"/>
      <c r="AQ65" s="1"/>
      <c r="AR65" s="2"/>
      <c r="AS65" s="1"/>
      <c r="AT65" s="2"/>
      <c r="AU65" s="1"/>
      <c r="AV65" s="2"/>
      <c r="AW65" s="1"/>
      <c r="AX65" s="2"/>
      <c r="AY65" s="1"/>
      <c r="AZ65" s="2"/>
      <c r="BA65" s="1"/>
      <c r="BB65" s="2"/>
      <c r="BC65" s="1"/>
      <c r="BD65" s="2"/>
      <c r="BE65" s="1"/>
      <c r="BF65" s="2"/>
      <c r="BG65" s="1"/>
      <c r="BH65" s="2"/>
      <c r="BI65" s="1"/>
      <c r="BJ65" s="2"/>
      <c r="BK65" s="1"/>
      <c r="BL65" s="2"/>
      <c r="BM65" s="1"/>
      <c r="BN65" s="2"/>
      <c r="BO65" s="1"/>
      <c r="BP65" s="2"/>
      <c r="BQ65" s="1"/>
      <c r="BR65" s="2"/>
      <c r="BS65" s="1"/>
      <c r="BT65" s="2"/>
      <c r="BU65" s="1"/>
      <c r="BV65" s="2"/>
      <c r="BW65" s="1"/>
      <c r="BX65" s="2"/>
      <c r="BY65" s="48">
        <f t="shared" si="46"/>
        <v>-20</v>
      </c>
      <c r="BZ65" s="49">
        <f t="shared" si="47"/>
        <v>47.125</v>
      </c>
      <c r="CA65" s="50"/>
      <c r="CB65" s="51">
        <f t="shared" si="48"/>
        <v>37469</v>
      </c>
      <c r="CC65" s="50">
        <f t="shared" si="49"/>
        <v>20</v>
      </c>
      <c r="CD65" s="52">
        <f t="shared" si="58"/>
        <v>744</v>
      </c>
      <c r="CE65" s="50">
        <f t="shared" si="59"/>
        <v>248</v>
      </c>
      <c r="CF65" s="50">
        <f t="shared" si="60"/>
        <v>64</v>
      </c>
      <c r="CG65" s="50">
        <f t="shared" si="50"/>
        <v>0.97892673715113343</v>
      </c>
      <c r="CH65" s="53">
        <f t="shared" si="61"/>
        <v>-6240</v>
      </c>
      <c r="CI65" s="53">
        <f t="shared" si="62"/>
        <v>0</v>
      </c>
      <c r="CJ65" s="53">
        <f t="shared" si="63"/>
        <v>0</v>
      </c>
      <c r="CK65" s="53">
        <f t="shared" si="64"/>
        <v>0</v>
      </c>
      <c r="CL65" s="25">
        <f t="shared" si="51"/>
        <v>14880</v>
      </c>
      <c r="CN65" s="29">
        <f>([4]EnergyCurve!$L43*CE65+[4]EnergyCurve!$AD43*CF65)/(CE65+CF65)</f>
        <v>28.444073496013687</v>
      </c>
      <c r="DI65" s="25">
        <f t="shared" si="22"/>
        <v>5</v>
      </c>
      <c r="DJ65" s="54">
        <f>[4]EnergyCurve!$D87</f>
        <v>38808</v>
      </c>
      <c r="DK65" s="30">
        <f t="shared" si="37"/>
        <v>25</v>
      </c>
      <c r="DL65" s="30">
        <f t="shared" si="38"/>
        <v>20</v>
      </c>
      <c r="DM65" s="233">
        <v>38473</v>
      </c>
      <c r="DN65" s="154">
        <v>21</v>
      </c>
      <c r="DO65" s="155">
        <v>4</v>
      </c>
      <c r="DP65" s="155">
        <v>5</v>
      </c>
      <c r="DQ65" s="155">
        <v>1</v>
      </c>
      <c r="DR65" s="154">
        <v>31</v>
      </c>
      <c r="DS65" s="55"/>
      <c r="DT65" s="55"/>
      <c r="DU65" s="233">
        <v>38473</v>
      </c>
      <c r="DV65" s="154">
        <v>21</v>
      </c>
      <c r="DW65" s="155">
        <v>4</v>
      </c>
      <c r="DX65" s="155">
        <v>5</v>
      </c>
      <c r="DY65" s="155">
        <v>1</v>
      </c>
      <c r="DZ65" s="154">
        <v>31</v>
      </c>
      <c r="EA65" s="55"/>
      <c r="EB65" s="55"/>
      <c r="EQ65" s="54"/>
      <c r="ER65" s="190"/>
      <c r="ES65" s="167"/>
      <c r="ET65" s="167"/>
    </row>
    <row r="66" spans="1:150" ht="18.75" thickBot="1" x14ac:dyDescent="0.3">
      <c r="A66" s="98">
        <f t="shared" si="52"/>
        <v>37500</v>
      </c>
      <c r="B66" s="99">
        <f>[4]EnergyCurve!$P44+[4]EnergyCurve!$R44+B22</f>
        <v>350811.7734375</v>
      </c>
      <c r="C66" s="90">
        <f t="shared" si="39"/>
        <v>498.81667144215021</v>
      </c>
      <c r="D66" s="89">
        <f t="shared" si="40"/>
        <v>-20</v>
      </c>
      <c r="E66" s="90">
        <f t="shared" si="53"/>
        <v>336746.01366955746</v>
      </c>
      <c r="F66" s="117">
        <f t="shared" si="54"/>
        <v>478.81667144215021</v>
      </c>
      <c r="G66" s="91">
        <f>([4]EnergyCurve!$J44*CE66+[4]EnergyCurve!$AB44*CF66+G22*CD22)/CD66</f>
        <v>42.043835957845054</v>
      </c>
      <c r="H66" s="91">
        <f t="shared" si="55"/>
        <v>-1.0336649336127977</v>
      </c>
      <c r="I66" s="121">
        <f>([4]EnergyCurve!$L44*CE66+[4]EnergyCurve!$AD44*CF66+I22*CD22)/CD66</f>
        <v>41.010171024232257</v>
      </c>
      <c r="J66" s="99">
        <f>[4]EnergyCurve!$T44</f>
        <v>-340299.6014644368</v>
      </c>
      <c r="K66" s="92">
        <f t="shared" si="56"/>
        <v>115550.08750439805</v>
      </c>
      <c r="L66" s="92">
        <f t="shared" si="41"/>
        <v>-224749.51396003875</v>
      </c>
      <c r="M66" s="69"/>
      <c r="N66" s="78">
        <f t="shared" si="42"/>
        <v>37500</v>
      </c>
      <c r="O66" s="114">
        <v>58</v>
      </c>
      <c r="P66" s="114">
        <v>58</v>
      </c>
      <c r="Q66" s="105">
        <f t="shared" si="65"/>
        <v>15.956164042154946</v>
      </c>
      <c r="R66" s="372"/>
      <c r="S66" s="217">
        <f t="shared" si="43"/>
        <v>41.010171024232257</v>
      </c>
      <c r="T66" s="46">
        <f>T65+1</f>
        <v>2004</v>
      </c>
      <c r="U66" s="45"/>
      <c r="V66" s="128">
        <f>T66</f>
        <v>2004</v>
      </c>
      <c r="W66" s="113">
        <f t="array" ref="W66">SUM(IF((YEAR($A$56:$A$94)=T66),$I$56:$I$94*$DK$12:$DK$50))/SUM(IF((YEAR($A$56:$A$94)=T66),$DK$12:$DK$50))</f>
        <v>41.255702912983054</v>
      </c>
      <c r="X66" s="129">
        <f t="array" ref="X66">AVERAGE(IF((YEAR($A$56:$A$94)=T66),$I$56:$I$94))</f>
        <v>41.261293452185704</v>
      </c>
      <c r="Y66" s="136">
        <f t="shared" si="57"/>
        <v>-20.816497261259201</v>
      </c>
      <c r="Z66" s="136">
        <f t="shared" si="68"/>
        <v>-16.349083377927229</v>
      </c>
      <c r="AA66" s="136">
        <f t="shared" si="69"/>
        <v>-9.5825176808672694</v>
      </c>
      <c r="AB66" s="136">
        <f t="shared" si="70"/>
        <v>-18.336721107472556</v>
      </c>
      <c r="AC66" s="136">
        <f t="shared" si="71"/>
        <v>-9.468051977067482</v>
      </c>
      <c r="AD66" s="136">
        <f>W66-$W$17</f>
        <v>-5.9260351871666828</v>
      </c>
      <c r="AE66" s="136">
        <f>W66-$W$18</f>
        <v>-6.887066701198485</v>
      </c>
      <c r="AF66" s="136">
        <f>W66-$W$19</f>
        <v>-10.176023938296041</v>
      </c>
      <c r="AG66" s="136">
        <f>W66-$W$20</f>
        <v>-16.256399344163725</v>
      </c>
      <c r="AH66" s="136">
        <f>W66-$W$21</f>
        <v>-8.1098848172965532</v>
      </c>
      <c r="AI66" s="137">
        <v>0</v>
      </c>
      <c r="AJ66" s="47">
        <f t="shared" si="45"/>
        <v>37500</v>
      </c>
      <c r="AK66" s="1">
        <v>-5</v>
      </c>
      <c r="AL66" s="2">
        <v>47.5</v>
      </c>
      <c r="AM66" s="1">
        <v>-15</v>
      </c>
      <c r="AN66" s="2">
        <v>47</v>
      </c>
      <c r="AO66" s="1"/>
      <c r="AP66" s="2"/>
      <c r="AQ66" s="1"/>
      <c r="AR66" s="2"/>
      <c r="AS66" s="1"/>
      <c r="AT66" s="2"/>
      <c r="AU66" s="1"/>
      <c r="AV66" s="2"/>
      <c r="AW66" s="1"/>
      <c r="AX66" s="2"/>
      <c r="AY66" s="1"/>
      <c r="AZ66" s="2"/>
      <c r="BA66" s="1"/>
      <c r="BB66" s="2"/>
      <c r="BC66" s="1"/>
      <c r="BD66" s="2"/>
      <c r="BE66" s="1"/>
      <c r="BF66" s="2"/>
      <c r="BG66" s="1"/>
      <c r="BH66" s="2"/>
      <c r="BI66" s="1"/>
      <c r="BJ66" s="2"/>
      <c r="BK66" s="1"/>
      <c r="BL66" s="2"/>
      <c r="BM66" s="1"/>
      <c r="BN66" s="2"/>
      <c r="BO66" s="1"/>
      <c r="BP66" s="2"/>
      <c r="BQ66" s="1"/>
      <c r="BR66" s="2"/>
      <c r="BS66" s="1"/>
      <c r="BT66" s="2"/>
      <c r="BU66" s="1"/>
      <c r="BV66" s="2"/>
      <c r="BW66" s="1"/>
      <c r="BX66" s="2"/>
      <c r="BY66" s="48">
        <f t="shared" si="46"/>
        <v>-20</v>
      </c>
      <c r="BZ66" s="49">
        <f t="shared" si="47"/>
        <v>47.125</v>
      </c>
      <c r="CA66" s="50"/>
      <c r="CB66" s="51">
        <f t="shared" si="48"/>
        <v>37500</v>
      </c>
      <c r="CC66" s="50">
        <f t="shared" si="49"/>
        <v>20</v>
      </c>
      <c r="CD66" s="52">
        <f t="shared" si="58"/>
        <v>720</v>
      </c>
      <c r="CE66" s="50">
        <f t="shared" si="59"/>
        <v>240</v>
      </c>
      <c r="CF66" s="50">
        <f t="shared" si="60"/>
        <v>96</v>
      </c>
      <c r="CG66" s="50">
        <f t="shared" si="50"/>
        <v>0.97678887277378623</v>
      </c>
      <c r="CH66" s="53">
        <f t="shared" si="61"/>
        <v>-6720</v>
      </c>
      <c r="CI66" s="53">
        <f t="shared" si="62"/>
        <v>0</v>
      </c>
      <c r="CJ66" s="53">
        <f t="shared" si="63"/>
        <v>0</v>
      </c>
      <c r="CK66" s="53">
        <f t="shared" si="64"/>
        <v>0</v>
      </c>
      <c r="CL66" s="25">
        <f t="shared" si="51"/>
        <v>14400</v>
      </c>
      <c r="CN66" s="29">
        <f>([4]EnergyCurve!$L44*CE66+[4]EnergyCurve!$AD44*CF66)/(CE66+CF66)</f>
        <v>29.521448222378094</v>
      </c>
      <c r="DI66" s="25">
        <f t="shared" si="22"/>
        <v>4</v>
      </c>
      <c r="DJ66" s="54">
        <f>[4]EnergyCurve!$D88</f>
        <v>38838</v>
      </c>
      <c r="DK66" s="30">
        <f t="shared" si="37"/>
        <v>26</v>
      </c>
      <c r="DL66" s="30">
        <f t="shared" si="38"/>
        <v>22</v>
      </c>
      <c r="DM66" s="233">
        <v>38504</v>
      </c>
      <c r="DN66" s="154">
        <v>22</v>
      </c>
      <c r="DO66" s="155">
        <v>4</v>
      </c>
      <c r="DP66" s="155">
        <v>4</v>
      </c>
      <c r="DQ66" s="155">
        <v>0</v>
      </c>
      <c r="DR66" s="154">
        <v>30</v>
      </c>
      <c r="DS66" s="55"/>
      <c r="DT66" s="55"/>
      <c r="DU66" s="233">
        <v>38504</v>
      </c>
      <c r="DV66" s="154">
        <v>22</v>
      </c>
      <c r="DW66" s="155">
        <v>4</v>
      </c>
      <c r="DX66" s="155">
        <v>4</v>
      </c>
      <c r="DY66" s="155">
        <v>0</v>
      </c>
      <c r="DZ66" s="154">
        <v>30</v>
      </c>
      <c r="EA66" s="55"/>
      <c r="EB66" s="55"/>
      <c r="EQ66" s="54"/>
      <c r="ER66" s="190"/>
      <c r="ES66" s="167"/>
      <c r="ET66" s="167"/>
    </row>
    <row r="67" spans="1:150" ht="18" x14ac:dyDescent="0.25">
      <c r="A67" s="100">
        <f t="shared" si="52"/>
        <v>37530</v>
      </c>
      <c r="B67" s="101">
        <f>[4]EnergyCurve!$P45+[4]EnergyCurve!$R45+B23</f>
        <v>155626.30419921875</v>
      </c>
      <c r="C67" s="86">
        <f t="shared" si="39"/>
        <v>214.65796552496022</v>
      </c>
      <c r="D67" s="86">
        <f t="shared" si="40"/>
        <v>-20</v>
      </c>
      <c r="E67" s="85">
        <f t="shared" si="53"/>
        <v>141126.37135781458</v>
      </c>
      <c r="F67" s="118">
        <f t="shared" si="54"/>
        <v>194.65796552496022</v>
      </c>
      <c r="G67" s="87">
        <f>([4]EnergyCurve!$J45*CE67+[4]EnergyCurve!$AB45*CF67+G23*CD23)/CD67</f>
        <v>45.300302013274163</v>
      </c>
      <c r="H67" s="87">
        <f t="shared" si="55"/>
        <v>-1.100934385508566</v>
      </c>
      <c r="I67" s="82">
        <f>([4]EnergyCurve!$L45*CE67+[4]EnergyCurve!$AD45*CF67+I23*CD23)/CD67</f>
        <v>44.199367627765596</v>
      </c>
      <c r="J67" s="85">
        <f>[4]EnergyCurve!$T45</f>
        <v>-143676.76707796651</v>
      </c>
      <c r="K67" s="88">
        <f t="shared" si="56"/>
        <v>111702.55179555861</v>
      </c>
      <c r="L67" s="88">
        <f t="shared" si="41"/>
        <v>-31974.215282407895</v>
      </c>
      <c r="M67" s="69"/>
      <c r="N67" s="78">
        <f t="shared" si="42"/>
        <v>37530</v>
      </c>
      <c r="O67" s="114">
        <v>85</v>
      </c>
      <c r="P67" s="114">
        <v>85</v>
      </c>
      <c r="Q67" s="105">
        <f t="shared" si="65"/>
        <v>39.699697986725837</v>
      </c>
      <c r="R67" s="372"/>
      <c r="S67" s="217">
        <f t="shared" si="43"/>
        <v>44.199367627765596</v>
      </c>
      <c r="T67" s="46"/>
      <c r="U67" s="45"/>
      <c r="V67" s="244"/>
      <c r="W67" s="245"/>
      <c r="X67" s="69"/>
      <c r="Y67" s="69"/>
      <c r="Z67" s="69"/>
      <c r="AA67" s="69"/>
      <c r="AB67" s="69"/>
      <c r="AC67" s="69"/>
      <c r="AD67" s="69"/>
      <c r="AE67" s="69"/>
      <c r="AF67" s="69"/>
      <c r="AG67" s="69"/>
      <c r="AH67" s="69"/>
      <c r="AI67" s="69"/>
      <c r="AJ67" s="47">
        <f t="shared" si="45"/>
        <v>37530</v>
      </c>
      <c r="AK67" s="1">
        <v>-5</v>
      </c>
      <c r="AL67" s="2">
        <v>47.5</v>
      </c>
      <c r="AM67" s="1">
        <v>-15</v>
      </c>
      <c r="AN67" s="2">
        <v>47</v>
      </c>
      <c r="AO67" s="1"/>
      <c r="AP67" s="2"/>
      <c r="AQ67" s="1"/>
      <c r="AR67" s="2"/>
      <c r="AS67" s="1"/>
      <c r="AT67" s="2"/>
      <c r="AU67" s="1"/>
      <c r="AV67" s="2"/>
      <c r="AW67" s="1"/>
      <c r="AX67" s="2"/>
      <c r="AY67" s="1"/>
      <c r="AZ67" s="2"/>
      <c r="BA67" s="1"/>
      <c r="BB67" s="2"/>
      <c r="BC67" s="1"/>
      <c r="BD67" s="2"/>
      <c r="BE67" s="1"/>
      <c r="BF67" s="2"/>
      <c r="BG67" s="1"/>
      <c r="BH67" s="2"/>
      <c r="BI67" s="1"/>
      <c r="BJ67" s="2"/>
      <c r="BK67" s="1"/>
      <c r="BL67" s="2"/>
      <c r="BM67" s="1"/>
      <c r="BN67" s="2"/>
      <c r="BO67" s="1"/>
      <c r="BP67" s="2"/>
      <c r="BQ67" s="1"/>
      <c r="BR67" s="2"/>
      <c r="BS67" s="1"/>
      <c r="BT67" s="2"/>
      <c r="BU67" s="1"/>
      <c r="BV67" s="2"/>
      <c r="BW67" s="1"/>
      <c r="BX67" s="2"/>
      <c r="BY67" s="48">
        <f t="shared" si="46"/>
        <v>-20</v>
      </c>
      <c r="BZ67" s="49">
        <f t="shared" si="47"/>
        <v>47.125</v>
      </c>
      <c r="CA67" s="50"/>
      <c r="CB67" s="51">
        <f t="shared" si="48"/>
        <v>37530</v>
      </c>
      <c r="CC67" s="50">
        <f t="shared" si="49"/>
        <v>20</v>
      </c>
      <c r="CD67" s="52">
        <f t="shared" si="58"/>
        <v>744</v>
      </c>
      <c r="CE67" s="50">
        <f t="shared" si="59"/>
        <v>248</v>
      </c>
      <c r="CF67" s="50">
        <f t="shared" si="60"/>
        <v>64</v>
      </c>
      <c r="CG67" s="50">
        <f t="shared" si="50"/>
        <v>0.97445785224490389</v>
      </c>
      <c r="CH67" s="53">
        <f t="shared" si="61"/>
        <v>-6240</v>
      </c>
      <c r="CI67" s="53">
        <f t="shared" si="62"/>
        <v>0</v>
      </c>
      <c r="CJ67" s="53">
        <f t="shared" si="63"/>
        <v>0</v>
      </c>
      <c r="CK67" s="53">
        <f t="shared" si="64"/>
        <v>0</v>
      </c>
      <c r="CL67" s="25">
        <f t="shared" si="51"/>
        <v>14880</v>
      </c>
      <c r="CN67" s="29">
        <f>([4]EnergyCurve!$L45*CE67+[4]EnergyCurve!$AD45*CF67)/(CE67+CF67)</f>
        <v>28.754733983878857</v>
      </c>
      <c r="DI67" s="25">
        <f t="shared" si="22"/>
        <v>4</v>
      </c>
      <c r="DJ67" s="54">
        <f>[4]EnergyCurve!$D89</f>
        <v>38869</v>
      </c>
      <c r="DK67" s="30">
        <f t="shared" si="37"/>
        <v>26</v>
      </c>
      <c r="DL67" s="30">
        <f t="shared" si="38"/>
        <v>22</v>
      </c>
      <c r="DM67" s="233">
        <v>38534</v>
      </c>
      <c r="DN67" s="154">
        <v>20</v>
      </c>
      <c r="DO67" s="155">
        <v>5</v>
      </c>
      <c r="DP67" s="155">
        <v>5</v>
      </c>
      <c r="DQ67" s="155">
        <v>1</v>
      </c>
      <c r="DR67" s="154">
        <v>31</v>
      </c>
      <c r="DS67" s="55"/>
      <c r="DT67" s="55"/>
      <c r="DU67" s="233">
        <v>38534</v>
      </c>
      <c r="DV67" s="154">
        <v>20</v>
      </c>
      <c r="DW67" s="155">
        <v>5</v>
      </c>
      <c r="DX67" s="155">
        <v>5</v>
      </c>
      <c r="DY67" s="155">
        <v>1</v>
      </c>
      <c r="DZ67" s="154">
        <v>31</v>
      </c>
      <c r="EA67" s="55"/>
      <c r="EB67" s="55"/>
      <c r="EQ67" s="54"/>
      <c r="ER67" s="190"/>
      <c r="ES67" s="167"/>
      <c r="ET67" s="167"/>
    </row>
    <row r="68" spans="1:150" ht="18" x14ac:dyDescent="0.25">
      <c r="A68" s="98">
        <f t="shared" si="52"/>
        <v>37561</v>
      </c>
      <c r="B68" s="99">
        <f>[4]EnergyCurve!$P46+[4]EnergyCurve!$R46+B24</f>
        <v>155999.798828125</v>
      </c>
      <c r="C68" s="90">
        <f t="shared" si="39"/>
        <v>222.9038049780971</v>
      </c>
      <c r="D68" s="89">
        <f t="shared" si="40"/>
        <v>-20</v>
      </c>
      <c r="E68" s="90">
        <f t="shared" si="53"/>
        <v>142002.74760296053</v>
      </c>
      <c r="F68" s="117">
        <f t="shared" si="54"/>
        <v>202.9038049780971</v>
      </c>
      <c r="G68" s="91">
        <f>([4]EnergyCurve!$J46*CE68+[4]EnergyCurve!$AB46*CF68+G24*CD24)/CD68</f>
        <v>48.655028449164497</v>
      </c>
      <c r="H68" s="91">
        <f t="shared" si="55"/>
        <v>-1.1935334278836791</v>
      </c>
      <c r="I68" s="121">
        <f>([4]EnergyCurve!$L46*CE68+[4]EnergyCurve!$AD46*CF68+I24*CD24)/CD68</f>
        <v>47.461495021280818</v>
      </c>
      <c r="J68" s="99">
        <f>[4]EnergyCurve!$T46</f>
        <v>-157627.18797198034</v>
      </c>
      <c r="K68" s="92">
        <f t="shared" si="56"/>
        <v>94567.153821657994</v>
      </c>
      <c r="L68" s="92">
        <f t="shared" si="41"/>
        <v>-63060.034150322346</v>
      </c>
      <c r="M68" s="214"/>
      <c r="N68" s="78">
        <f t="shared" si="42"/>
        <v>37561</v>
      </c>
      <c r="O68" s="114">
        <v>85</v>
      </c>
      <c r="P68" s="114">
        <v>85</v>
      </c>
      <c r="Q68" s="105">
        <f t="shared" si="65"/>
        <v>36.344971550835503</v>
      </c>
      <c r="R68" s="372"/>
      <c r="S68" s="217">
        <f t="shared" si="43"/>
        <v>47.461495021280818</v>
      </c>
      <c r="T68" s="46"/>
      <c r="U68" s="45"/>
      <c r="V68" s="244"/>
      <c r="W68" s="245"/>
      <c r="X68" s="71"/>
      <c r="Y68" s="71"/>
      <c r="Z68" s="277"/>
      <c r="AA68" s="277"/>
      <c r="AB68" s="277"/>
      <c r="AC68" s="277"/>
      <c r="AD68" s="277"/>
      <c r="AE68" s="71"/>
      <c r="AF68" s="69"/>
      <c r="AG68" s="69"/>
      <c r="AH68" s="69"/>
      <c r="AI68" s="69"/>
      <c r="AJ68" s="47">
        <f t="shared" si="45"/>
        <v>37561</v>
      </c>
      <c r="AK68" s="1">
        <v>-5</v>
      </c>
      <c r="AL68" s="2">
        <v>47.5</v>
      </c>
      <c r="AM68" s="1">
        <v>-15</v>
      </c>
      <c r="AN68" s="2">
        <v>47</v>
      </c>
      <c r="AO68" s="1"/>
      <c r="AP68" s="2"/>
      <c r="AQ68" s="1"/>
      <c r="AR68" s="2"/>
      <c r="AS68" s="1"/>
      <c r="AT68" s="2"/>
      <c r="AU68" s="1"/>
      <c r="AV68" s="2"/>
      <c r="AW68" s="1"/>
      <c r="AX68" s="2"/>
      <c r="AY68" s="1"/>
      <c r="AZ68" s="2"/>
      <c r="BA68" s="1"/>
      <c r="BB68" s="2"/>
      <c r="BC68" s="1"/>
      <c r="BD68" s="2"/>
      <c r="BE68" s="1"/>
      <c r="BF68" s="2"/>
      <c r="BG68" s="1"/>
      <c r="BH68" s="2"/>
      <c r="BI68" s="1"/>
      <c r="BJ68" s="2"/>
      <c r="BK68" s="1"/>
      <c r="BL68" s="2"/>
      <c r="BM68" s="1"/>
      <c r="BN68" s="2"/>
      <c r="BO68" s="1"/>
      <c r="BP68" s="2"/>
      <c r="BQ68" s="1"/>
      <c r="BR68" s="2"/>
      <c r="BS68" s="1"/>
      <c r="BT68" s="2"/>
      <c r="BU68" s="1"/>
      <c r="BV68" s="2"/>
      <c r="BW68" s="1"/>
      <c r="BX68" s="2"/>
      <c r="BY68" s="48">
        <f t="shared" si="46"/>
        <v>-20</v>
      </c>
      <c r="BZ68" s="49">
        <f t="shared" si="47"/>
        <v>47.125</v>
      </c>
      <c r="CA68" s="50"/>
      <c r="CB68" s="51">
        <f t="shared" si="48"/>
        <v>37561</v>
      </c>
      <c r="CC68" s="50">
        <f t="shared" si="49"/>
        <v>20</v>
      </c>
      <c r="CD68" s="52">
        <f t="shared" si="58"/>
        <v>720</v>
      </c>
      <c r="CE68" s="50">
        <f t="shared" si="59"/>
        <v>240</v>
      </c>
      <c r="CF68" s="50">
        <f t="shared" si="60"/>
        <v>80</v>
      </c>
      <c r="CG68" s="50">
        <f t="shared" si="50"/>
        <v>0.97201744619197827</v>
      </c>
      <c r="CH68" s="53">
        <f t="shared" si="61"/>
        <v>-6400</v>
      </c>
      <c r="CI68" s="53">
        <f t="shared" si="62"/>
        <v>0</v>
      </c>
      <c r="CJ68" s="53">
        <f t="shared" si="63"/>
        <v>0</v>
      </c>
      <c r="CK68" s="53">
        <f t="shared" si="64"/>
        <v>0</v>
      </c>
      <c r="CL68" s="25">
        <f t="shared" si="51"/>
        <v>14400</v>
      </c>
      <c r="CN68" s="29">
        <f>([4]EnergyCurve!$L46*CE68+[4]EnergyCurve!$AD46*CF68)/(CE68+CF68)</f>
        <v>31.923505579790071</v>
      </c>
      <c r="DI68" s="25">
        <f t="shared" si="22"/>
        <v>5</v>
      </c>
      <c r="DJ68" s="54">
        <f>[4]EnergyCurve!$D90</f>
        <v>38899</v>
      </c>
      <c r="DK68" s="30">
        <f t="shared" si="37"/>
        <v>25</v>
      </c>
      <c r="DL68" s="30">
        <f t="shared" si="38"/>
        <v>20</v>
      </c>
      <c r="DM68" s="233">
        <v>38565</v>
      </c>
      <c r="DN68" s="154">
        <v>22</v>
      </c>
      <c r="DO68" s="155">
        <v>4</v>
      </c>
      <c r="DP68" s="155">
        <v>4</v>
      </c>
      <c r="DQ68" s="155">
        <v>1</v>
      </c>
      <c r="DR68" s="154">
        <v>31</v>
      </c>
      <c r="DS68" s="55"/>
      <c r="DT68" s="55"/>
      <c r="DU68" s="233">
        <v>38565</v>
      </c>
      <c r="DV68" s="154">
        <v>23</v>
      </c>
      <c r="DW68" s="155">
        <v>4</v>
      </c>
      <c r="DX68" s="155">
        <v>4</v>
      </c>
      <c r="DY68" s="155">
        <v>0</v>
      </c>
      <c r="DZ68" s="154">
        <v>31</v>
      </c>
      <c r="EA68" s="55"/>
      <c r="EB68" s="55"/>
      <c r="EQ68" s="54"/>
      <c r="ER68" s="190"/>
      <c r="ES68" s="167"/>
      <c r="ET68" s="167"/>
    </row>
    <row r="69" spans="1:150" ht="18" x14ac:dyDescent="0.25">
      <c r="A69" s="100">
        <f t="shared" si="52"/>
        <v>37591</v>
      </c>
      <c r="B69" s="101">
        <f>[4]EnergyCurve!$P47+[4]EnergyCurve!$R47+B25</f>
        <v>165052.49072265625</v>
      </c>
      <c r="C69" s="86">
        <f t="shared" si="39"/>
        <v>228.83193758890198</v>
      </c>
      <c r="D69" s="86">
        <f t="shared" si="40"/>
        <v>-20</v>
      </c>
      <c r="E69" s="85">
        <f t="shared" si="53"/>
        <v>150626.83908838357</v>
      </c>
      <c r="F69" s="118">
        <f t="shared" si="54"/>
        <v>208.83193758890198</v>
      </c>
      <c r="G69" s="87">
        <f>([4]EnergyCurve!$J47*CE69+[4]EnergyCurve!$AB47*CF69+G25*CD25)/CD69</f>
        <v>51.588081688009282</v>
      </c>
      <c r="H69" s="87">
        <f t="shared" si="55"/>
        <v>-1.3575271025012441</v>
      </c>
      <c r="I69" s="82">
        <f>([4]EnergyCurve!$L47*CE69+[4]EnergyCurve!$AD47*CF69+I25*CD25)/CD69</f>
        <v>50.230554585508038</v>
      </c>
      <c r="J69" s="85">
        <f>[4]EnergyCurve!$T47</f>
        <v>-190529.90346203221</v>
      </c>
      <c r="K69" s="88">
        <f t="shared" si="56"/>
        <v>85075.021466162361</v>
      </c>
      <c r="L69" s="88">
        <f t="shared" si="41"/>
        <v>-105454.88199586984</v>
      </c>
      <c r="M69" s="214"/>
      <c r="N69" s="78">
        <f t="shared" si="42"/>
        <v>37591</v>
      </c>
      <c r="O69" s="114">
        <v>34</v>
      </c>
      <c r="P69" s="114">
        <v>34</v>
      </c>
      <c r="Q69" s="105">
        <f t="shared" si="65"/>
        <v>-17.588081688009282</v>
      </c>
      <c r="R69" s="372"/>
      <c r="S69" s="217">
        <f t="shared" si="43"/>
        <v>50.230554585508038</v>
      </c>
      <c r="T69" s="45"/>
      <c r="U69" s="45"/>
      <c r="V69" s="298"/>
      <c r="W69" s="282"/>
      <c r="X69" s="282"/>
      <c r="Y69" s="276"/>
      <c r="Z69" s="71"/>
      <c r="AA69" s="299"/>
      <c r="AB69" s="299"/>
      <c r="AC69" s="299"/>
      <c r="AD69" s="299"/>
      <c r="AE69" s="71"/>
      <c r="AF69" s="69"/>
      <c r="AG69" s="69"/>
      <c r="AH69" s="69"/>
      <c r="AI69" s="69"/>
      <c r="AJ69" s="47">
        <f t="shared" si="45"/>
        <v>37591</v>
      </c>
      <c r="AK69" s="1">
        <v>-5</v>
      </c>
      <c r="AL69" s="2">
        <v>47.5</v>
      </c>
      <c r="AM69" s="1">
        <v>-15</v>
      </c>
      <c r="AN69" s="2">
        <v>47</v>
      </c>
      <c r="AO69" s="1"/>
      <c r="AP69" s="2"/>
      <c r="AQ69" s="1"/>
      <c r="AR69" s="2"/>
      <c r="AS69" s="1"/>
      <c r="AT69" s="2"/>
      <c r="AU69" s="1"/>
      <c r="AV69" s="2"/>
      <c r="AW69" s="1"/>
      <c r="AX69" s="2"/>
      <c r="AY69" s="1"/>
      <c r="AZ69" s="2"/>
      <c r="BA69" s="1"/>
      <c r="BB69" s="2"/>
      <c r="BC69" s="1"/>
      <c r="BD69" s="2"/>
      <c r="BE69" s="1"/>
      <c r="BF69" s="2"/>
      <c r="BG69" s="1"/>
      <c r="BH69" s="2"/>
      <c r="BI69" s="1"/>
      <c r="BJ69" s="2"/>
      <c r="BK69" s="1"/>
      <c r="BL69" s="2"/>
      <c r="BM69" s="1"/>
      <c r="BN69" s="2"/>
      <c r="BO69" s="1"/>
      <c r="BP69" s="2"/>
      <c r="BQ69" s="1"/>
      <c r="BR69" s="2"/>
      <c r="BS69" s="1"/>
      <c r="BT69" s="2"/>
      <c r="BU69" s="1"/>
      <c r="BV69" s="2"/>
      <c r="BW69" s="1"/>
      <c r="BX69" s="2"/>
      <c r="BY69" s="48">
        <f t="shared" si="46"/>
        <v>-20</v>
      </c>
      <c r="BZ69" s="49">
        <f t="shared" si="47"/>
        <v>47.125</v>
      </c>
      <c r="CA69" s="50"/>
      <c r="CB69" s="51">
        <f t="shared" si="48"/>
        <v>37591</v>
      </c>
      <c r="CC69" s="50">
        <f t="shared" si="49"/>
        <v>20</v>
      </c>
      <c r="CD69" s="52">
        <f t="shared" si="58"/>
        <v>744</v>
      </c>
      <c r="CE69" s="50">
        <f t="shared" si="59"/>
        <v>248</v>
      </c>
      <c r="CF69" s="50">
        <f t="shared" si="60"/>
        <v>96</v>
      </c>
      <c r="CG69" s="50">
        <f t="shared" si="50"/>
        <v>0.96946583563660405</v>
      </c>
      <c r="CH69" s="53">
        <f t="shared" si="61"/>
        <v>-6880</v>
      </c>
      <c r="CI69" s="53">
        <f t="shared" si="62"/>
        <v>0</v>
      </c>
      <c r="CJ69" s="53">
        <f t="shared" si="63"/>
        <v>0</v>
      </c>
      <c r="CK69" s="53">
        <f t="shared" si="64"/>
        <v>0</v>
      </c>
      <c r="CL69" s="25">
        <f t="shared" si="51"/>
        <v>14880</v>
      </c>
      <c r="CN69" s="29">
        <f>([4]EnergyCurve!$L47*CE69+[4]EnergyCurve!$AD47*CF69)/(CE69+CF69)</f>
        <v>34.369980698527414</v>
      </c>
      <c r="DI69" s="25">
        <f t="shared" si="22"/>
        <v>4</v>
      </c>
      <c r="DJ69" s="54">
        <f>[4]EnergyCurve!$D91</f>
        <v>38930</v>
      </c>
      <c r="DK69" s="30">
        <f t="shared" si="37"/>
        <v>27</v>
      </c>
      <c r="DL69" s="30">
        <f t="shared" si="38"/>
        <v>23</v>
      </c>
      <c r="DM69" s="233">
        <v>38596</v>
      </c>
      <c r="DN69" s="154">
        <v>21</v>
      </c>
      <c r="DO69" s="155">
        <v>4</v>
      </c>
      <c r="DP69" s="155">
        <v>4</v>
      </c>
      <c r="DQ69" s="155">
        <v>1</v>
      </c>
      <c r="DR69" s="154">
        <v>30</v>
      </c>
      <c r="DS69" s="55"/>
      <c r="DT69" s="55"/>
      <c r="DU69" s="233">
        <v>38596</v>
      </c>
      <c r="DV69" s="154">
        <v>21</v>
      </c>
      <c r="DW69" s="155">
        <v>4</v>
      </c>
      <c r="DX69" s="155">
        <v>4</v>
      </c>
      <c r="DY69" s="155">
        <v>1</v>
      </c>
      <c r="DZ69" s="154">
        <v>30</v>
      </c>
      <c r="EA69" s="55"/>
      <c r="EB69" s="55"/>
      <c r="EQ69" s="54"/>
      <c r="ER69" s="190"/>
      <c r="ES69" s="167"/>
      <c r="ET69" s="167"/>
    </row>
    <row r="70" spans="1:150" ht="18" x14ac:dyDescent="0.25">
      <c r="A70" s="98">
        <f t="shared" si="52"/>
        <v>37622</v>
      </c>
      <c r="B70" s="99">
        <f>[4]EnergyCurve!$P48+[4]EnergyCurve!$R48+B26</f>
        <v>434659.40625</v>
      </c>
      <c r="C70" s="90">
        <f t="shared" si="39"/>
        <v>604.33055665647703</v>
      </c>
      <c r="D70" s="89">
        <f t="shared" si="40"/>
        <v>0</v>
      </c>
      <c r="E70" s="90">
        <f t="shared" si="53"/>
        <v>434659.40625</v>
      </c>
      <c r="F70" s="117">
        <f t="shared" si="54"/>
        <v>604.33055665647703</v>
      </c>
      <c r="G70" s="91">
        <f>([4]EnergyCurve!$J48*CE70+[4]EnergyCurve!$AB48*CF70+G26*CD26)/CD70</f>
        <v>45.696070209626228</v>
      </c>
      <c r="H70" s="91">
        <f t="shared" si="55"/>
        <v>-1.1561010966565206</v>
      </c>
      <c r="I70" s="121">
        <f>([4]EnergyCurve!$L48*CE70+[4]EnergyCurve!$AD48*CF70+I26*CD26)/CD70</f>
        <v>44.539969112969708</v>
      </c>
      <c r="J70" s="99">
        <f>[4]EnergyCurve!$T48</f>
        <v>-502350.85314051836</v>
      </c>
      <c r="K70" s="92">
        <f t="shared" si="56"/>
        <v>0</v>
      </c>
      <c r="L70" s="92">
        <f t="shared" si="41"/>
        <v>-502350.85314051836</v>
      </c>
      <c r="M70" s="214"/>
      <c r="N70" s="78">
        <f t="shared" si="42"/>
        <v>37622</v>
      </c>
      <c r="O70" s="114">
        <v>25.45</v>
      </c>
      <c r="P70" s="114">
        <v>25.45</v>
      </c>
      <c r="Q70" s="105">
        <f t="shared" si="65"/>
        <v>-20.246070209626229</v>
      </c>
      <c r="R70" s="372"/>
      <c r="S70" s="217">
        <f t="shared" si="43"/>
        <v>44.539969112969708</v>
      </c>
      <c r="T70" s="45"/>
      <c r="U70" s="45"/>
      <c r="V70" s="298"/>
      <c r="W70" s="276"/>
      <c r="X70" s="276"/>
      <c r="Y70" s="300"/>
      <c r="Z70" s="301"/>
      <c r="AA70" s="302"/>
      <c r="AB70" s="303"/>
      <c r="AC70" s="303"/>
      <c r="AD70" s="303"/>
      <c r="AE70" s="71"/>
      <c r="AF70" s="69"/>
      <c r="AG70" s="69"/>
      <c r="AH70" s="69"/>
      <c r="AI70" s="69"/>
      <c r="AJ70" s="47">
        <f t="shared" si="45"/>
        <v>37622</v>
      </c>
      <c r="AK70" s="1"/>
      <c r="AL70" s="2"/>
      <c r="AM70" s="1"/>
      <c r="AN70" s="2"/>
      <c r="AO70" s="1"/>
      <c r="AP70" s="2"/>
      <c r="AQ70" s="1"/>
      <c r="AR70" s="2"/>
      <c r="AS70" s="1"/>
      <c r="AT70" s="2"/>
      <c r="AU70" s="1"/>
      <c r="AV70" s="2"/>
      <c r="AW70" s="1"/>
      <c r="AX70" s="2"/>
      <c r="AY70" s="1"/>
      <c r="AZ70" s="2"/>
      <c r="BA70" s="1"/>
      <c r="BB70" s="2"/>
      <c r="BC70" s="1"/>
      <c r="BD70" s="2"/>
      <c r="BE70" s="1"/>
      <c r="BF70" s="2"/>
      <c r="BG70" s="1"/>
      <c r="BH70" s="2"/>
      <c r="BI70" s="1"/>
      <c r="BJ70" s="2"/>
      <c r="BK70" s="1"/>
      <c r="BL70" s="2"/>
      <c r="BM70" s="1"/>
      <c r="BN70" s="2"/>
      <c r="BO70" s="1"/>
      <c r="BP70" s="2"/>
      <c r="BQ70" s="1"/>
      <c r="BR70" s="2"/>
      <c r="BS70" s="1"/>
      <c r="BT70" s="2"/>
      <c r="BU70" s="1"/>
      <c r="BV70" s="2"/>
      <c r="BW70" s="1"/>
      <c r="BX70" s="2"/>
      <c r="BY70" s="48">
        <f t="shared" si="46"/>
        <v>0</v>
      </c>
      <c r="BZ70" s="49">
        <f t="shared" si="47"/>
        <v>0</v>
      </c>
      <c r="CA70" s="50"/>
      <c r="CB70" s="51">
        <f t="shared" si="48"/>
        <v>37622</v>
      </c>
      <c r="CC70" s="50">
        <f t="shared" si="49"/>
        <v>0</v>
      </c>
      <c r="CD70" s="52">
        <f t="shared" si="58"/>
        <v>744</v>
      </c>
      <c r="CE70" s="50">
        <f t="shared" si="59"/>
        <v>248</v>
      </c>
      <c r="CF70" s="50">
        <f t="shared" si="60"/>
        <v>80</v>
      </c>
      <c r="CG70" s="50">
        <f t="shared" si="50"/>
        <v>0.96672197958797379</v>
      </c>
      <c r="CH70" s="53">
        <f t="shared" si="61"/>
        <v>0</v>
      </c>
      <c r="CI70" s="53">
        <f t="shared" si="62"/>
        <v>0</v>
      </c>
      <c r="CJ70" s="53">
        <f t="shared" si="63"/>
        <v>0</v>
      </c>
      <c r="CK70" s="53">
        <f t="shared" si="64"/>
        <v>0</v>
      </c>
      <c r="CL70" s="25">
        <f t="shared" si="51"/>
        <v>0</v>
      </c>
      <c r="CN70" s="29">
        <f>([4]EnergyCurve!$L48*CE70+[4]EnergyCurve!$AD48*CF70)/(CE70+CF70)</f>
        <v>34.832577691075848</v>
      </c>
      <c r="DI70" s="25">
        <f t="shared" si="22"/>
        <v>5</v>
      </c>
      <c r="DJ70" s="54">
        <f>[4]EnergyCurve!$D92</f>
        <v>38961</v>
      </c>
      <c r="DK70" s="30">
        <f t="shared" si="37"/>
        <v>25</v>
      </c>
      <c r="DL70" s="30">
        <f t="shared" si="38"/>
        <v>20</v>
      </c>
      <c r="DM70" s="233">
        <v>38626</v>
      </c>
      <c r="DN70" s="154">
        <v>20</v>
      </c>
      <c r="DO70" s="155">
        <v>5</v>
      </c>
      <c r="DP70" s="155">
        <v>5</v>
      </c>
      <c r="DQ70" s="155">
        <v>1</v>
      </c>
      <c r="DR70" s="154">
        <v>31</v>
      </c>
      <c r="DS70" s="55"/>
      <c r="DT70" s="55"/>
      <c r="DU70" s="233">
        <v>38626</v>
      </c>
      <c r="DV70" s="154">
        <v>21</v>
      </c>
      <c r="DW70" s="155">
        <v>5</v>
      </c>
      <c r="DX70" s="155">
        <v>5</v>
      </c>
      <c r="DY70" s="155">
        <v>0</v>
      </c>
      <c r="DZ70" s="154">
        <v>31</v>
      </c>
      <c r="EA70" s="55"/>
      <c r="EB70" s="55"/>
      <c r="EQ70" s="54"/>
      <c r="ER70" s="190"/>
      <c r="ES70" s="167"/>
      <c r="ET70" s="167"/>
    </row>
    <row r="71" spans="1:150" ht="18" x14ac:dyDescent="0.25">
      <c r="A71" s="100">
        <f t="shared" si="52"/>
        <v>37653</v>
      </c>
      <c r="B71" s="101">
        <f>[4]EnergyCurve!$P49+[4]EnergyCurve!$R49+B27</f>
        <v>391387.2109375</v>
      </c>
      <c r="C71" s="86">
        <f t="shared" si="39"/>
        <v>604.17199019937925</v>
      </c>
      <c r="D71" s="86">
        <f t="shared" si="40"/>
        <v>0</v>
      </c>
      <c r="E71" s="85">
        <f t="shared" si="53"/>
        <v>391387.2109375</v>
      </c>
      <c r="F71" s="118">
        <f t="shared" si="54"/>
        <v>604.17199019937925</v>
      </c>
      <c r="G71" s="87">
        <f>([4]EnergyCurve!$J49*CE71+[4]EnergyCurve!$AB49*CF71+G27*CD27)/CD71</f>
        <v>44.643608910696848</v>
      </c>
      <c r="H71" s="87">
        <f t="shared" si="55"/>
        <v>-1.263536618918252</v>
      </c>
      <c r="I71" s="82">
        <f>([4]EnergyCurve!$L49*CE71+[4]EnergyCurve!$AD49*CF71+I27*CD27)/CD71</f>
        <v>43.380072291778596</v>
      </c>
      <c r="J71" s="85">
        <f>[4]EnergyCurve!$T49</f>
        <v>-494371.14191696048</v>
      </c>
      <c r="K71" s="88">
        <f t="shared" si="56"/>
        <v>0</v>
      </c>
      <c r="L71" s="88">
        <f t="shared" si="41"/>
        <v>-494371.14191696048</v>
      </c>
      <c r="M71" s="214"/>
      <c r="N71" s="78">
        <f t="shared" si="42"/>
        <v>37653</v>
      </c>
      <c r="O71" s="114">
        <v>25.2</v>
      </c>
      <c r="P71" s="114">
        <v>25.2</v>
      </c>
      <c r="Q71" s="105">
        <f t="shared" si="65"/>
        <v>-19.443608910696849</v>
      </c>
      <c r="R71" s="372"/>
      <c r="S71" s="217">
        <f t="shared" si="43"/>
        <v>43.380072291778596</v>
      </c>
      <c r="T71" s="46">
        <f>IF(MONTH(TradeSum!$B$2)&gt;=10,YEAR(TradeSum!$B$2)+1,YEAR(TradeSum!$B$2))</f>
        <v>2002</v>
      </c>
      <c r="U71" s="45">
        <f>IF(INT((MONTH(TradeSum!$B$2)-1)/3)+2=5,1,INT((MONTH(TradeSum!$B$2)-1)/3)+2)</f>
        <v>1</v>
      </c>
      <c r="V71" s="304"/>
      <c r="W71" s="304"/>
      <c r="X71" s="304"/>
      <c r="Y71" s="71"/>
      <c r="Z71" s="301"/>
      <c r="AA71" s="305"/>
      <c r="AB71" s="304"/>
      <c r="AC71" s="304"/>
      <c r="AD71" s="304"/>
      <c r="AE71" s="71"/>
      <c r="AF71" s="69"/>
      <c r="AG71" s="69"/>
      <c r="AH71" s="69"/>
      <c r="AI71" s="69"/>
      <c r="AJ71" s="47">
        <f t="shared" si="45"/>
        <v>37653</v>
      </c>
      <c r="AK71" s="1"/>
      <c r="AL71" s="2"/>
      <c r="AM71" s="1"/>
      <c r="AN71" s="2"/>
      <c r="AO71" s="1"/>
      <c r="AP71" s="2"/>
      <c r="AQ71" s="1"/>
      <c r="AR71" s="2"/>
      <c r="AS71" s="1"/>
      <c r="AT71" s="2"/>
      <c r="AU71" s="1"/>
      <c r="AV71" s="2"/>
      <c r="AW71" s="1"/>
      <c r="AX71" s="2"/>
      <c r="AY71" s="1"/>
      <c r="AZ71" s="2"/>
      <c r="BA71" s="1"/>
      <c r="BB71" s="2"/>
      <c r="BC71" s="1"/>
      <c r="BD71" s="2"/>
      <c r="BE71" s="1"/>
      <c r="BF71" s="2"/>
      <c r="BG71" s="1"/>
      <c r="BH71" s="2"/>
      <c r="BI71" s="1"/>
      <c r="BJ71" s="2"/>
      <c r="BK71" s="1"/>
      <c r="BL71" s="2"/>
      <c r="BM71" s="1"/>
      <c r="BN71" s="2"/>
      <c r="BO71" s="1"/>
      <c r="BP71" s="2"/>
      <c r="BQ71" s="1"/>
      <c r="BR71" s="2"/>
      <c r="BS71" s="1"/>
      <c r="BT71" s="2"/>
      <c r="BU71" s="1"/>
      <c r="BV71" s="2"/>
      <c r="BW71" s="1"/>
      <c r="BX71" s="2"/>
      <c r="BY71" s="48">
        <f t="shared" si="46"/>
        <v>0</v>
      </c>
      <c r="BZ71" s="49">
        <f t="shared" si="47"/>
        <v>0</v>
      </c>
      <c r="CA71" s="50"/>
      <c r="CB71" s="51">
        <f t="shared" si="48"/>
        <v>37653</v>
      </c>
      <c r="CC71" s="50">
        <f t="shared" si="49"/>
        <v>0</v>
      </c>
      <c r="CD71" s="52">
        <f t="shared" si="58"/>
        <v>672</v>
      </c>
      <c r="CE71" s="50">
        <f t="shared" si="59"/>
        <v>224</v>
      </c>
      <c r="CF71" s="50">
        <f t="shared" si="60"/>
        <v>64</v>
      </c>
      <c r="CG71" s="50">
        <f t="shared" si="50"/>
        <v>0.96399941456284444</v>
      </c>
      <c r="CH71" s="53">
        <f t="shared" si="61"/>
        <v>0</v>
      </c>
      <c r="CI71" s="53">
        <f t="shared" si="62"/>
        <v>0</v>
      </c>
      <c r="CJ71" s="53">
        <f t="shared" si="63"/>
        <v>0</v>
      </c>
      <c r="CK71" s="53">
        <f t="shared" si="64"/>
        <v>0</v>
      </c>
      <c r="CL71" s="25">
        <f t="shared" si="51"/>
        <v>0</v>
      </c>
      <c r="CN71" s="29">
        <f>([4]EnergyCurve!$L49*CE71+[4]EnergyCurve!$AD49*CF71)/(CE71+CF71)</f>
        <v>33.560348870204216</v>
      </c>
      <c r="DI71" s="25">
        <f t="shared" si="22"/>
        <v>4</v>
      </c>
      <c r="DJ71" s="54">
        <f>[4]EnergyCurve!$D93</f>
        <v>38991</v>
      </c>
      <c r="DK71" s="30">
        <f t="shared" si="37"/>
        <v>26</v>
      </c>
      <c r="DL71" s="30">
        <f t="shared" si="38"/>
        <v>22</v>
      </c>
      <c r="DM71" s="233">
        <v>38657</v>
      </c>
      <c r="DN71" s="154">
        <v>21</v>
      </c>
      <c r="DO71" s="155">
        <v>4</v>
      </c>
      <c r="DP71" s="155">
        <v>4</v>
      </c>
      <c r="DQ71" s="155">
        <v>1</v>
      </c>
      <c r="DR71" s="154">
        <v>30</v>
      </c>
      <c r="DS71" s="55"/>
      <c r="DT71" s="55"/>
      <c r="DU71" s="233">
        <v>38657</v>
      </c>
      <c r="DV71" s="154">
        <v>21</v>
      </c>
      <c r="DW71" s="155">
        <v>4</v>
      </c>
      <c r="DX71" s="155">
        <v>4</v>
      </c>
      <c r="DY71" s="155">
        <v>1</v>
      </c>
      <c r="DZ71" s="154">
        <v>30</v>
      </c>
      <c r="EA71" s="55"/>
      <c r="EB71" s="55"/>
      <c r="EQ71" s="54"/>
      <c r="ER71" s="190"/>
      <c r="ES71" s="167"/>
      <c r="ET71" s="167"/>
    </row>
    <row r="72" spans="1:150" ht="18" x14ac:dyDescent="0.25">
      <c r="A72" s="98">
        <f t="shared" si="52"/>
        <v>37681</v>
      </c>
      <c r="B72" s="99">
        <f>[4]EnergyCurve!$P50+[4]EnergyCurve!$R50+B28</f>
        <v>432202.3671875</v>
      </c>
      <c r="C72" s="90">
        <f t="shared" si="39"/>
        <v>604.45510146737081</v>
      </c>
      <c r="D72" s="89">
        <f t="shared" si="40"/>
        <v>0</v>
      </c>
      <c r="E72" s="90">
        <f t="shared" si="53"/>
        <v>432202.3671875</v>
      </c>
      <c r="F72" s="117">
        <f t="shared" si="54"/>
        <v>604.45510146737081</v>
      </c>
      <c r="G72" s="91">
        <f>([4]EnergyCurve!$J50*CE72+[4]EnergyCurve!$AB50*CF72+G28*CD28)/CD72</f>
        <v>43.28777772636824</v>
      </c>
      <c r="H72" s="91">
        <f t="shared" si="55"/>
        <v>-1.2601815993565353</v>
      </c>
      <c r="I72" s="121">
        <f>([4]EnergyCurve!$L50*CE72+[4]EnergyCurve!$AD50*CF72+I28*CD28)/CD72</f>
        <v>42.027596127011705</v>
      </c>
      <c r="J72" s="99">
        <f>[4]EnergyCurve!$T50</f>
        <v>-544482.28370132111</v>
      </c>
      <c r="K72" s="92">
        <f t="shared" si="56"/>
        <v>0</v>
      </c>
      <c r="L72" s="92">
        <f t="shared" si="41"/>
        <v>-544482.28370132111</v>
      </c>
      <c r="M72" s="214"/>
      <c r="N72" s="78">
        <f t="shared" si="42"/>
        <v>37681</v>
      </c>
      <c r="O72" s="114">
        <v>25.95</v>
      </c>
      <c r="P72" s="114">
        <v>25.95</v>
      </c>
      <c r="Q72" s="105">
        <f t="shared" si="65"/>
        <v>-17.337777726368241</v>
      </c>
      <c r="R72" s="372"/>
      <c r="S72" s="217">
        <f t="shared" si="43"/>
        <v>42.027596127011705</v>
      </c>
      <c r="T72" s="46">
        <f>IF(U71=4,T71+1,T71)</f>
        <v>2002</v>
      </c>
      <c r="U72" s="45">
        <f>IF(U71=4,1,U71+1)</f>
        <v>2</v>
      </c>
      <c r="V72" s="304"/>
      <c r="W72" s="304"/>
      <c r="X72" s="304"/>
      <c r="Y72" s="71"/>
      <c r="Z72" s="301"/>
      <c r="AA72" s="302"/>
      <c r="AB72" s="303"/>
      <c r="AC72" s="303"/>
      <c r="AD72" s="303"/>
      <c r="AE72" s="71"/>
      <c r="AF72" s="69"/>
      <c r="AG72" s="69"/>
      <c r="AH72" s="69"/>
      <c r="AI72" s="69"/>
      <c r="AJ72" s="47">
        <f t="shared" si="45"/>
        <v>37681</v>
      </c>
      <c r="AK72" s="1"/>
      <c r="AL72" s="2"/>
      <c r="AM72" s="1"/>
      <c r="AN72" s="2"/>
      <c r="AO72" s="1"/>
      <c r="AP72" s="2"/>
      <c r="AQ72" s="1"/>
      <c r="AR72" s="2"/>
      <c r="AS72" s="1"/>
      <c r="AT72" s="2"/>
      <c r="AU72" s="1"/>
      <c r="AV72" s="2"/>
      <c r="AW72" s="1"/>
      <c r="AX72" s="2"/>
      <c r="AY72" s="1"/>
      <c r="AZ72" s="2"/>
      <c r="BA72" s="1"/>
      <c r="BB72" s="2"/>
      <c r="BC72" s="1"/>
      <c r="BD72" s="2"/>
      <c r="BE72" s="1"/>
      <c r="BF72" s="2"/>
      <c r="BG72" s="1"/>
      <c r="BH72" s="2"/>
      <c r="BI72" s="1"/>
      <c r="BJ72" s="2"/>
      <c r="BK72" s="1"/>
      <c r="BL72" s="2"/>
      <c r="BM72" s="1"/>
      <c r="BN72" s="2"/>
      <c r="BO72" s="1"/>
      <c r="BP72" s="2"/>
      <c r="BQ72" s="1"/>
      <c r="BR72" s="2"/>
      <c r="BS72" s="1"/>
      <c r="BT72" s="2"/>
      <c r="BU72" s="1"/>
      <c r="BV72" s="2"/>
      <c r="BW72" s="1"/>
      <c r="BX72" s="2"/>
      <c r="BY72" s="48">
        <f t="shared" si="46"/>
        <v>0</v>
      </c>
      <c r="BZ72" s="49">
        <f t="shared" si="47"/>
        <v>0</v>
      </c>
      <c r="CA72" s="50"/>
      <c r="CB72" s="51">
        <f t="shared" si="48"/>
        <v>37681</v>
      </c>
      <c r="CC72" s="50">
        <f t="shared" si="49"/>
        <v>0</v>
      </c>
      <c r="CD72" s="52">
        <f t="shared" si="58"/>
        <v>744</v>
      </c>
      <c r="CE72" s="50">
        <f t="shared" si="59"/>
        <v>248</v>
      </c>
      <c r="CF72" s="50">
        <f t="shared" si="60"/>
        <v>80</v>
      </c>
      <c r="CG72" s="50">
        <f t="shared" ref="CG72:CG87" si="72">CG28</f>
        <v>0.96105923961601514</v>
      </c>
      <c r="CH72" s="53">
        <f t="shared" si="61"/>
        <v>0</v>
      </c>
      <c r="CI72" s="53">
        <f t="shared" si="62"/>
        <v>0</v>
      </c>
      <c r="CJ72" s="53">
        <f t="shared" si="63"/>
        <v>0</v>
      </c>
      <c r="CK72" s="53">
        <f t="shared" si="64"/>
        <v>0</v>
      </c>
      <c r="CL72" s="25">
        <f t="shared" si="51"/>
        <v>0</v>
      </c>
      <c r="CN72" s="29">
        <f>([4]EnergyCurve!$L50*CE72+[4]EnergyCurve!$AD50*CF72)/(CE72+CF72)</f>
        <v>32.887576875086104</v>
      </c>
      <c r="DI72" s="25">
        <f t="shared" si="22"/>
        <v>4</v>
      </c>
      <c r="DJ72" s="54">
        <f>[4]EnergyCurve!$D94</f>
        <v>39022</v>
      </c>
      <c r="DK72" s="30">
        <f t="shared" si="37"/>
        <v>25</v>
      </c>
      <c r="DL72" s="30">
        <f t="shared" si="38"/>
        <v>21</v>
      </c>
      <c r="DM72" s="233">
        <v>38687</v>
      </c>
      <c r="DN72" s="154">
        <v>20</v>
      </c>
      <c r="DO72" s="155">
        <v>5</v>
      </c>
      <c r="DP72" s="155">
        <v>4</v>
      </c>
      <c r="DQ72" s="155">
        <v>2</v>
      </c>
      <c r="DR72" s="154">
        <v>31</v>
      </c>
      <c r="DS72" s="55"/>
      <c r="DT72" s="55"/>
      <c r="DU72" s="233">
        <v>38687</v>
      </c>
      <c r="DV72" s="154">
        <v>21</v>
      </c>
      <c r="DW72" s="155">
        <v>5</v>
      </c>
      <c r="DX72" s="155">
        <v>4</v>
      </c>
      <c r="DY72" s="155">
        <v>1</v>
      </c>
      <c r="DZ72" s="154">
        <v>31</v>
      </c>
      <c r="EA72" s="55"/>
      <c r="EB72" s="55"/>
      <c r="EQ72" s="54"/>
      <c r="ER72" s="190"/>
      <c r="ES72" s="167"/>
      <c r="ET72" s="167"/>
    </row>
    <row r="73" spans="1:150" ht="15" customHeight="1" x14ac:dyDescent="0.25">
      <c r="A73" s="100">
        <f t="shared" si="52"/>
        <v>37712</v>
      </c>
      <c r="B73" s="101">
        <f>[4]EnergyCurve!$P51+[4]EnergyCurve!$R51+B29</f>
        <v>416416.8515625</v>
      </c>
      <c r="C73" s="86">
        <f t="shared" si="39"/>
        <v>603.69183666366655</v>
      </c>
      <c r="D73" s="86">
        <f t="shared" si="40"/>
        <v>0</v>
      </c>
      <c r="E73" s="85">
        <f t="shared" si="53"/>
        <v>416416.8515625</v>
      </c>
      <c r="F73" s="118">
        <f t="shared" si="54"/>
        <v>603.69183666366655</v>
      </c>
      <c r="G73" s="87">
        <f>([4]EnergyCurve!$J51*CE73+[4]EnergyCurve!$AB51*CF73+G29*CD29)/CD73</f>
        <v>41.554476335313588</v>
      </c>
      <c r="H73" s="87">
        <f t="shared" si="55"/>
        <v>-1.2639299965632702</v>
      </c>
      <c r="I73" s="82">
        <f>([4]EnergyCurve!$L51*CE73+[4]EnergyCurve!$AD51*CF73+I29*CD29)/CD73</f>
        <v>40.290546338750318</v>
      </c>
      <c r="J73" s="85">
        <f>[4]EnergyCurve!$T51</f>
        <v>-526380.90599693637</v>
      </c>
      <c r="K73" s="88">
        <f t="shared" si="56"/>
        <v>0</v>
      </c>
      <c r="L73" s="88">
        <f t="shared" si="41"/>
        <v>-526380.90599693637</v>
      </c>
      <c r="M73" s="214"/>
      <c r="N73" s="78">
        <f t="shared" si="42"/>
        <v>37712</v>
      </c>
      <c r="O73" s="114">
        <v>29.9</v>
      </c>
      <c r="P73" s="114">
        <v>29.9</v>
      </c>
      <c r="Q73" s="105">
        <f t="shared" si="65"/>
        <v>-11.654476335313589</v>
      </c>
      <c r="R73" s="372"/>
      <c r="S73" s="217">
        <f t="shared" si="43"/>
        <v>40.290546338750318</v>
      </c>
      <c r="T73" s="46">
        <f t="shared" ref="T73:T78" si="73">IF(U72=4,T72+1,T72)</f>
        <v>2002</v>
      </c>
      <c r="U73" s="45">
        <f t="shared" ref="U73:U78" si="74">IF(U72=4,1,U72+1)</f>
        <v>3</v>
      </c>
      <c r="V73" s="304"/>
      <c r="W73" s="304"/>
      <c r="X73" s="304"/>
      <c r="Y73" s="276"/>
      <c r="Z73" s="301"/>
      <c r="AA73" s="305"/>
      <c r="AB73" s="304"/>
      <c r="AC73" s="304"/>
      <c r="AD73" s="304"/>
      <c r="AE73" s="71"/>
      <c r="AF73" s="69"/>
      <c r="AG73" s="69"/>
      <c r="AH73" s="69"/>
      <c r="AI73" s="69"/>
      <c r="AJ73" s="47">
        <f t="shared" si="45"/>
        <v>37712</v>
      </c>
      <c r="AK73" s="1"/>
      <c r="AL73" s="2"/>
      <c r="AM73" s="1"/>
      <c r="AN73" s="2"/>
      <c r="AO73" s="1"/>
      <c r="AP73" s="2"/>
      <c r="AQ73" s="1"/>
      <c r="AR73" s="2"/>
      <c r="AS73" s="1"/>
      <c r="AT73" s="2"/>
      <c r="AU73" s="1"/>
      <c r="AV73" s="2"/>
      <c r="AW73" s="1"/>
      <c r="AX73" s="2"/>
      <c r="AY73" s="1"/>
      <c r="AZ73" s="2"/>
      <c r="BA73" s="1"/>
      <c r="BB73" s="2"/>
      <c r="BC73" s="1"/>
      <c r="BD73" s="2"/>
      <c r="BE73" s="1"/>
      <c r="BF73" s="2"/>
      <c r="BG73" s="1"/>
      <c r="BH73" s="2"/>
      <c r="BI73" s="1"/>
      <c r="BJ73" s="2"/>
      <c r="BK73" s="1"/>
      <c r="BL73" s="2"/>
      <c r="BM73" s="1"/>
      <c r="BN73" s="2"/>
      <c r="BO73" s="1"/>
      <c r="BP73" s="2"/>
      <c r="BQ73" s="1"/>
      <c r="BR73" s="2"/>
      <c r="BS73" s="1"/>
      <c r="BT73" s="2"/>
      <c r="BU73" s="1"/>
      <c r="BV73" s="2"/>
      <c r="BW73" s="1"/>
      <c r="BX73" s="2"/>
      <c r="BY73" s="48">
        <f t="shared" si="46"/>
        <v>0</v>
      </c>
      <c r="BZ73" s="49">
        <f t="shared" si="47"/>
        <v>0</v>
      </c>
      <c r="CA73" s="50"/>
      <c r="CB73" s="51">
        <f t="shared" si="48"/>
        <v>37712</v>
      </c>
      <c r="CC73" s="50">
        <f t="shared" si="49"/>
        <v>0</v>
      </c>
      <c r="CD73" s="52">
        <f t="shared" si="58"/>
        <v>720</v>
      </c>
      <c r="CE73" s="50">
        <f t="shared" si="59"/>
        <v>240</v>
      </c>
      <c r="CF73" s="50">
        <f t="shared" si="60"/>
        <v>64</v>
      </c>
      <c r="CG73" s="50">
        <f t="shared" si="72"/>
        <v>0.95803306116837317</v>
      </c>
      <c r="CH73" s="53">
        <f t="shared" si="61"/>
        <v>0</v>
      </c>
      <c r="CI73" s="53">
        <f t="shared" si="62"/>
        <v>0</v>
      </c>
      <c r="CJ73" s="53">
        <f t="shared" si="63"/>
        <v>0</v>
      </c>
      <c r="CK73" s="53">
        <f t="shared" si="64"/>
        <v>0</v>
      </c>
      <c r="CL73" s="25">
        <f t="shared" si="51"/>
        <v>0</v>
      </c>
      <c r="CN73" s="29">
        <f>([4]EnergyCurve!$L51*CE73+[4]EnergyCurve!$AD51*CF73)/(CE73+CF73)</f>
        <v>30.97905871091799</v>
      </c>
      <c r="DI73" s="25">
        <f t="shared" si="22"/>
        <v>5</v>
      </c>
      <c r="DJ73" s="54">
        <f>[4]EnergyCurve!$D95</f>
        <v>39052</v>
      </c>
      <c r="DK73" s="30">
        <f t="shared" si="37"/>
        <v>25</v>
      </c>
      <c r="DL73" s="30">
        <f t="shared" si="38"/>
        <v>20</v>
      </c>
      <c r="DM73" s="233">
        <v>38718</v>
      </c>
      <c r="DN73" s="154">
        <v>21</v>
      </c>
      <c r="DO73" s="155">
        <v>4</v>
      </c>
      <c r="DP73" s="155">
        <v>5</v>
      </c>
      <c r="DQ73" s="155">
        <v>1</v>
      </c>
      <c r="DR73" s="154">
        <v>31</v>
      </c>
      <c r="DS73" s="55"/>
      <c r="DT73" s="55"/>
      <c r="DU73" s="233">
        <v>38718</v>
      </c>
      <c r="DV73" s="154">
        <v>21</v>
      </c>
      <c r="DW73" s="155">
        <v>4</v>
      </c>
      <c r="DX73" s="155">
        <v>5</v>
      </c>
      <c r="DY73" s="155">
        <v>1</v>
      </c>
      <c r="DZ73" s="154">
        <v>31</v>
      </c>
      <c r="EA73" s="55"/>
      <c r="EB73" s="55"/>
      <c r="EQ73" s="54"/>
      <c r="ER73" s="190"/>
      <c r="ES73" s="167"/>
      <c r="ET73" s="167"/>
    </row>
    <row r="74" spans="1:150" ht="15.75" customHeight="1" x14ac:dyDescent="0.25">
      <c r="A74" s="98">
        <f t="shared" si="52"/>
        <v>37742</v>
      </c>
      <c r="B74" s="99">
        <f>[4]EnergyCurve!$P52+[4]EnergyCurve!$R52+B30</f>
        <v>429451.54296875</v>
      </c>
      <c r="C74" s="90">
        <f t="shared" si="39"/>
        <v>604.49535452333078</v>
      </c>
      <c r="D74" s="89">
        <f t="shared" si="40"/>
        <v>0</v>
      </c>
      <c r="E74" s="90">
        <f t="shared" si="53"/>
        <v>429451.54296875</v>
      </c>
      <c r="F74" s="117">
        <f t="shared" si="54"/>
        <v>604.49535452333078</v>
      </c>
      <c r="G74" s="91">
        <f>([4]EnergyCurve!$J52*CE74+[4]EnergyCurve!$AB52*CF74+G30*CD30)/CD74</f>
        <v>41.411951926446733</v>
      </c>
      <c r="H74" s="91">
        <f t="shared" si="55"/>
        <v>-1.2454218863412905</v>
      </c>
      <c r="I74" s="121">
        <f>([4]EnergyCurve!$L52*CE74+[4]EnergyCurve!$AD52*CF74+I30*CD30)/CD74</f>
        <v>40.166530040105442</v>
      </c>
      <c r="J74" s="99">
        <f>[4]EnergyCurve!$T52</f>
        <v>-534700.78909193189</v>
      </c>
      <c r="K74" s="92">
        <f t="shared" si="56"/>
        <v>0</v>
      </c>
      <c r="L74" s="92">
        <f t="shared" si="41"/>
        <v>-534700.78909193189</v>
      </c>
      <c r="M74" s="214"/>
      <c r="N74" s="78">
        <f t="shared" si="42"/>
        <v>37742</v>
      </c>
      <c r="O74" s="114">
        <v>30</v>
      </c>
      <c r="P74" s="114">
        <v>30</v>
      </c>
      <c r="Q74" s="105">
        <f t="shared" si="65"/>
        <v>-11.411951926446733</v>
      </c>
      <c r="R74" s="372"/>
      <c r="S74" s="217">
        <f t="shared" si="43"/>
        <v>40.166530040105442</v>
      </c>
      <c r="T74" s="46">
        <f t="shared" si="73"/>
        <v>2002</v>
      </c>
      <c r="U74" s="45">
        <f t="shared" si="74"/>
        <v>4</v>
      </c>
      <c r="V74" s="304"/>
      <c r="W74" s="304"/>
      <c r="X74" s="304"/>
      <c r="Y74" s="300"/>
      <c r="Z74" s="301"/>
      <c r="AA74" s="302"/>
      <c r="AB74" s="303"/>
      <c r="AC74" s="303"/>
      <c r="AD74" s="303"/>
      <c r="AE74" s="71"/>
      <c r="AF74" s="69"/>
      <c r="AG74" s="69"/>
      <c r="AH74" s="69"/>
      <c r="AI74" s="69"/>
      <c r="AJ74" s="47">
        <f t="shared" si="45"/>
        <v>37742</v>
      </c>
      <c r="AK74" s="1"/>
      <c r="AL74" s="2"/>
      <c r="AM74" s="1"/>
      <c r="AN74" s="2"/>
      <c r="AO74" s="1"/>
      <c r="AP74" s="2"/>
      <c r="AQ74" s="1"/>
      <c r="AR74" s="2"/>
      <c r="AS74" s="1"/>
      <c r="AT74" s="2"/>
      <c r="AU74" s="1"/>
      <c r="AV74" s="2"/>
      <c r="AW74" s="1"/>
      <c r="AX74" s="2"/>
      <c r="AY74" s="1"/>
      <c r="AZ74" s="2"/>
      <c r="BA74" s="1"/>
      <c r="BB74" s="2"/>
      <c r="BC74" s="1"/>
      <c r="BD74" s="2"/>
      <c r="BE74" s="1"/>
      <c r="BF74" s="2"/>
      <c r="BG74" s="1"/>
      <c r="BH74" s="2"/>
      <c r="BI74" s="1"/>
      <c r="BJ74" s="2"/>
      <c r="BK74" s="1"/>
      <c r="BL74" s="2"/>
      <c r="BM74" s="1"/>
      <c r="BN74" s="2"/>
      <c r="BO74" s="1"/>
      <c r="BP74" s="2"/>
      <c r="BQ74" s="1"/>
      <c r="BR74" s="2"/>
      <c r="BS74" s="1"/>
      <c r="BT74" s="2"/>
      <c r="BU74" s="1"/>
      <c r="BV74" s="2"/>
      <c r="BW74" s="1"/>
      <c r="BX74" s="2"/>
      <c r="BY74" s="48">
        <f t="shared" si="46"/>
        <v>0</v>
      </c>
      <c r="BZ74" s="49">
        <f t="shared" si="47"/>
        <v>0</v>
      </c>
      <c r="CA74" s="50"/>
      <c r="CB74" s="51">
        <f t="shared" si="48"/>
        <v>37742</v>
      </c>
      <c r="CC74" s="50">
        <f t="shared" si="49"/>
        <v>0</v>
      </c>
      <c r="CD74" s="52">
        <f t="shared" si="58"/>
        <v>744</v>
      </c>
      <c r="CE74" s="50">
        <f t="shared" si="59"/>
        <v>248</v>
      </c>
      <c r="CF74" s="50">
        <f t="shared" si="60"/>
        <v>80</v>
      </c>
      <c r="CG74" s="50">
        <f t="shared" si="72"/>
        <v>0.95487882826390569</v>
      </c>
      <c r="CH74" s="53">
        <f t="shared" si="61"/>
        <v>0</v>
      </c>
      <c r="CI74" s="53">
        <f t="shared" si="62"/>
        <v>0</v>
      </c>
      <c r="CJ74" s="53">
        <f t="shared" si="63"/>
        <v>0</v>
      </c>
      <c r="CK74" s="53">
        <f t="shared" si="64"/>
        <v>0</v>
      </c>
      <c r="CL74" s="25">
        <f t="shared" si="51"/>
        <v>0</v>
      </c>
      <c r="CN74" s="29">
        <f>([4]EnergyCurve!$L52*CE74+[4]EnergyCurve!$AD52*CF74)/(CE74+CF74)</f>
        <v>31.431249137050013</v>
      </c>
      <c r="DI74" s="25">
        <f t="shared" si="22"/>
        <v>4</v>
      </c>
      <c r="DJ74" s="54">
        <f>[4]EnergyCurve!$D96</f>
        <v>39083</v>
      </c>
      <c r="DK74" s="30">
        <f t="shared" si="37"/>
        <v>26</v>
      </c>
      <c r="DL74" s="30">
        <f t="shared" si="38"/>
        <v>22</v>
      </c>
      <c r="DM74" s="233">
        <v>38749</v>
      </c>
      <c r="DN74" s="154">
        <v>19</v>
      </c>
      <c r="DO74" s="155">
        <v>4</v>
      </c>
      <c r="DP74" s="155">
        <v>4</v>
      </c>
      <c r="DQ74" s="155">
        <v>1</v>
      </c>
      <c r="DR74" s="154">
        <v>28</v>
      </c>
      <c r="DS74" s="55"/>
      <c r="DT74" s="55"/>
      <c r="DU74" s="233">
        <v>38749</v>
      </c>
      <c r="DV74" s="154">
        <v>20</v>
      </c>
      <c r="DW74" s="155">
        <v>4</v>
      </c>
      <c r="DX74" s="155">
        <v>4</v>
      </c>
      <c r="DY74" s="155">
        <v>0</v>
      </c>
      <c r="DZ74" s="154">
        <v>28</v>
      </c>
      <c r="EA74" s="55"/>
      <c r="EB74" s="55"/>
      <c r="EQ74" s="54"/>
      <c r="ER74" s="190"/>
      <c r="ES74" s="167"/>
      <c r="ET74" s="167"/>
    </row>
    <row r="75" spans="1:150" ht="18" x14ac:dyDescent="0.25">
      <c r="A75" s="100">
        <f t="shared" si="52"/>
        <v>37773</v>
      </c>
      <c r="B75" s="101">
        <f>[4]EnergyCurve!$P53+[4]EnergyCurve!$R53+B31</f>
        <v>414054.703125</v>
      </c>
      <c r="C75" s="86">
        <f t="shared" si="39"/>
        <v>604.268447703417</v>
      </c>
      <c r="D75" s="86">
        <f t="shared" si="40"/>
        <v>0</v>
      </c>
      <c r="E75" s="85">
        <f t="shared" si="53"/>
        <v>414054.703125</v>
      </c>
      <c r="F75" s="118">
        <f t="shared" si="54"/>
        <v>604.268447703417</v>
      </c>
      <c r="G75" s="87">
        <f>([4]EnergyCurve!$J53*CE75+[4]EnergyCurve!$AB53*CF75+G31*CD31)/CD75</f>
        <v>41.679425854153102</v>
      </c>
      <c r="H75" s="87">
        <f t="shared" si="55"/>
        <v>-1.2439036740331488</v>
      </c>
      <c r="I75" s="82">
        <f>([4]EnergyCurve!$L53*CE75+[4]EnergyCurve!$AD53*CF75+I31*CD31)/CD75</f>
        <v>40.435522180119953</v>
      </c>
      <c r="J75" s="85">
        <f>[4]EnergyCurve!$T53</f>
        <v>-514900.78389834362</v>
      </c>
      <c r="K75" s="88">
        <f t="shared" si="56"/>
        <v>0</v>
      </c>
      <c r="L75" s="88">
        <f t="shared" si="41"/>
        <v>-514900.78389834362</v>
      </c>
      <c r="M75" s="214"/>
      <c r="N75" s="78">
        <f t="shared" si="42"/>
        <v>37773</v>
      </c>
      <c r="O75" s="114">
        <v>25.25</v>
      </c>
      <c r="P75" s="114">
        <v>25.25</v>
      </c>
      <c r="Q75" s="105">
        <f t="shared" si="65"/>
        <v>-16.429425854153102</v>
      </c>
      <c r="R75" s="372"/>
      <c r="S75" s="217">
        <f t="shared" si="43"/>
        <v>40.435522180119953</v>
      </c>
      <c r="T75" s="46">
        <f t="shared" si="73"/>
        <v>2003</v>
      </c>
      <c r="U75" s="45">
        <f t="shared" si="74"/>
        <v>1</v>
      </c>
      <c r="V75" s="304"/>
      <c r="W75" s="304"/>
      <c r="X75" s="304"/>
      <c r="Y75" s="71"/>
      <c r="Z75" s="301"/>
      <c r="AA75" s="305"/>
      <c r="AB75" s="304"/>
      <c r="AC75" s="304"/>
      <c r="AD75" s="304"/>
      <c r="AE75" s="71"/>
      <c r="AF75" s="69"/>
      <c r="AG75" s="69"/>
      <c r="AH75" s="69"/>
      <c r="AI75" s="69"/>
      <c r="AJ75" s="47">
        <f t="shared" si="45"/>
        <v>37773</v>
      </c>
      <c r="AK75" s="1"/>
      <c r="AL75" s="2"/>
      <c r="AM75" s="1"/>
      <c r="AN75" s="2"/>
      <c r="AO75" s="1"/>
      <c r="AP75" s="2"/>
      <c r="AQ75" s="1"/>
      <c r="AR75" s="2"/>
      <c r="AS75" s="1"/>
      <c r="AT75" s="2"/>
      <c r="AU75" s="1"/>
      <c r="AV75" s="2"/>
      <c r="AW75" s="1"/>
      <c r="AX75" s="2"/>
      <c r="AY75" s="1"/>
      <c r="AZ75" s="2"/>
      <c r="BA75" s="1"/>
      <c r="BB75" s="2"/>
      <c r="BC75" s="1"/>
      <c r="BD75" s="2"/>
      <c r="BE75" s="1"/>
      <c r="BF75" s="2"/>
      <c r="BG75" s="1"/>
      <c r="BH75" s="2"/>
      <c r="BI75" s="1"/>
      <c r="BJ75" s="2"/>
      <c r="BK75" s="1"/>
      <c r="BL75" s="2"/>
      <c r="BM75" s="1"/>
      <c r="BN75" s="2"/>
      <c r="BO75" s="1"/>
      <c r="BP75" s="2"/>
      <c r="BQ75" s="1"/>
      <c r="BR75" s="2"/>
      <c r="BS75" s="1"/>
      <c r="BT75" s="2"/>
      <c r="BU75" s="1"/>
      <c r="BV75" s="2"/>
      <c r="BW75" s="1"/>
      <c r="BX75" s="2"/>
      <c r="BY75" s="48">
        <f t="shared" si="46"/>
        <v>0</v>
      </c>
      <c r="BZ75" s="49">
        <f t="shared" si="47"/>
        <v>0</v>
      </c>
      <c r="CA75" s="50"/>
      <c r="CB75" s="51">
        <f t="shared" si="48"/>
        <v>37773</v>
      </c>
      <c r="CC75" s="50">
        <f t="shared" si="49"/>
        <v>0</v>
      </c>
      <c r="CD75" s="52">
        <f t="shared" si="58"/>
        <v>720</v>
      </c>
      <c r="CE75" s="50">
        <f t="shared" si="59"/>
        <v>240</v>
      </c>
      <c r="CF75" s="50">
        <f t="shared" si="60"/>
        <v>80</v>
      </c>
      <c r="CG75" s="50">
        <f t="shared" si="72"/>
        <v>0.95168956570235319</v>
      </c>
      <c r="CH75" s="53">
        <f t="shared" si="61"/>
        <v>0</v>
      </c>
      <c r="CI75" s="53">
        <f t="shared" si="62"/>
        <v>0</v>
      </c>
      <c r="CJ75" s="53">
        <f t="shared" si="63"/>
        <v>0</v>
      </c>
      <c r="CK75" s="53">
        <f t="shared" si="64"/>
        <v>0</v>
      </c>
      <c r="CL75" s="25">
        <f t="shared" si="51"/>
        <v>0</v>
      </c>
      <c r="CN75" s="29">
        <f>([4]EnergyCurve!$L53*CE75+[4]EnergyCurve!$AD53*CF75)/(CE75+CF75)</f>
        <v>31.72400868427842</v>
      </c>
      <c r="DI75" s="25">
        <f t="shared" si="22"/>
        <v>4</v>
      </c>
      <c r="DJ75" s="54">
        <f>[4]EnergyCurve!$D97</f>
        <v>39114</v>
      </c>
      <c r="DK75" s="30">
        <f t="shared" si="37"/>
        <v>24</v>
      </c>
      <c r="DL75" s="30">
        <f t="shared" si="38"/>
        <v>20</v>
      </c>
      <c r="DM75" s="233">
        <v>38777</v>
      </c>
      <c r="DN75" s="154">
        <v>23</v>
      </c>
      <c r="DO75" s="155">
        <v>4</v>
      </c>
      <c r="DP75" s="155">
        <v>4</v>
      </c>
      <c r="DQ75" s="155">
        <v>0</v>
      </c>
      <c r="DR75" s="154">
        <v>31</v>
      </c>
      <c r="DS75" s="55"/>
      <c r="DT75" s="55"/>
      <c r="DU75" s="233">
        <v>38777</v>
      </c>
      <c r="DV75" s="154">
        <v>23</v>
      </c>
      <c r="DW75" s="155">
        <v>4</v>
      </c>
      <c r="DX75" s="155">
        <v>4</v>
      </c>
      <c r="DY75" s="155">
        <v>0</v>
      </c>
      <c r="DZ75" s="154">
        <v>31</v>
      </c>
      <c r="EA75" s="55"/>
      <c r="EB75" s="55"/>
      <c r="EQ75" s="54"/>
      <c r="ER75" s="190"/>
      <c r="ES75" s="167"/>
      <c r="ET75" s="167"/>
    </row>
    <row r="76" spans="1:150" ht="18" x14ac:dyDescent="0.25">
      <c r="A76" s="98">
        <f t="shared" si="52"/>
        <v>37803</v>
      </c>
      <c r="B76" s="99">
        <f>[4]EnergyCurve!$P54+[4]EnergyCurve!$R54+B32</f>
        <v>426032.0859375</v>
      </c>
      <c r="C76" s="90">
        <f t="shared" si="39"/>
        <v>603.7950718396329</v>
      </c>
      <c r="D76" s="89">
        <f t="shared" si="40"/>
        <v>0</v>
      </c>
      <c r="E76" s="90">
        <f t="shared" si="53"/>
        <v>426032.0859375</v>
      </c>
      <c r="F76" s="117">
        <f t="shared" si="54"/>
        <v>603.7950718396329</v>
      </c>
      <c r="G76" s="91">
        <f>([4]EnergyCurve!$J54*CE76+[4]EnergyCurve!$AB54*CF76+G32*CD32)/CD76</f>
        <v>42.036719660605151</v>
      </c>
      <c r="H76" s="91">
        <f t="shared" si="55"/>
        <v>-1.2433079019509918</v>
      </c>
      <c r="I76" s="121">
        <f>([4]EnergyCurve!$L54*CE76+[4]EnergyCurve!$AD54*CF76+I32*CD32)/CD76</f>
        <v>40.793411758654159</v>
      </c>
      <c r="J76" s="99">
        <f>[4]EnergyCurve!$T54</f>
        <v>-529542.32201483683</v>
      </c>
      <c r="K76" s="92">
        <f t="shared" si="56"/>
        <v>0</v>
      </c>
      <c r="L76" s="92">
        <f t="shared" si="41"/>
        <v>-529542.32201483683</v>
      </c>
      <c r="M76" s="214"/>
      <c r="N76" s="78">
        <f t="shared" si="42"/>
        <v>37803</v>
      </c>
      <c r="O76" s="114">
        <v>25.75</v>
      </c>
      <c r="P76" s="114">
        <v>25.75</v>
      </c>
      <c r="Q76" s="105">
        <f t="shared" si="65"/>
        <v>-16.286719660605151</v>
      </c>
      <c r="R76" s="372"/>
      <c r="S76" s="217">
        <f t="shared" si="43"/>
        <v>40.793411758654159</v>
      </c>
      <c r="T76" s="46">
        <f t="shared" si="73"/>
        <v>2003</v>
      </c>
      <c r="U76" s="45">
        <f t="shared" si="74"/>
        <v>2</v>
      </c>
      <c r="V76" s="304"/>
      <c r="W76" s="304"/>
      <c r="X76" s="304"/>
      <c r="Y76" s="71"/>
      <c r="Z76" s="301"/>
      <c r="AA76" s="302"/>
      <c r="AB76" s="303"/>
      <c r="AC76" s="303"/>
      <c r="AD76" s="303"/>
      <c r="AE76" s="71"/>
      <c r="AF76" s="69"/>
      <c r="AG76" s="69"/>
      <c r="AH76" s="69"/>
      <c r="AI76" s="69"/>
      <c r="AJ76" s="47">
        <f t="shared" si="45"/>
        <v>37803</v>
      </c>
      <c r="AK76" s="1"/>
      <c r="AL76" s="2"/>
      <c r="AM76" s="1"/>
      <c r="AN76" s="2"/>
      <c r="AO76" s="1"/>
      <c r="AP76" s="2"/>
      <c r="AQ76" s="1"/>
      <c r="AR76" s="2"/>
      <c r="AS76" s="1"/>
      <c r="AT76" s="2"/>
      <c r="AU76" s="1"/>
      <c r="AV76" s="2"/>
      <c r="AW76" s="1"/>
      <c r="AX76" s="2"/>
      <c r="AY76" s="1"/>
      <c r="AZ76" s="2"/>
      <c r="BA76" s="1"/>
      <c r="BB76" s="2"/>
      <c r="BC76" s="1"/>
      <c r="BD76" s="2"/>
      <c r="BE76" s="1"/>
      <c r="BF76" s="2"/>
      <c r="BG76" s="1"/>
      <c r="BH76" s="2"/>
      <c r="BI76" s="1"/>
      <c r="BJ76" s="2"/>
      <c r="BK76" s="1"/>
      <c r="BL76" s="2"/>
      <c r="BM76" s="1"/>
      <c r="BN76" s="2"/>
      <c r="BO76" s="1"/>
      <c r="BP76" s="2"/>
      <c r="BQ76" s="1"/>
      <c r="BR76" s="2"/>
      <c r="BS76" s="1"/>
      <c r="BT76" s="2"/>
      <c r="BU76" s="1"/>
      <c r="BV76" s="2"/>
      <c r="BW76" s="1"/>
      <c r="BX76" s="2"/>
      <c r="BY76" s="48">
        <f t="shared" si="46"/>
        <v>0</v>
      </c>
      <c r="BZ76" s="49">
        <f t="shared" si="47"/>
        <v>0</v>
      </c>
      <c r="CA76" s="50"/>
      <c r="CB76" s="51">
        <f t="shared" si="48"/>
        <v>37803</v>
      </c>
      <c r="CC76" s="50">
        <f t="shared" si="49"/>
        <v>0</v>
      </c>
      <c r="CD76" s="52">
        <f t="shared" si="58"/>
        <v>744</v>
      </c>
      <c r="CE76" s="50">
        <f t="shared" si="59"/>
        <v>248</v>
      </c>
      <c r="CF76" s="50">
        <f t="shared" si="60"/>
        <v>80</v>
      </c>
      <c r="CG76" s="50">
        <f t="shared" si="72"/>
        <v>0.94837437092142907</v>
      </c>
      <c r="CH76" s="53">
        <f t="shared" si="61"/>
        <v>0</v>
      </c>
      <c r="CI76" s="53">
        <f t="shared" si="62"/>
        <v>0</v>
      </c>
      <c r="CJ76" s="53">
        <f t="shared" si="63"/>
        <v>0</v>
      </c>
      <c r="CK76" s="53">
        <f t="shared" si="64"/>
        <v>0</v>
      </c>
      <c r="CL76" s="25">
        <f t="shared" si="51"/>
        <v>0</v>
      </c>
      <c r="CN76" s="29">
        <f>([4]EnergyCurve!$L54*CE76+[4]EnergyCurve!$AD54*CF76)/(CE76+CF76)</f>
        <v>31.902574533972928</v>
      </c>
      <c r="DI76" s="25">
        <f t="shared" si="22"/>
        <v>5</v>
      </c>
      <c r="DJ76" s="54">
        <f>[4]EnergyCurve!$D98</f>
        <v>39142</v>
      </c>
      <c r="DK76" s="30">
        <f>IF($L$6=0,VLOOKUP(DJ76,$DM$13:$DQ$252,2)+VLOOKUP(DJ76,$DU$13:$DY$252,3),VLOOKUP(DJ76,$DU$13:$DY$252,2)+VLOOKUP(DJ76,$DU$13:$DY$252,3))</f>
        <v>27</v>
      </c>
      <c r="DL76" s="30">
        <f t="shared" si="38"/>
        <v>22</v>
      </c>
      <c r="DM76" s="233">
        <v>38808</v>
      </c>
      <c r="DN76" s="154">
        <v>19</v>
      </c>
      <c r="DO76" s="155">
        <v>5</v>
      </c>
      <c r="DP76" s="155">
        <v>5</v>
      </c>
      <c r="DQ76" s="155">
        <v>1</v>
      </c>
      <c r="DR76" s="154">
        <v>30</v>
      </c>
      <c r="DS76" s="55"/>
      <c r="DT76" s="55"/>
      <c r="DU76" s="233">
        <v>38808</v>
      </c>
      <c r="DV76" s="154">
        <v>20</v>
      </c>
      <c r="DW76" s="155">
        <v>5</v>
      </c>
      <c r="DX76" s="155">
        <v>5</v>
      </c>
      <c r="DY76" s="155">
        <v>0</v>
      </c>
      <c r="DZ76" s="154">
        <v>30</v>
      </c>
      <c r="EA76" s="55"/>
      <c r="EB76" s="55"/>
      <c r="EQ76" s="54"/>
      <c r="ER76" s="190"/>
      <c r="ES76" s="167"/>
      <c r="ET76" s="167"/>
    </row>
    <row r="77" spans="1:150" ht="18.75" thickBot="1" x14ac:dyDescent="0.3">
      <c r="A77" s="107">
        <f t="shared" si="52"/>
        <v>37834</v>
      </c>
      <c r="B77" s="108">
        <f>[4]EnergyCurve!$P55+[4]EnergyCurve!$R55+B33</f>
        <v>424625.359375</v>
      </c>
      <c r="C77" s="109">
        <f t="shared" si="39"/>
        <v>603.98412984889399</v>
      </c>
      <c r="D77" s="109">
        <f t="shared" si="40"/>
        <v>0</v>
      </c>
      <c r="E77" s="110">
        <f t="shared" si="53"/>
        <v>424625.359375</v>
      </c>
      <c r="F77" s="119">
        <f t="shared" si="54"/>
        <v>603.98412984889399</v>
      </c>
      <c r="G77" s="111">
        <f>([4]EnergyCurve!$J55*CE77+[4]EnergyCurve!$AB55*CF77+G33*CD33)/CD77</f>
        <v>42.436918750885994</v>
      </c>
      <c r="H77" s="111">
        <f t="shared" si="55"/>
        <v>-1.2415413436083043</v>
      </c>
      <c r="I77" s="122">
        <f>([4]EnergyCurve!$L55*CE77+[4]EnergyCurve!$AD55*CF77+I33*CD33)/CD77</f>
        <v>41.195377407277689</v>
      </c>
      <c r="J77" s="110">
        <f>[4]EnergyCurve!$T55</f>
        <v>-527047.95880738134</v>
      </c>
      <c r="K77" s="112">
        <f t="shared" si="56"/>
        <v>0</v>
      </c>
      <c r="L77" s="112">
        <f t="shared" si="41"/>
        <v>-527047.95880738134</v>
      </c>
      <c r="M77" s="214"/>
      <c r="N77" s="65">
        <f t="shared" si="42"/>
        <v>37834</v>
      </c>
      <c r="O77" s="115">
        <v>29.5</v>
      </c>
      <c r="P77" s="115">
        <v>29.5</v>
      </c>
      <c r="Q77" s="106">
        <f>AVERAGE(O77:P77)-G77</f>
        <v>-12.936918750885994</v>
      </c>
      <c r="R77" s="106"/>
      <c r="S77" s="219">
        <f t="shared" si="43"/>
        <v>41.195377407277689</v>
      </c>
      <c r="T77" s="46">
        <f t="shared" si="73"/>
        <v>2003</v>
      </c>
      <c r="U77" s="45">
        <f t="shared" si="74"/>
        <v>3</v>
      </c>
      <c r="V77" s="304"/>
      <c r="W77" s="304"/>
      <c r="X77" s="304"/>
      <c r="Y77" s="71"/>
      <c r="Z77" s="301"/>
      <c r="AA77" s="305"/>
      <c r="AB77" s="304"/>
      <c r="AC77" s="304"/>
      <c r="AD77" s="304"/>
      <c r="AE77" s="71"/>
      <c r="AF77" s="69"/>
      <c r="AG77" s="69"/>
      <c r="AH77" s="69"/>
      <c r="AI77" s="69"/>
      <c r="AJ77" s="47">
        <f t="shared" si="45"/>
        <v>37834</v>
      </c>
      <c r="AK77" s="1"/>
      <c r="AL77" s="2"/>
      <c r="AM77" s="1"/>
      <c r="AN77" s="2"/>
      <c r="AO77" s="1"/>
      <c r="AP77" s="2"/>
      <c r="AQ77" s="1"/>
      <c r="AR77" s="2"/>
      <c r="AS77" s="1"/>
      <c r="AT77" s="2"/>
      <c r="AU77" s="1"/>
      <c r="AV77" s="2"/>
      <c r="AW77" s="1"/>
      <c r="AX77" s="2"/>
      <c r="AY77" s="1"/>
      <c r="AZ77" s="2"/>
      <c r="BA77" s="1"/>
      <c r="BB77" s="2"/>
      <c r="BC77" s="1"/>
      <c r="BD77" s="2"/>
      <c r="BE77" s="1"/>
      <c r="BF77" s="2"/>
      <c r="BG77" s="1"/>
      <c r="BH77" s="2"/>
      <c r="BI77" s="1"/>
      <c r="BJ77" s="2"/>
      <c r="BK77" s="1"/>
      <c r="BL77" s="2"/>
      <c r="BM77" s="1"/>
      <c r="BN77" s="2"/>
      <c r="BO77" s="1"/>
      <c r="BP77" s="2"/>
      <c r="BQ77" s="1"/>
      <c r="BR77" s="2"/>
      <c r="BS77" s="1"/>
      <c r="BT77" s="2"/>
      <c r="BU77" s="1"/>
      <c r="BV77" s="2"/>
      <c r="BW77" s="1"/>
      <c r="BX77" s="2"/>
      <c r="BY77" s="48">
        <f t="shared" si="46"/>
        <v>0</v>
      </c>
      <c r="BZ77" s="49">
        <f t="shared" si="47"/>
        <v>0</v>
      </c>
      <c r="CA77" s="50"/>
      <c r="CB77" s="51">
        <f t="shared" si="48"/>
        <v>37834</v>
      </c>
      <c r="CC77" s="50">
        <f t="shared" si="49"/>
        <v>0</v>
      </c>
      <c r="CD77" s="52">
        <f t="shared" si="58"/>
        <v>744</v>
      </c>
      <c r="CE77" s="50">
        <f t="shared" si="59"/>
        <v>248</v>
      </c>
      <c r="CF77" s="50">
        <f t="shared" si="60"/>
        <v>80</v>
      </c>
      <c r="CG77" s="50">
        <f t="shared" si="72"/>
        <v>0.94494703040528838</v>
      </c>
      <c r="CH77" s="53">
        <f t="shared" si="61"/>
        <v>0</v>
      </c>
      <c r="CI77" s="53">
        <f t="shared" si="62"/>
        <v>0</v>
      </c>
      <c r="CJ77" s="53">
        <f t="shared" si="63"/>
        <v>0</v>
      </c>
      <c r="CK77" s="53">
        <f t="shared" si="64"/>
        <v>0</v>
      </c>
      <c r="CL77" s="25">
        <f t="shared" si="51"/>
        <v>0</v>
      </c>
      <c r="CN77" s="29">
        <f>([4]EnergyCurve!$L55*CE77+[4]EnergyCurve!$AD55*CF77)/(CE77+CF77)</f>
        <v>32.236346263670107</v>
      </c>
      <c r="DI77" s="25">
        <f t="shared" si="22"/>
        <v>4</v>
      </c>
      <c r="DJ77" s="54">
        <f>[4]EnergyCurve!$D99</f>
        <v>39173</v>
      </c>
      <c r="DK77" s="30">
        <f>IF($L$6=0,VLOOKUP(DJ77,$DM$13:$DQ$252,2)+VLOOKUP(DJ77,$DU$13:$DY$252,3),VLOOKUP(DJ77,$DU$13:$DY$252,2)+VLOOKUP(DJ77,$DU$13:$DY$252,3))</f>
        <v>25</v>
      </c>
      <c r="DL77" s="30">
        <f t="shared" si="38"/>
        <v>21</v>
      </c>
      <c r="DM77" s="233">
        <v>38838</v>
      </c>
      <c r="DN77" s="154">
        <v>22</v>
      </c>
      <c r="DO77" s="155">
        <v>4</v>
      </c>
      <c r="DP77" s="155">
        <v>4</v>
      </c>
      <c r="DQ77" s="155">
        <v>1</v>
      </c>
      <c r="DR77" s="154">
        <v>31</v>
      </c>
      <c r="DS77" s="55"/>
      <c r="DT77" s="55"/>
      <c r="DU77" s="233">
        <v>38838</v>
      </c>
      <c r="DV77" s="154">
        <v>22</v>
      </c>
      <c r="DW77" s="155">
        <v>4</v>
      </c>
      <c r="DX77" s="155">
        <v>4</v>
      </c>
      <c r="DY77" s="155">
        <v>1</v>
      </c>
      <c r="DZ77" s="154">
        <v>31</v>
      </c>
      <c r="EA77" s="55"/>
      <c r="EB77" s="55"/>
      <c r="EQ77" s="54"/>
      <c r="ER77" s="190"/>
      <c r="ES77" s="167"/>
      <c r="ET77" s="167"/>
    </row>
    <row r="78" spans="1:150" ht="18.75" thickBot="1" x14ac:dyDescent="0.3">
      <c r="A78" s="56">
        <f t="shared" si="52"/>
        <v>37865</v>
      </c>
      <c r="B78" s="93">
        <f>[4]EnergyCurve!$P56+[4]EnergyCurve!$R56+B34</f>
        <v>409697.6328125</v>
      </c>
      <c r="C78" s="94">
        <f t="shared" si="39"/>
        <v>604.36866396003666</v>
      </c>
      <c r="D78" s="94">
        <f t="shared" si="40"/>
        <v>0</v>
      </c>
      <c r="E78" s="93">
        <f t="shared" si="53"/>
        <v>409697.6328125</v>
      </c>
      <c r="F78" s="120">
        <f t="shared" si="54"/>
        <v>604.36866396003666</v>
      </c>
      <c r="G78" s="95">
        <f>([4]EnergyCurve!$J56*CE78+[4]EnergyCurve!$AB56*CF78+G34*CD34)/CD78</f>
        <v>42.437060970730251</v>
      </c>
      <c r="H78" s="95">
        <f>[4]EnergyCurve!$K56</f>
        <v>-0.82262526565818561</v>
      </c>
      <c r="I78" s="83">
        <f>([4]EnergyCurve!$L56*CE78+[4]EnergyCurve!$AD56*CF78+I34*CD34)/CD78</f>
        <v>41.262716790463045</v>
      </c>
      <c r="J78" s="93">
        <f>[4]EnergyCurve!$T56</f>
        <v>-481024.65258586255</v>
      </c>
      <c r="K78" s="96">
        <f t="shared" si="56"/>
        <v>0</v>
      </c>
      <c r="L78" s="97">
        <f t="shared" si="41"/>
        <v>-481024.65258586255</v>
      </c>
      <c r="M78" s="69"/>
      <c r="N78"/>
      <c r="O78"/>
      <c r="P78"/>
      <c r="Q78"/>
      <c r="R78" s="69"/>
      <c r="S78" s="45"/>
      <c r="T78" s="46">
        <f t="shared" si="73"/>
        <v>2003</v>
      </c>
      <c r="U78" s="45">
        <f t="shared" si="74"/>
        <v>4</v>
      </c>
      <c r="V78" s="304"/>
      <c r="W78" s="304"/>
      <c r="X78" s="304"/>
      <c r="Y78" s="71"/>
      <c r="Z78" s="301"/>
      <c r="AA78" s="302"/>
      <c r="AB78" s="303"/>
      <c r="AC78" s="303"/>
      <c r="AD78" s="303"/>
      <c r="AE78" s="71"/>
      <c r="AF78" s="69"/>
      <c r="AG78" s="69"/>
      <c r="AH78" s="69"/>
      <c r="AI78" s="69"/>
      <c r="AJ78" s="47">
        <f t="shared" si="45"/>
        <v>37865</v>
      </c>
      <c r="AK78" s="1"/>
      <c r="AL78" s="2"/>
      <c r="AM78" s="1"/>
      <c r="AN78" s="2"/>
      <c r="AO78" s="1"/>
      <c r="AP78" s="2"/>
      <c r="AQ78" s="1"/>
      <c r="AR78" s="2"/>
      <c r="AS78" s="1"/>
      <c r="AT78" s="2"/>
      <c r="AU78" s="1"/>
      <c r="AV78" s="2"/>
      <c r="AW78" s="1"/>
      <c r="AX78" s="2"/>
      <c r="AY78" s="1"/>
      <c r="AZ78" s="2"/>
      <c r="BA78" s="1"/>
      <c r="BB78" s="2"/>
      <c r="BC78" s="1"/>
      <c r="BD78" s="2"/>
      <c r="BE78" s="1"/>
      <c r="BF78" s="2"/>
      <c r="BG78" s="1"/>
      <c r="BH78" s="2"/>
      <c r="BI78" s="1"/>
      <c r="BJ78" s="2"/>
      <c r="BK78" s="1"/>
      <c r="BL78" s="2"/>
      <c r="BM78" s="1"/>
      <c r="BN78" s="2"/>
      <c r="BO78" s="1"/>
      <c r="BP78" s="2"/>
      <c r="BQ78" s="1"/>
      <c r="BR78" s="2"/>
      <c r="BS78" s="1"/>
      <c r="BT78" s="2"/>
      <c r="BU78" s="1"/>
      <c r="BV78" s="2"/>
      <c r="BW78" s="1"/>
      <c r="BX78" s="2"/>
      <c r="BY78" s="48">
        <f t="shared" si="46"/>
        <v>0</v>
      </c>
      <c r="BZ78" s="49">
        <f t="shared" si="47"/>
        <v>0</v>
      </c>
      <c r="CA78" s="50"/>
      <c r="CB78" s="51">
        <f t="shared" si="48"/>
        <v>37865</v>
      </c>
      <c r="CC78" s="50">
        <f t="shared" si="49"/>
        <v>0</v>
      </c>
      <c r="CD78" s="52">
        <f t="shared" si="58"/>
        <v>720</v>
      </c>
      <c r="CE78" s="50">
        <f t="shared" si="59"/>
        <v>240</v>
      </c>
      <c r="CF78" s="50">
        <f t="shared" si="60"/>
        <v>80</v>
      </c>
      <c r="CG78" s="50">
        <f t="shared" si="72"/>
        <v>0.94151885090949605</v>
      </c>
      <c r="CH78" s="53">
        <f t="shared" si="61"/>
        <v>0</v>
      </c>
      <c r="CI78" s="53">
        <f t="shared" si="62"/>
        <v>0</v>
      </c>
      <c r="CJ78" s="53">
        <f t="shared" si="63"/>
        <v>0</v>
      </c>
      <c r="CK78" s="53">
        <f t="shared" si="64"/>
        <v>0</v>
      </c>
      <c r="CL78" s="25">
        <f t="shared" si="51"/>
        <v>0</v>
      </c>
      <c r="CN78" s="29">
        <f>([4]EnergyCurve!$L56*CE78+[4]EnergyCurve!$AD56*CF78)/(CE78+CF78)</f>
        <v>32.372990757150333</v>
      </c>
      <c r="DM78" s="233">
        <v>38869</v>
      </c>
      <c r="DN78" s="154">
        <v>22</v>
      </c>
      <c r="DO78" s="155">
        <v>4</v>
      </c>
      <c r="DP78" s="155">
        <v>4</v>
      </c>
      <c r="DQ78" s="155">
        <v>0</v>
      </c>
      <c r="DR78" s="154">
        <v>30</v>
      </c>
      <c r="DS78" s="55"/>
      <c r="DT78" s="55"/>
      <c r="DU78" s="233">
        <v>38869</v>
      </c>
      <c r="DV78" s="154">
        <v>22</v>
      </c>
      <c r="DW78" s="155">
        <v>4</v>
      </c>
      <c r="DX78" s="155">
        <v>4</v>
      </c>
      <c r="DY78" s="155">
        <v>0</v>
      </c>
      <c r="DZ78" s="154">
        <v>30</v>
      </c>
      <c r="EA78" s="55"/>
      <c r="EB78" s="55"/>
      <c r="EQ78" s="54"/>
      <c r="ER78" s="190"/>
      <c r="ES78" s="167"/>
      <c r="ET78" s="167"/>
    </row>
    <row r="79" spans="1:150" ht="18" x14ac:dyDescent="0.25">
      <c r="A79" s="56">
        <f t="shared" si="52"/>
        <v>37895</v>
      </c>
      <c r="B79" s="93">
        <f>[4]EnergyCurve!$P57+[4]EnergyCurve!$R57+B35</f>
        <v>421956.28125</v>
      </c>
      <c r="C79" s="94">
        <f t="shared" si="39"/>
        <v>604.65332687765897</v>
      </c>
      <c r="D79" s="94">
        <f t="shared" si="40"/>
        <v>0</v>
      </c>
      <c r="E79" s="93">
        <f t="shared" si="53"/>
        <v>421956.28125</v>
      </c>
      <c r="F79" s="120">
        <f t="shared" si="54"/>
        <v>604.65332687765897</v>
      </c>
      <c r="G79" s="95">
        <f>([4]EnergyCurve!$J57*CE79+[4]EnergyCurve!$AB57*CF79+G35*CD35)/CD79</f>
        <v>42.789807083786172</v>
      </c>
      <c r="H79" s="95">
        <f>[4]EnergyCurve!$K57</f>
        <v>-0.77568048079309548</v>
      </c>
      <c r="I79" s="83">
        <f>([4]EnergyCurve!$L57*CE79+[4]EnergyCurve!$AD57*CF79+I35*CD35)/CD79</f>
        <v>41.67849782297958</v>
      </c>
      <c r="J79" s="93">
        <f>[4]EnergyCurve!$T57</f>
        <v>-468625.1428365563</v>
      </c>
      <c r="K79" s="96">
        <f t="shared" si="56"/>
        <v>0</v>
      </c>
      <c r="L79" s="97">
        <f t="shared" si="41"/>
        <v>-468625.1428365563</v>
      </c>
      <c r="M79" s="69"/>
      <c r="N79" s="156"/>
      <c r="O79" s="185"/>
      <c r="P79" s="185"/>
      <c r="Q79" s="186"/>
      <c r="R79" s="69"/>
      <c r="S79" s="45"/>
      <c r="T79" s="46">
        <f>IF(MONTH(TradeSum!$B$2)&gt;8,YEAR(TradeSum!$B$2)+1,YEAR(TradeSum!$B$2))</f>
        <v>2002</v>
      </c>
      <c r="U79" s="45"/>
      <c r="V79" s="304"/>
      <c r="W79" s="304"/>
      <c r="X79" s="304"/>
      <c r="Y79" s="71"/>
      <c r="Z79" s="301"/>
      <c r="AA79" s="305"/>
      <c r="AB79" s="304"/>
      <c r="AC79" s="304"/>
      <c r="AD79" s="304"/>
      <c r="AE79" s="71"/>
      <c r="AF79" s="69"/>
      <c r="AG79" s="69"/>
      <c r="AH79" s="69"/>
      <c r="AI79" s="69"/>
      <c r="AJ79" s="47">
        <f t="shared" si="45"/>
        <v>37895</v>
      </c>
      <c r="AK79" s="1"/>
      <c r="AL79" s="2"/>
      <c r="AM79" s="1"/>
      <c r="AN79" s="2"/>
      <c r="AO79" s="1"/>
      <c r="AP79" s="2"/>
      <c r="AQ79" s="1"/>
      <c r="AR79" s="2"/>
      <c r="AS79" s="1"/>
      <c r="AT79" s="2"/>
      <c r="AU79" s="1"/>
      <c r="AV79" s="2"/>
      <c r="AW79" s="1"/>
      <c r="AX79" s="2"/>
      <c r="AY79" s="1"/>
      <c r="AZ79" s="2"/>
      <c r="BA79" s="1"/>
      <c r="BB79" s="2"/>
      <c r="BC79" s="1"/>
      <c r="BD79" s="2"/>
      <c r="BE79" s="1"/>
      <c r="BF79" s="2"/>
      <c r="BG79" s="1"/>
      <c r="BH79" s="2"/>
      <c r="BI79" s="1"/>
      <c r="BJ79" s="2"/>
      <c r="BK79" s="1"/>
      <c r="BL79" s="2"/>
      <c r="BM79" s="1"/>
      <c r="BN79" s="2"/>
      <c r="BO79" s="1"/>
      <c r="BP79" s="2"/>
      <c r="BQ79" s="1"/>
      <c r="BR79" s="2"/>
      <c r="BS79" s="1"/>
      <c r="BT79" s="2"/>
      <c r="BU79" s="1"/>
      <c r="BV79" s="2"/>
      <c r="BW79" s="1"/>
      <c r="BX79" s="2"/>
      <c r="BY79" s="48">
        <f t="shared" si="46"/>
        <v>0</v>
      </c>
      <c r="BZ79" s="49">
        <f t="shared" si="47"/>
        <v>0</v>
      </c>
      <c r="CA79" s="50"/>
      <c r="CB79" s="51">
        <f t="shared" si="48"/>
        <v>37895</v>
      </c>
      <c r="CC79" s="50">
        <f t="shared" si="49"/>
        <v>0</v>
      </c>
      <c r="CD79" s="52">
        <f t="shared" si="58"/>
        <v>744</v>
      </c>
      <c r="CE79" s="50">
        <f t="shared" si="59"/>
        <v>248</v>
      </c>
      <c r="CF79" s="50">
        <f t="shared" si="60"/>
        <v>64</v>
      </c>
      <c r="CG79" s="50">
        <f t="shared" si="72"/>
        <v>0.93796811181569517</v>
      </c>
      <c r="CH79" s="53">
        <f t="shared" si="61"/>
        <v>0</v>
      </c>
      <c r="CI79" s="53">
        <f t="shared" si="62"/>
        <v>0</v>
      </c>
      <c r="CJ79" s="53">
        <f t="shared" si="63"/>
        <v>0</v>
      </c>
      <c r="CK79" s="53">
        <f t="shared" si="64"/>
        <v>0</v>
      </c>
      <c r="CL79" s="25">
        <f t="shared" si="51"/>
        <v>0</v>
      </c>
      <c r="CN79" s="29">
        <f>([4]EnergyCurve!$L57*CE79+[4]EnergyCurve!$AD57*CF79)/(CE79+CF79)</f>
        <v>31.955472050914377</v>
      </c>
      <c r="DM79" s="233">
        <v>38899</v>
      </c>
      <c r="DN79" s="154">
        <v>21</v>
      </c>
      <c r="DO79" s="155">
        <v>4</v>
      </c>
      <c r="DP79" s="155">
        <v>5</v>
      </c>
      <c r="DQ79" s="155">
        <v>1</v>
      </c>
      <c r="DR79" s="154">
        <v>31</v>
      </c>
      <c r="DS79" s="55"/>
      <c r="DT79" s="55"/>
      <c r="DU79" s="233">
        <v>38899</v>
      </c>
      <c r="DV79" s="154">
        <v>20</v>
      </c>
      <c r="DW79" s="155">
        <v>5</v>
      </c>
      <c r="DX79" s="155">
        <v>5</v>
      </c>
      <c r="DY79" s="155">
        <v>1</v>
      </c>
      <c r="DZ79" s="154">
        <v>31</v>
      </c>
      <c r="EA79" s="55"/>
      <c r="EB79" s="55"/>
      <c r="EQ79" s="54"/>
      <c r="ER79" s="190"/>
      <c r="ES79" s="167"/>
      <c r="ET79" s="167"/>
    </row>
    <row r="80" spans="1:150" ht="18.75" thickBot="1" x14ac:dyDescent="0.3">
      <c r="A80" s="56">
        <f t="shared" si="52"/>
        <v>37926</v>
      </c>
      <c r="B80" s="93">
        <f>[4]EnergyCurve!$P58+[4]EnergyCurve!$R58+B36</f>
        <v>407279.546875</v>
      </c>
      <c r="C80" s="94">
        <f t="shared" si="39"/>
        <v>605.35243785352316</v>
      </c>
      <c r="D80" s="94">
        <f t="shared" si="40"/>
        <v>0</v>
      </c>
      <c r="E80" s="93">
        <f t="shared" si="53"/>
        <v>407279.546875</v>
      </c>
      <c r="F80" s="120">
        <f t="shared" si="54"/>
        <v>605.35243785352316</v>
      </c>
      <c r="G80" s="95">
        <f>([4]EnergyCurve!$J58*CE80+[4]EnergyCurve!$AB58*CF80+G36*CD36)/CD80</f>
        <v>44.902153608534071</v>
      </c>
      <c r="H80" s="95">
        <f>[4]EnergyCurve!$K58</f>
        <v>-0.67997856461265016</v>
      </c>
      <c r="I80" s="83">
        <f>([4]EnergyCurve!$L58*CE80+[4]EnergyCurve!$AD58*CF80+I36*CD36)/CD80</f>
        <v>43.935073237620344</v>
      </c>
      <c r="J80" s="93">
        <f>[4]EnergyCurve!$T58</f>
        <v>-393773.39676853619</v>
      </c>
      <c r="K80" s="96">
        <f t="shared" si="56"/>
        <v>0</v>
      </c>
      <c r="L80" s="97">
        <f t="shared" si="41"/>
        <v>-393773.39676853619</v>
      </c>
      <c r="M80" s="69"/>
      <c r="N80" s="159"/>
      <c r="O80" s="187"/>
      <c r="P80" s="115"/>
      <c r="Q80" s="106"/>
      <c r="R80" s="69"/>
      <c r="S80" s="45"/>
      <c r="T80" s="46">
        <f>T79+1</f>
        <v>2003</v>
      </c>
      <c r="U80" s="45"/>
      <c r="V80" s="306"/>
      <c r="W80" s="304"/>
      <c r="X80" s="304"/>
      <c r="Y80" s="71"/>
      <c r="Z80" s="301"/>
      <c r="AA80" s="302"/>
      <c r="AB80" s="303"/>
      <c r="AC80" s="303"/>
      <c r="AD80" s="303"/>
      <c r="AE80" s="71"/>
      <c r="AF80" s="69"/>
      <c r="AG80" s="69"/>
      <c r="AH80" s="69"/>
      <c r="AI80" s="69"/>
      <c r="AJ80" s="47">
        <f t="shared" si="45"/>
        <v>37926</v>
      </c>
      <c r="AK80" s="1"/>
      <c r="AL80" s="2"/>
      <c r="AM80" s="1"/>
      <c r="AN80" s="2"/>
      <c r="AO80" s="1"/>
      <c r="AP80" s="2"/>
      <c r="AQ80" s="1"/>
      <c r="AR80" s="2"/>
      <c r="AS80" s="1"/>
      <c r="AT80" s="2"/>
      <c r="AU80" s="1"/>
      <c r="AV80" s="2"/>
      <c r="AW80" s="1"/>
      <c r="AX80" s="2"/>
      <c r="AY80" s="1"/>
      <c r="AZ80" s="2"/>
      <c r="BA80" s="1"/>
      <c r="BB80" s="2"/>
      <c r="BC80" s="1"/>
      <c r="BD80" s="2"/>
      <c r="BE80" s="1"/>
      <c r="BF80" s="2"/>
      <c r="BG80" s="1"/>
      <c r="BH80" s="2"/>
      <c r="BI80" s="1"/>
      <c r="BJ80" s="2"/>
      <c r="BK80" s="1"/>
      <c r="BL80" s="2"/>
      <c r="BM80" s="1"/>
      <c r="BN80" s="2"/>
      <c r="BO80" s="1"/>
      <c r="BP80" s="2"/>
      <c r="BQ80" s="1"/>
      <c r="BR80" s="2"/>
      <c r="BS80" s="1"/>
      <c r="BT80" s="2"/>
      <c r="BU80" s="1"/>
      <c r="BV80" s="2"/>
      <c r="BW80" s="1"/>
      <c r="BX80" s="2"/>
      <c r="BY80" s="48">
        <f t="shared" si="46"/>
        <v>0</v>
      </c>
      <c r="BZ80" s="49">
        <f t="shared" si="47"/>
        <v>0</v>
      </c>
      <c r="CA80" s="50"/>
      <c r="CB80" s="51">
        <f t="shared" si="48"/>
        <v>37926</v>
      </c>
      <c r="CC80" s="50">
        <f t="shared" si="49"/>
        <v>0</v>
      </c>
      <c r="CD80" s="52">
        <f t="shared" si="58"/>
        <v>720</v>
      </c>
      <c r="CE80" s="50">
        <f t="shared" si="59"/>
        <v>240</v>
      </c>
      <c r="CF80" s="50">
        <f t="shared" si="60"/>
        <v>96</v>
      </c>
      <c r="CG80" s="50">
        <f t="shared" si="72"/>
        <v>0.9344408347179447</v>
      </c>
      <c r="CH80" s="53">
        <f t="shared" si="61"/>
        <v>0</v>
      </c>
      <c r="CI80" s="53">
        <f t="shared" si="62"/>
        <v>0</v>
      </c>
      <c r="CJ80" s="53">
        <f t="shared" si="63"/>
        <v>0</v>
      </c>
      <c r="CK80" s="53">
        <f t="shared" si="64"/>
        <v>0</v>
      </c>
      <c r="CL80" s="25">
        <f t="shared" si="51"/>
        <v>0</v>
      </c>
      <c r="CN80" s="29">
        <f>([4]EnergyCurve!$L58*CE80+[4]EnergyCurve!$AD58*CF80)/(CE80+CF80)</f>
        <v>35.12844471811519</v>
      </c>
      <c r="DJ80" s="54">
        <f>DJ12</f>
        <v>37225</v>
      </c>
      <c r="DK80" s="30">
        <f t="shared" ref="DK80:DK118" si="75">VLOOKUP(DJ80,$DM$13:$DR$252,6)</f>
        <v>30</v>
      </c>
      <c r="DL80" s="30">
        <f t="shared" ref="DL80:DL118" si="76">IF($L$6=0,VLOOKUP(DJ80,$DM$13:$DQ$252,5)+VLOOKUP(DJ80,$DM$13:$DQ$252,4),VLOOKUP(DJ80,$DU$13:$DY$252,5)+VLOOKUP(DJ80,$DU$13:$DY$252,4))</f>
        <v>5</v>
      </c>
      <c r="DM80" s="233">
        <v>38930</v>
      </c>
      <c r="DN80" s="154">
        <v>22</v>
      </c>
      <c r="DO80" s="155">
        <v>4</v>
      </c>
      <c r="DP80" s="155">
        <v>4</v>
      </c>
      <c r="DQ80" s="155">
        <v>1</v>
      </c>
      <c r="DR80" s="154">
        <v>31</v>
      </c>
      <c r="DS80" s="55"/>
      <c r="DT80" s="55"/>
      <c r="DU80" s="233">
        <v>38930</v>
      </c>
      <c r="DV80" s="154">
        <v>23</v>
      </c>
      <c r="DW80" s="155">
        <v>4</v>
      </c>
      <c r="DX80" s="155">
        <v>4</v>
      </c>
      <c r="DY80" s="155">
        <v>0</v>
      </c>
      <c r="DZ80" s="154">
        <v>31</v>
      </c>
      <c r="EA80" s="55"/>
      <c r="EB80" s="55"/>
      <c r="EQ80" s="54"/>
      <c r="ER80" s="190"/>
      <c r="ES80" s="167"/>
      <c r="ET80" s="167"/>
    </row>
    <row r="81" spans="1:150" ht="18" x14ac:dyDescent="0.25">
      <c r="A81" s="56">
        <f t="shared" si="52"/>
        <v>37956</v>
      </c>
      <c r="B81" s="93">
        <f>[4]EnergyCurve!$P59+[4]EnergyCurve!$R59+B37</f>
        <v>419280.25</v>
      </c>
      <c r="C81" s="94">
        <f t="shared" si="39"/>
        <v>605.34651427300514</v>
      </c>
      <c r="D81" s="94">
        <f t="shared" si="40"/>
        <v>0</v>
      </c>
      <c r="E81" s="93">
        <f t="shared" si="53"/>
        <v>419280.25</v>
      </c>
      <c r="F81" s="120">
        <f t="shared" si="54"/>
        <v>605.34651427300514</v>
      </c>
      <c r="G81" s="95">
        <f>([4]EnergyCurve!$J59*CE81+[4]EnergyCurve!$AB59*CF81+G37*CD37)/CD81</f>
        <v>47.044716496621412</v>
      </c>
      <c r="H81" s="95">
        <f>[4]EnergyCurve!$K59</f>
        <v>-0.62986210605128434</v>
      </c>
      <c r="I81" s="83">
        <f>([4]EnergyCurve!$L59*CE81+[4]EnergyCurve!$AD59*CF81+I37*CD37)/CD81</f>
        <v>46.145028725285293</v>
      </c>
      <c r="J81" s="93">
        <f>[4]EnergyCurve!$T59</f>
        <v>-377130.42192921514</v>
      </c>
      <c r="K81" s="96">
        <f t="shared" si="56"/>
        <v>0</v>
      </c>
      <c r="L81" s="97">
        <f t="shared" si="41"/>
        <v>-377130.42192921514</v>
      </c>
      <c r="M81" s="69"/>
      <c r="N81" s="188" t="s">
        <v>56</v>
      </c>
      <c r="O81" s="185" t="e">
        <f>(VLOOKUP(DATE(1999,10,1),$EQ$12:$ET$38,3)+VLOOKUP(DATE(1999,11,1),$EQ$12:$ET$38,3)+VLOOKUP(DATE(1999,12,1),$EQ$12:$ET$38,3))/(VLOOKUP(DATE(1999,10,1),$EQ$12:$ET$38,2)+VLOOKUP(DATE(1999,11,1),$EQ$12:$ET$38,2)+VLOOKUP(DATE(1999,12,1),$EQ$12:$ET$38,2))</f>
        <v>#N/A</v>
      </c>
      <c r="P81" s="84" t="e">
        <f>(VLOOKUP(DATE(1999,10,1),$EQ$12:$ET$38,4)+VLOOKUP(DATE(1999,11,1),$EQ$12:$ET$38,4)+VLOOKUP(DATE(1999,12,1),$EQ$12:$ET$38,4))/(VLOOKUP(DATE(1999,10,1),$EQ$12:$ET$38,2)+VLOOKUP(DATE(1999,11,1),$EQ$12:$ET$38,2)+VLOOKUP(DATE(1999,12,1),$EQ$12:$ET$38,2))</f>
        <v>#N/A</v>
      </c>
      <c r="Q81" s="186"/>
      <c r="R81" s="69"/>
      <c r="S81" s="45"/>
      <c r="T81" s="46">
        <f>T80+1</f>
        <v>2004</v>
      </c>
      <c r="U81" s="45"/>
      <c r="V81" s="306"/>
      <c r="W81" s="304"/>
      <c r="X81" s="304"/>
      <c r="Y81" s="71"/>
      <c r="Z81" s="301"/>
      <c r="AA81" s="305"/>
      <c r="AB81" s="304"/>
      <c r="AC81" s="304"/>
      <c r="AD81" s="304"/>
      <c r="AE81" s="71"/>
      <c r="AF81" s="69"/>
      <c r="AG81" s="69"/>
      <c r="AH81" s="69"/>
      <c r="AI81" s="69"/>
      <c r="AJ81" s="47">
        <f t="shared" si="45"/>
        <v>37956</v>
      </c>
      <c r="AK81" s="1"/>
      <c r="AL81" s="2"/>
      <c r="AM81" s="1"/>
      <c r="AN81" s="2"/>
      <c r="AO81" s="1"/>
      <c r="AP81" s="2"/>
      <c r="AQ81" s="1"/>
      <c r="AR81" s="2"/>
      <c r="AS81" s="1"/>
      <c r="AT81" s="2"/>
      <c r="AU81" s="1"/>
      <c r="AV81" s="2"/>
      <c r="AW81" s="1"/>
      <c r="AX81" s="2"/>
      <c r="AY81" s="1"/>
      <c r="AZ81" s="2"/>
      <c r="BA81" s="1"/>
      <c r="BB81" s="2"/>
      <c r="BC81" s="1"/>
      <c r="BD81" s="2"/>
      <c r="BE81" s="1"/>
      <c r="BF81" s="2"/>
      <c r="BG81" s="1"/>
      <c r="BH81" s="2"/>
      <c r="BI81" s="1"/>
      <c r="BJ81" s="2"/>
      <c r="BK81" s="1"/>
      <c r="BL81" s="2"/>
      <c r="BM81" s="1"/>
      <c r="BN81" s="2"/>
      <c r="BO81" s="1"/>
      <c r="BP81" s="2"/>
      <c r="BQ81" s="1"/>
      <c r="BR81" s="2"/>
      <c r="BS81" s="1"/>
      <c r="BT81" s="2"/>
      <c r="BU81" s="1"/>
      <c r="BV81" s="2"/>
      <c r="BW81" s="1"/>
      <c r="BX81" s="2"/>
      <c r="BY81" s="48">
        <f t="shared" si="46"/>
        <v>0</v>
      </c>
      <c r="BZ81" s="49">
        <f t="shared" si="47"/>
        <v>0</v>
      </c>
      <c r="CA81" s="50"/>
      <c r="CB81" s="51">
        <f t="shared" si="48"/>
        <v>37956</v>
      </c>
      <c r="CC81" s="50">
        <f t="shared" si="49"/>
        <v>0</v>
      </c>
      <c r="CD81" s="52">
        <f t="shared" si="58"/>
        <v>744</v>
      </c>
      <c r="CE81" s="50">
        <f t="shared" si="59"/>
        <v>248</v>
      </c>
      <c r="CF81" s="50">
        <f t="shared" si="60"/>
        <v>80</v>
      </c>
      <c r="CG81" s="50">
        <f t="shared" si="72"/>
        <v>0.93095228902916383</v>
      </c>
      <c r="CH81" s="53">
        <f t="shared" si="61"/>
        <v>0</v>
      </c>
      <c r="CI81" s="53">
        <f t="shared" si="62"/>
        <v>0</v>
      </c>
      <c r="CJ81" s="53">
        <f t="shared" si="63"/>
        <v>0</v>
      </c>
      <c r="CK81" s="53">
        <f t="shared" si="64"/>
        <v>0</v>
      </c>
      <c r="CL81" s="25">
        <f t="shared" si="51"/>
        <v>0</v>
      </c>
      <c r="CN81" s="29">
        <f>([4]EnergyCurve!$L59*CE81+[4]EnergyCurve!$AD59*CF81)/(CE81+CF81)</f>
        <v>36.087817978804537</v>
      </c>
      <c r="DJ81" s="54">
        <f t="shared" ref="DJ81:DJ118" si="77">DJ13</f>
        <v>37226</v>
      </c>
      <c r="DK81" s="30">
        <f t="shared" si="75"/>
        <v>31</v>
      </c>
      <c r="DL81" s="30">
        <f t="shared" si="76"/>
        <v>6</v>
      </c>
      <c r="DM81" s="233">
        <v>38961</v>
      </c>
      <c r="DN81" s="154">
        <v>20</v>
      </c>
      <c r="DO81" s="155">
        <v>5</v>
      </c>
      <c r="DP81" s="155">
        <v>4</v>
      </c>
      <c r="DQ81" s="155">
        <v>1</v>
      </c>
      <c r="DR81" s="154">
        <v>30</v>
      </c>
      <c r="DS81" s="55"/>
      <c r="DT81" s="55"/>
      <c r="DU81" s="233">
        <v>38961</v>
      </c>
      <c r="DV81" s="154">
        <v>20</v>
      </c>
      <c r="DW81" s="155">
        <v>5</v>
      </c>
      <c r="DX81" s="155">
        <v>4</v>
      </c>
      <c r="DY81" s="155">
        <v>1</v>
      </c>
      <c r="DZ81" s="154">
        <v>30</v>
      </c>
      <c r="EA81" s="55"/>
      <c r="EB81" s="55"/>
      <c r="EQ81" s="54"/>
      <c r="ER81" s="190"/>
      <c r="ES81" s="167"/>
      <c r="ET81" s="167"/>
    </row>
    <row r="82" spans="1:150" ht="18.75" thickBot="1" x14ac:dyDescent="0.3">
      <c r="A82" s="56">
        <f t="shared" si="52"/>
        <v>37987</v>
      </c>
      <c r="B82" s="93">
        <f>[4]EnergyCurve!$P60+[4]EnergyCurve!$R60+B38</f>
        <v>282048.708984375</v>
      </c>
      <c r="C82" s="94">
        <f t="shared" si="39"/>
        <v>408.78722715638173</v>
      </c>
      <c r="D82" s="94">
        <f t="shared" si="40"/>
        <v>0</v>
      </c>
      <c r="E82" s="93">
        <f t="shared" si="53"/>
        <v>282048.708984375</v>
      </c>
      <c r="F82" s="120">
        <f t="shared" si="54"/>
        <v>408.78722715638173</v>
      </c>
      <c r="G82" s="95">
        <f>([4]EnergyCurve!$J60*CE82+[4]EnergyCurve!$AB60*CF82+G38*CD38)/CD82</f>
        <v>44.873842957199258</v>
      </c>
      <c r="H82" s="95">
        <f>[4]EnergyCurve!$K60</f>
        <v>-0.53395753176703664</v>
      </c>
      <c r="I82" s="83">
        <f>([4]EnergyCurve!$L60*CE82+[4]EnergyCurve!$AD60*CF82+I38*CD38)/CD82</f>
        <v>44.154319720312593</v>
      </c>
      <c r="J82" s="93">
        <f>[4]EnergyCurve!$T60</f>
        <v>-202875.67273439493</v>
      </c>
      <c r="K82" s="96">
        <f t="shared" si="56"/>
        <v>0</v>
      </c>
      <c r="L82" s="97">
        <f t="shared" si="41"/>
        <v>-202875.67273439493</v>
      </c>
      <c r="M82" s="69"/>
      <c r="N82" s="189" t="s">
        <v>57</v>
      </c>
      <c r="O82" s="187">
        <v>23.5</v>
      </c>
      <c r="P82" s="115">
        <v>24</v>
      </c>
      <c r="Q82" s="106"/>
      <c r="R82" s="69"/>
      <c r="S82" s="69"/>
      <c r="T82" s="69"/>
      <c r="U82" s="69"/>
      <c r="V82" s="307"/>
      <c r="W82" s="308"/>
      <c r="X82" s="308"/>
      <c r="Y82" s="71"/>
      <c r="Z82" s="301"/>
      <c r="AA82" s="302"/>
      <c r="AB82" s="303"/>
      <c r="AC82" s="303"/>
      <c r="AD82" s="303"/>
      <c r="AE82" s="71"/>
      <c r="AF82" s="69"/>
      <c r="AG82" s="69"/>
      <c r="AH82" s="69"/>
      <c r="AI82" s="69"/>
      <c r="AJ82" s="47">
        <f t="shared" si="45"/>
        <v>37987</v>
      </c>
      <c r="AK82" s="1"/>
      <c r="AL82" s="2"/>
      <c r="AM82" s="1"/>
      <c r="AN82" s="2"/>
      <c r="AO82" s="1"/>
      <c r="AP82" s="2"/>
      <c r="AQ82" s="1"/>
      <c r="AR82" s="2"/>
      <c r="AS82" s="1"/>
      <c r="AT82" s="2"/>
      <c r="AU82" s="1"/>
      <c r="AV82" s="2"/>
      <c r="AW82" s="1"/>
      <c r="AX82" s="2"/>
      <c r="AY82" s="1"/>
      <c r="AZ82" s="2"/>
      <c r="BA82" s="1"/>
      <c r="BB82" s="2"/>
      <c r="BC82" s="1"/>
      <c r="BD82" s="2"/>
      <c r="BE82" s="1"/>
      <c r="BF82" s="2"/>
      <c r="BG82" s="1"/>
      <c r="BH82" s="2"/>
      <c r="BI82" s="1"/>
      <c r="BJ82" s="2"/>
      <c r="BK82" s="1"/>
      <c r="BL82" s="2"/>
      <c r="BM82" s="1"/>
      <c r="BN82" s="2"/>
      <c r="BO82" s="1"/>
      <c r="BP82" s="2"/>
      <c r="BQ82" s="1"/>
      <c r="BR82" s="2"/>
      <c r="BS82" s="1"/>
      <c r="BT82" s="2"/>
      <c r="BU82" s="1"/>
      <c r="BV82" s="2"/>
      <c r="BW82" s="1"/>
      <c r="BX82" s="2"/>
      <c r="BY82" s="48">
        <f t="shared" si="46"/>
        <v>0</v>
      </c>
      <c r="BZ82" s="49">
        <f t="shared" si="47"/>
        <v>0</v>
      </c>
      <c r="CB82" s="51">
        <f t="shared" si="48"/>
        <v>37987</v>
      </c>
      <c r="CC82" s="50">
        <f t="shared" si="49"/>
        <v>0</v>
      </c>
      <c r="CD82" s="52">
        <f t="shared" si="58"/>
        <v>744</v>
      </c>
      <c r="CE82" s="50">
        <f t="shared" si="59"/>
        <v>248</v>
      </c>
      <c r="CF82" s="50">
        <f t="shared" si="60"/>
        <v>80</v>
      </c>
      <c r="CG82" s="50">
        <f t="shared" si="72"/>
        <v>0.92737175221111368</v>
      </c>
      <c r="CH82" s="53">
        <f t="shared" si="61"/>
        <v>0</v>
      </c>
      <c r="CI82" s="53">
        <f t="shared" si="62"/>
        <v>0</v>
      </c>
      <c r="CJ82" s="53">
        <f t="shared" si="63"/>
        <v>0</v>
      </c>
      <c r="CK82" s="53">
        <f t="shared" si="64"/>
        <v>0</v>
      </c>
      <c r="CL82" s="25">
        <f t="shared" si="51"/>
        <v>0</v>
      </c>
      <c r="CN82" s="29">
        <f>([4]EnergyCurve!$L60*CE82+[4]EnergyCurve!$AD60*CF82)/(CE82+CF82)</f>
        <v>35.963704239976536</v>
      </c>
      <c r="DJ82" s="54">
        <f t="shared" si="77"/>
        <v>37257</v>
      </c>
      <c r="DK82" s="30">
        <f t="shared" si="75"/>
        <v>31</v>
      </c>
      <c r="DL82" s="30">
        <f t="shared" si="76"/>
        <v>5</v>
      </c>
      <c r="DM82" s="233">
        <v>38991</v>
      </c>
      <c r="DN82" s="154">
        <v>21</v>
      </c>
      <c r="DO82" s="155">
        <v>4</v>
      </c>
      <c r="DP82" s="155">
        <v>5</v>
      </c>
      <c r="DQ82" s="155">
        <v>1</v>
      </c>
      <c r="DR82" s="154">
        <v>31</v>
      </c>
      <c r="DS82" s="55"/>
      <c r="DT82" s="55"/>
      <c r="DU82" s="233">
        <v>38991</v>
      </c>
      <c r="DV82" s="154">
        <v>22</v>
      </c>
      <c r="DW82" s="155">
        <v>4</v>
      </c>
      <c r="DX82" s="155">
        <v>5</v>
      </c>
      <c r="DY82" s="155">
        <v>0</v>
      </c>
      <c r="DZ82" s="154">
        <v>31</v>
      </c>
      <c r="EA82" s="55"/>
      <c r="EB82" s="55"/>
      <c r="EQ82" s="54"/>
      <c r="ER82" s="190"/>
      <c r="ES82" s="167"/>
      <c r="ET82" s="167"/>
    </row>
    <row r="83" spans="1:150" ht="18" x14ac:dyDescent="0.25">
      <c r="A83" s="56">
        <f t="shared" si="52"/>
        <v>38018</v>
      </c>
      <c r="B83" s="93">
        <f>[4]EnergyCurve!$P61+[4]EnergyCurve!$R61+B39</f>
        <v>262684.080078125</v>
      </c>
      <c r="C83" s="94">
        <f t="shared" si="39"/>
        <v>408.50700346586194</v>
      </c>
      <c r="D83" s="94">
        <f t="shared" si="40"/>
        <v>0</v>
      </c>
      <c r="E83" s="93">
        <f t="shared" si="53"/>
        <v>262684.080078125</v>
      </c>
      <c r="F83" s="120">
        <f t="shared" si="54"/>
        <v>408.50700346586194</v>
      </c>
      <c r="G83" s="95">
        <f>([4]EnergyCurve!$J61*CE83+[4]EnergyCurve!$AB61*CF83+G39*CD39)/CD83</f>
        <v>43.772868934719042</v>
      </c>
      <c r="H83" s="95">
        <f>[4]EnergyCurve!$K61</f>
        <v>-0.54204040005025433</v>
      </c>
      <c r="I83" s="83">
        <f>([4]EnergyCurve!$L61*CE83+[4]EnergyCurve!$AD61*CF83+I39*CD39)/CD83</f>
        <v>43.042422659289826</v>
      </c>
      <c r="J83" s="93">
        <f>[4]EnergyCurve!$T61</f>
        <v>-191811.850747997</v>
      </c>
      <c r="K83" s="96">
        <f t="shared" si="56"/>
        <v>0</v>
      </c>
      <c r="L83" s="97">
        <f t="shared" si="41"/>
        <v>-191811.850747997</v>
      </c>
      <c r="M83" s="69"/>
      <c r="N83" s="156"/>
      <c r="O83" s="185"/>
      <c r="P83" s="185"/>
      <c r="Q83" s="186"/>
      <c r="R83" s="69"/>
      <c r="S83" s="69"/>
      <c r="T83" s="69"/>
      <c r="U83" s="69"/>
      <c r="V83" s="71"/>
      <c r="W83" s="71"/>
      <c r="X83" s="71"/>
      <c r="Y83" s="71"/>
      <c r="Z83" s="71"/>
      <c r="AA83" s="71"/>
      <c r="AB83" s="71"/>
      <c r="AC83" s="71"/>
      <c r="AD83" s="71"/>
      <c r="AE83" s="71"/>
      <c r="AF83" s="69"/>
      <c r="AG83" s="69"/>
      <c r="AH83" s="69"/>
      <c r="AI83" s="69"/>
      <c r="AJ83" s="47">
        <f t="shared" si="45"/>
        <v>38018</v>
      </c>
      <c r="AK83" s="1"/>
      <c r="AL83" s="2"/>
      <c r="AM83" s="1"/>
      <c r="AN83" s="2"/>
      <c r="AO83" s="1"/>
      <c r="AP83" s="2"/>
      <c r="AQ83" s="1"/>
      <c r="AR83" s="2"/>
      <c r="AS83" s="1"/>
      <c r="AT83" s="2"/>
      <c r="AU83" s="1"/>
      <c r="AV83" s="2"/>
      <c r="AW83" s="1"/>
      <c r="AX83" s="2"/>
      <c r="AY83" s="1"/>
      <c r="AZ83" s="2"/>
      <c r="BA83" s="1"/>
      <c r="BB83" s="2"/>
      <c r="BC83" s="1"/>
      <c r="BD83" s="2"/>
      <c r="BE83" s="1"/>
      <c r="BF83" s="2"/>
      <c r="BG83" s="1"/>
      <c r="BH83" s="2"/>
      <c r="BI83" s="1"/>
      <c r="BJ83" s="2"/>
      <c r="BK83" s="1"/>
      <c r="BL83" s="2"/>
      <c r="BM83" s="1"/>
      <c r="BN83" s="2"/>
      <c r="BO83" s="1"/>
      <c r="BP83" s="2"/>
      <c r="BQ83" s="1"/>
      <c r="BR83" s="2"/>
      <c r="BS83" s="1"/>
      <c r="BT83" s="2"/>
      <c r="BU83" s="1"/>
      <c r="BV83" s="2"/>
      <c r="BW83" s="1"/>
      <c r="BX83" s="2"/>
      <c r="BY83" s="48">
        <f t="shared" si="46"/>
        <v>0</v>
      </c>
      <c r="BZ83" s="49">
        <f t="shared" si="47"/>
        <v>0</v>
      </c>
      <c r="CB83" s="51">
        <f t="shared" si="48"/>
        <v>38018</v>
      </c>
      <c r="CC83" s="50">
        <f t="shared" si="49"/>
        <v>0</v>
      </c>
      <c r="CD83" s="52">
        <f t="shared" si="58"/>
        <v>696</v>
      </c>
      <c r="CE83" s="50">
        <f t="shared" si="59"/>
        <v>232</v>
      </c>
      <c r="CF83" s="50">
        <f t="shared" si="60"/>
        <v>80</v>
      </c>
      <c r="CG83" s="50">
        <f t="shared" si="72"/>
        <v>0.92390008514554756</v>
      </c>
      <c r="CH83" s="53">
        <f t="shared" si="61"/>
        <v>0</v>
      </c>
      <c r="CI83" s="53">
        <f t="shared" si="62"/>
        <v>0</v>
      </c>
      <c r="CJ83" s="53">
        <f t="shared" si="63"/>
        <v>0</v>
      </c>
      <c r="CK83" s="53">
        <f t="shared" si="64"/>
        <v>0</v>
      </c>
      <c r="CL83" s="25">
        <f t="shared" si="51"/>
        <v>0</v>
      </c>
      <c r="CN83" s="29">
        <f>([4]EnergyCurve!$L61*CE83+[4]EnergyCurve!$AD61*CF83)/(CE83+CF83)</f>
        <v>35.216322242431318</v>
      </c>
      <c r="DJ83" s="54">
        <f t="shared" si="77"/>
        <v>37288</v>
      </c>
      <c r="DK83" s="30">
        <f t="shared" si="75"/>
        <v>28</v>
      </c>
      <c r="DL83" s="30">
        <f t="shared" si="76"/>
        <v>4</v>
      </c>
      <c r="DM83" s="233">
        <v>39022</v>
      </c>
      <c r="DN83" s="154">
        <v>22</v>
      </c>
      <c r="DO83" s="155">
        <v>3</v>
      </c>
      <c r="DP83" s="155">
        <v>4</v>
      </c>
      <c r="DQ83" s="155">
        <v>1</v>
      </c>
      <c r="DR83" s="154">
        <v>30</v>
      </c>
      <c r="DS83" s="55"/>
      <c r="DT83" s="55"/>
      <c r="DU83" s="233">
        <v>39022</v>
      </c>
      <c r="DV83" s="154">
        <v>21</v>
      </c>
      <c r="DW83" s="155">
        <v>4</v>
      </c>
      <c r="DX83" s="155">
        <v>4</v>
      </c>
      <c r="DY83" s="155">
        <v>1</v>
      </c>
      <c r="DZ83" s="154">
        <v>30</v>
      </c>
      <c r="EA83" s="55"/>
      <c r="EB83" s="55"/>
      <c r="EQ83"/>
      <c r="ER83"/>
      <c r="ES83" s="167"/>
      <c r="ET83" s="167"/>
    </row>
    <row r="84" spans="1:150" ht="18.75" thickBot="1" x14ac:dyDescent="0.3">
      <c r="A84" s="56">
        <f t="shared" si="52"/>
        <v>38047</v>
      </c>
      <c r="B84" s="93">
        <f>[4]EnergyCurve!$P62+[4]EnergyCurve!$R62+B40</f>
        <v>279829.578125</v>
      </c>
      <c r="C84" s="94">
        <f t="shared" si="39"/>
        <v>408.70084147619872</v>
      </c>
      <c r="D84" s="94">
        <f t="shared" si="40"/>
        <v>0</v>
      </c>
      <c r="E84" s="93">
        <f t="shared" si="53"/>
        <v>279829.578125</v>
      </c>
      <c r="F84" s="120">
        <f t="shared" si="54"/>
        <v>408.70084147619872</v>
      </c>
      <c r="G84" s="95">
        <f>([4]EnergyCurve!$J62*CE84+[4]EnergyCurve!$AB62*CF84+G40*CD40)/CD84</f>
        <v>42.17663172239898</v>
      </c>
      <c r="H84" s="95">
        <f>[4]EnergyCurve!$K62</f>
        <v>-0.54151965309692329</v>
      </c>
      <c r="I84" s="83">
        <f>([4]EnergyCurve!$L62*CE84+[4]EnergyCurve!$AD62*CF84+I40*CD40)/CD84</f>
        <v>41.444124623984337</v>
      </c>
      <c r="J84" s="93">
        <f>[4]EnergyCurve!$T62</f>
        <v>-204908.6940599737</v>
      </c>
      <c r="K84" s="96">
        <f t="shared" si="56"/>
        <v>0</v>
      </c>
      <c r="L84" s="97">
        <f t="shared" si="41"/>
        <v>-204908.6940599737</v>
      </c>
      <c r="M84" s="69"/>
      <c r="N84" s="158"/>
      <c r="O84" s="115"/>
      <c r="P84" s="115"/>
      <c r="Q84" s="106"/>
      <c r="R84" s="69"/>
      <c r="S84" s="69"/>
      <c r="T84" s="69"/>
      <c r="U84" s="69"/>
      <c r="V84" s="71"/>
      <c r="W84" s="71"/>
      <c r="X84" s="71"/>
      <c r="Y84" s="71"/>
      <c r="Z84" s="71"/>
      <c r="AA84" s="71"/>
      <c r="AB84" s="71"/>
      <c r="AC84" s="71"/>
      <c r="AD84" s="71"/>
      <c r="AE84" s="71"/>
      <c r="AF84" s="69"/>
      <c r="AG84" s="69"/>
      <c r="AH84" s="69"/>
      <c r="AI84" s="69"/>
      <c r="AJ84" s="47">
        <f t="shared" si="45"/>
        <v>38047</v>
      </c>
      <c r="AK84" s="1"/>
      <c r="AL84" s="2"/>
      <c r="AM84" s="1"/>
      <c r="AN84" s="2"/>
      <c r="AO84" s="1"/>
      <c r="AP84" s="2"/>
      <c r="AQ84" s="1"/>
      <c r="AR84" s="2"/>
      <c r="AS84" s="1"/>
      <c r="AT84" s="2"/>
      <c r="AU84" s="1"/>
      <c r="AV84" s="2"/>
      <c r="AW84" s="1"/>
      <c r="AX84" s="2"/>
      <c r="AY84" s="1"/>
      <c r="AZ84" s="2"/>
      <c r="BA84" s="1"/>
      <c r="BB84" s="2"/>
      <c r="BC84" s="1"/>
      <c r="BD84" s="2"/>
      <c r="BE84" s="1"/>
      <c r="BF84" s="2"/>
      <c r="BG84" s="1"/>
      <c r="BH84" s="2"/>
      <c r="BI84" s="1"/>
      <c r="BJ84" s="2"/>
      <c r="BK84" s="1"/>
      <c r="BL84" s="2"/>
      <c r="BM84" s="1"/>
      <c r="BN84" s="2"/>
      <c r="BO84" s="1"/>
      <c r="BP84" s="2"/>
      <c r="BQ84" s="1"/>
      <c r="BR84" s="2"/>
      <c r="BS84" s="1"/>
      <c r="BT84" s="2"/>
      <c r="BU84" s="1"/>
      <c r="BV84" s="2"/>
      <c r="BW84" s="1"/>
      <c r="BX84" s="2"/>
      <c r="BY84" s="48">
        <f t="shared" si="46"/>
        <v>0</v>
      </c>
      <c r="BZ84" s="49">
        <f t="shared" si="47"/>
        <v>0</v>
      </c>
      <c r="CB84" s="51">
        <f t="shared" si="48"/>
        <v>38047</v>
      </c>
      <c r="CC84" s="50">
        <f t="shared" si="49"/>
        <v>0</v>
      </c>
      <c r="CD84" s="52">
        <f t="shared" si="58"/>
        <v>744</v>
      </c>
      <c r="CE84" s="50">
        <f t="shared" si="59"/>
        <v>248</v>
      </c>
      <c r="CF84" s="50">
        <f t="shared" si="60"/>
        <v>64</v>
      </c>
      <c r="CG84" s="50">
        <f t="shared" si="72"/>
        <v>0.92026975771094099</v>
      </c>
      <c r="CH84" s="53">
        <f t="shared" si="61"/>
        <v>0</v>
      </c>
      <c r="CI84" s="53">
        <f t="shared" si="62"/>
        <v>0</v>
      </c>
      <c r="CJ84" s="53">
        <f t="shared" si="63"/>
        <v>0</v>
      </c>
      <c r="CK84" s="53">
        <f t="shared" si="64"/>
        <v>0</v>
      </c>
      <c r="CL84" s="25">
        <f t="shared" si="51"/>
        <v>0</v>
      </c>
      <c r="CN84" s="29">
        <f>([4]EnergyCurve!$L62*CE84+[4]EnergyCurve!$AD62*CF84)/(CE84+CF84)</f>
        <v>33.152258672554922</v>
      </c>
      <c r="DJ84" s="54">
        <f t="shared" si="77"/>
        <v>37316</v>
      </c>
      <c r="DK84" s="30">
        <f t="shared" si="75"/>
        <v>31</v>
      </c>
      <c r="DL84" s="30">
        <f t="shared" si="76"/>
        <v>5</v>
      </c>
      <c r="DM84" s="233">
        <v>39052</v>
      </c>
      <c r="DN84" s="154">
        <v>19</v>
      </c>
      <c r="DO84" s="155">
        <v>5</v>
      </c>
      <c r="DP84" s="155">
        <v>5</v>
      </c>
      <c r="DQ84" s="155">
        <v>2</v>
      </c>
      <c r="DR84" s="154">
        <v>31</v>
      </c>
      <c r="DS84" s="55"/>
      <c r="DT84" s="55"/>
      <c r="DU84" s="233">
        <v>39052</v>
      </c>
      <c r="DV84" s="154">
        <v>20</v>
      </c>
      <c r="DW84" s="155">
        <v>5</v>
      </c>
      <c r="DX84" s="155">
        <v>5</v>
      </c>
      <c r="DY84" s="155">
        <v>1</v>
      </c>
      <c r="DZ84" s="154">
        <v>31</v>
      </c>
      <c r="EA84" s="55"/>
      <c r="EB84" s="55"/>
    </row>
    <row r="85" spans="1:150" ht="18" x14ac:dyDescent="0.25">
      <c r="A85" s="56">
        <f t="shared" si="52"/>
        <v>38078</v>
      </c>
      <c r="B85" s="93">
        <f>[4]EnergyCurve!$P63+[4]EnergyCurve!$R63+B41</f>
        <v>270073.673828125</v>
      </c>
      <c r="C85" s="94">
        <f t="shared" si="39"/>
        <v>409.23243546897965</v>
      </c>
      <c r="D85" s="94">
        <f t="shared" si="40"/>
        <v>0</v>
      </c>
      <c r="E85" s="93">
        <f t="shared" si="53"/>
        <v>270073.673828125</v>
      </c>
      <c r="F85" s="120">
        <f t="shared" si="54"/>
        <v>409.23243546897965</v>
      </c>
      <c r="G85" s="95">
        <f>([4]EnergyCurve!$J63*CE85+[4]EnergyCurve!$AB63*CF85+G41*CD41)/CD85</f>
        <v>39.767160585191512</v>
      </c>
      <c r="H85" s="95">
        <f>[4]EnergyCurve!$K63</f>
        <v>-0.54166944501573155</v>
      </c>
      <c r="I85" s="83">
        <f>([4]EnergyCurve!$L63*CE85+[4]EnergyCurve!$AD63*CF85+I41*CD41)/CD85</f>
        <v>39.034822990294785</v>
      </c>
      <c r="J85" s="93">
        <f>[4]EnergyCurve!$T63</f>
        <v>-197795.72750220407</v>
      </c>
      <c r="K85" s="96">
        <f t="shared" si="56"/>
        <v>0</v>
      </c>
      <c r="L85" s="97">
        <f t="shared" si="41"/>
        <v>-197795.72750220407</v>
      </c>
      <c r="M85" s="69"/>
      <c r="N85" s="156" t="s">
        <v>58</v>
      </c>
      <c r="O85" s="157">
        <f>EV54</f>
        <v>0</v>
      </c>
      <c r="P85" s="157">
        <f>EW54</f>
        <v>0</v>
      </c>
      <c r="Q85" s="186"/>
      <c r="R85" s="69"/>
      <c r="S85" s="69"/>
      <c r="T85" s="69"/>
      <c r="U85" s="69"/>
      <c r="V85" s="69"/>
      <c r="W85" s="69"/>
      <c r="X85" s="69"/>
      <c r="Y85" s="69"/>
      <c r="Z85" s="69"/>
      <c r="AA85" s="69"/>
      <c r="AB85" s="69"/>
      <c r="AC85" s="69"/>
      <c r="AD85" s="69"/>
      <c r="AE85" s="69"/>
      <c r="AF85" s="69"/>
      <c r="AG85" s="69"/>
      <c r="AH85" s="69"/>
      <c r="AI85" s="69"/>
      <c r="AJ85" s="47">
        <f t="shared" si="45"/>
        <v>38078</v>
      </c>
      <c r="AK85" s="1"/>
      <c r="AL85" s="2"/>
      <c r="AM85" s="1"/>
      <c r="AN85" s="2"/>
      <c r="AO85" s="1"/>
      <c r="AP85" s="2"/>
      <c r="AQ85" s="1"/>
      <c r="AR85" s="2"/>
      <c r="AS85" s="1"/>
      <c r="AT85" s="2"/>
      <c r="AU85" s="1"/>
      <c r="AV85" s="2"/>
      <c r="AW85" s="1"/>
      <c r="AX85" s="2"/>
      <c r="AY85" s="1"/>
      <c r="AZ85" s="2"/>
      <c r="BA85" s="1"/>
      <c r="BB85" s="2"/>
      <c r="BC85" s="1"/>
      <c r="BD85" s="2"/>
      <c r="BE85" s="1"/>
      <c r="BF85" s="2"/>
      <c r="BG85" s="1"/>
      <c r="BH85" s="2"/>
      <c r="BI85" s="1"/>
      <c r="BJ85" s="2"/>
      <c r="BK85" s="1"/>
      <c r="BL85" s="2"/>
      <c r="BM85" s="1"/>
      <c r="BN85" s="2"/>
      <c r="BO85" s="1"/>
      <c r="BP85" s="2"/>
      <c r="BQ85" s="1"/>
      <c r="BR85" s="2"/>
      <c r="BS85" s="1"/>
      <c r="BT85" s="2"/>
      <c r="BU85" s="1"/>
      <c r="BV85" s="2"/>
      <c r="BW85" s="1"/>
      <c r="BX85" s="2"/>
      <c r="BY85" s="48">
        <f t="shared" si="46"/>
        <v>0</v>
      </c>
      <c r="BZ85" s="49">
        <f t="shared" si="47"/>
        <v>0</v>
      </c>
      <c r="CB85" s="51">
        <f t="shared" si="48"/>
        <v>38078</v>
      </c>
      <c r="CC85" s="50">
        <f t="shared" si="49"/>
        <v>0</v>
      </c>
      <c r="CD85" s="52">
        <f t="shared" si="58"/>
        <v>720</v>
      </c>
      <c r="CE85" s="50">
        <f t="shared" si="59"/>
        <v>240</v>
      </c>
      <c r="CF85" s="50">
        <f t="shared" si="60"/>
        <v>64</v>
      </c>
      <c r="CG85" s="50">
        <f t="shared" si="72"/>
        <v>0.91659969310941369</v>
      </c>
      <c r="CH85" s="53">
        <f t="shared" si="61"/>
        <v>0</v>
      </c>
      <c r="CI85" s="53">
        <f t="shared" si="62"/>
        <v>0</v>
      </c>
      <c r="CJ85" s="53">
        <f t="shared" si="63"/>
        <v>0</v>
      </c>
      <c r="CK85" s="53">
        <f t="shared" si="64"/>
        <v>0</v>
      </c>
      <c r="CL85" s="25">
        <f t="shared" si="51"/>
        <v>0</v>
      </c>
      <c r="CN85" s="29">
        <f>([4]EnergyCurve!$L63*CE85+[4]EnergyCurve!$AD63*CF85)/(CE85+CF85)</f>
        <v>31.303229274372178</v>
      </c>
      <c r="DJ85" s="54">
        <f t="shared" si="77"/>
        <v>37347</v>
      </c>
      <c r="DK85" s="30">
        <f t="shared" si="75"/>
        <v>30</v>
      </c>
      <c r="DL85" s="30">
        <f t="shared" si="76"/>
        <v>4</v>
      </c>
      <c r="DM85" s="233">
        <v>39083</v>
      </c>
      <c r="DN85" s="154">
        <v>22</v>
      </c>
      <c r="DO85" s="155">
        <v>4</v>
      </c>
      <c r="DP85" s="155">
        <v>4</v>
      </c>
      <c r="DQ85" s="155">
        <v>1</v>
      </c>
      <c r="DR85" s="154">
        <v>31</v>
      </c>
      <c r="DS85" s="55"/>
      <c r="DT85" s="55"/>
      <c r="DU85" s="233">
        <v>39083</v>
      </c>
      <c r="DV85" s="154">
        <v>22</v>
      </c>
      <c r="DW85" s="155">
        <v>4</v>
      </c>
      <c r="DX85" s="155">
        <v>4</v>
      </c>
      <c r="DY85" s="155">
        <v>1</v>
      </c>
      <c r="DZ85" s="154">
        <v>31</v>
      </c>
      <c r="EA85" s="55"/>
      <c r="EB85" s="55"/>
    </row>
    <row r="86" spans="1:150" ht="18.75" thickBot="1" x14ac:dyDescent="0.3">
      <c r="A86" s="56">
        <f t="shared" si="52"/>
        <v>38108</v>
      </c>
      <c r="B86" s="93">
        <f>[4]EnergyCurve!$P64+[4]EnergyCurve!$R64+B42</f>
        <v>278406.150390625</v>
      </c>
      <c r="C86" s="94">
        <f t="shared" si="39"/>
        <v>409.93935240993835</v>
      </c>
      <c r="D86" s="94">
        <f t="shared" si="40"/>
        <v>0</v>
      </c>
      <c r="E86" s="93">
        <f t="shared" si="53"/>
        <v>278406.150390625</v>
      </c>
      <c r="F86" s="120">
        <f t="shared" si="54"/>
        <v>409.93935240993835</v>
      </c>
      <c r="G86" s="95">
        <f>([4]EnergyCurve!$J64*CE86+[4]EnergyCurve!$AB64*CF86+G42*CD42)/CD86</f>
        <v>39.592570458689046</v>
      </c>
      <c r="H86" s="95">
        <f>[4]EnergyCurve!$K64</f>
        <v>-0.53983810627419615</v>
      </c>
      <c r="I86" s="83">
        <f>([4]EnergyCurve!$L64*CE86+[4]EnergyCurve!$AD64*CF86+I42*CD42)/CD86</f>
        <v>38.866982303480214</v>
      </c>
      <c r="J86" s="93">
        <f>[4]EnergyCurve!$T64</f>
        <v>-201949.88527733597</v>
      </c>
      <c r="K86" s="96">
        <f t="shared" si="56"/>
        <v>0</v>
      </c>
      <c r="L86" s="97">
        <f t="shared" si="41"/>
        <v>-201949.88527733597</v>
      </c>
      <c r="M86" s="69"/>
      <c r="N86" s="158" t="s">
        <v>59</v>
      </c>
      <c r="O86" s="115">
        <v>36</v>
      </c>
      <c r="P86" s="115">
        <v>39.5</v>
      </c>
      <c r="Q86" s="106"/>
      <c r="R86" s="69"/>
      <c r="S86" s="69"/>
      <c r="T86" s="69"/>
      <c r="U86" s="69"/>
      <c r="V86" s="69"/>
      <c r="W86" s="69"/>
      <c r="X86" s="69"/>
      <c r="Y86" s="69"/>
      <c r="Z86" s="69"/>
      <c r="AA86" s="69"/>
      <c r="AB86" s="69"/>
      <c r="AC86" s="69"/>
      <c r="AD86" s="69"/>
      <c r="AE86" s="69"/>
      <c r="AF86" s="69"/>
      <c r="AG86" s="69"/>
      <c r="AH86" s="69"/>
      <c r="AI86" s="69"/>
      <c r="AJ86" s="47">
        <f t="shared" si="45"/>
        <v>38108</v>
      </c>
      <c r="AK86" s="1"/>
      <c r="AL86" s="2"/>
      <c r="AM86" s="1"/>
      <c r="AN86" s="2"/>
      <c r="AO86" s="1"/>
      <c r="AP86" s="2"/>
      <c r="AQ86" s="1"/>
      <c r="AR86" s="2"/>
      <c r="AS86" s="1"/>
      <c r="AT86" s="2"/>
      <c r="AU86" s="1"/>
      <c r="AV86" s="2"/>
      <c r="AW86" s="1"/>
      <c r="AX86" s="2"/>
      <c r="AY86" s="1"/>
      <c r="AZ86" s="2"/>
      <c r="BA86" s="1"/>
      <c r="BB86" s="2"/>
      <c r="BC86" s="1"/>
      <c r="BD86" s="2"/>
      <c r="BE86" s="1"/>
      <c r="BF86" s="2"/>
      <c r="BG86" s="1"/>
      <c r="BH86" s="2"/>
      <c r="BI86" s="1"/>
      <c r="BJ86" s="2"/>
      <c r="BK86" s="1"/>
      <c r="BL86" s="2"/>
      <c r="BM86" s="1"/>
      <c r="BN86" s="2"/>
      <c r="BO86" s="1"/>
      <c r="BP86" s="2"/>
      <c r="BQ86" s="1"/>
      <c r="BR86" s="2"/>
      <c r="BS86" s="1"/>
      <c r="BT86" s="2"/>
      <c r="BU86" s="1"/>
      <c r="BV86" s="2"/>
      <c r="BW86" s="1"/>
      <c r="BX86" s="2"/>
      <c r="BY86" s="48">
        <f t="shared" si="46"/>
        <v>0</v>
      </c>
      <c r="BZ86" s="49">
        <f t="shared" si="47"/>
        <v>0</v>
      </c>
      <c r="CB86" s="51">
        <f t="shared" si="48"/>
        <v>38108</v>
      </c>
      <c r="CC86" s="50">
        <f t="shared" si="49"/>
        <v>0</v>
      </c>
      <c r="CD86" s="52">
        <f t="shared" si="58"/>
        <v>744</v>
      </c>
      <c r="CE86" s="50">
        <f t="shared" si="59"/>
        <v>248</v>
      </c>
      <c r="CF86" s="50">
        <f t="shared" si="60"/>
        <v>96</v>
      </c>
      <c r="CG86" s="50">
        <f t="shared" si="72"/>
        <v>0.91282237931371313</v>
      </c>
      <c r="CH86" s="53">
        <f t="shared" si="61"/>
        <v>0</v>
      </c>
      <c r="CI86" s="53">
        <f t="shared" si="62"/>
        <v>0</v>
      </c>
      <c r="CJ86" s="53">
        <f t="shared" si="63"/>
        <v>0</v>
      </c>
      <c r="CK86" s="53">
        <f t="shared" si="64"/>
        <v>0</v>
      </c>
      <c r="CL86" s="25">
        <f t="shared" si="51"/>
        <v>0</v>
      </c>
      <c r="CN86" s="29">
        <f>([4]EnergyCurve!$L64*CE86+[4]EnergyCurve!$AD64*CF86)/(CE86+CF86)</f>
        <v>32.144982908258775</v>
      </c>
      <c r="DJ86" s="54">
        <f t="shared" si="77"/>
        <v>37377</v>
      </c>
      <c r="DK86" s="30">
        <f t="shared" si="75"/>
        <v>31</v>
      </c>
      <c r="DL86" s="30">
        <f t="shared" si="76"/>
        <v>5</v>
      </c>
      <c r="DM86" s="233">
        <v>39114</v>
      </c>
      <c r="DN86" s="154">
        <v>19</v>
      </c>
      <c r="DO86" s="155">
        <v>4</v>
      </c>
      <c r="DP86" s="155">
        <v>4</v>
      </c>
      <c r="DQ86" s="155">
        <v>1</v>
      </c>
      <c r="DR86" s="154">
        <v>28</v>
      </c>
      <c r="DS86" s="55"/>
      <c r="DT86" s="55"/>
      <c r="DU86" s="233">
        <v>39114</v>
      </c>
      <c r="DV86" s="154">
        <v>20</v>
      </c>
      <c r="DW86" s="155">
        <v>4</v>
      </c>
      <c r="DX86" s="155">
        <v>4</v>
      </c>
      <c r="DY86" s="155">
        <v>0</v>
      </c>
      <c r="DZ86" s="154">
        <v>28</v>
      </c>
      <c r="EA86" s="55"/>
      <c r="EB86" s="55"/>
    </row>
    <row r="87" spans="1:150" ht="18" x14ac:dyDescent="0.25">
      <c r="A87" s="56">
        <f t="shared" si="52"/>
        <v>38139</v>
      </c>
      <c r="B87" s="93">
        <f>[4]EnergyCurve!$P65+[4]EnergyCurve!$R65+B43</f>
        <v>268476.671875</v>
      </c>
      <c r="C87" s="94">
        <f t="shared" si="39"/>
        <v>410.19559839969969</v>
      </c>
      <c r="D87" s="94">
        <f t="shared" si="40"/>
        <v>0</v>
      </c>
      <c r="E87" s="93">
        <f t="shared" si="53"/>
        <v>268476.671875</v>
      </c>
      <c r="F87" s="120">
        <f t="shared" si="54"/>
        <v>410.19559839969969</v>
      </c>
      <c r="G87" s="95">
        <f>([4]EnergyCurve!$J65*CE87+[4]EnergyCurve!$AB65*CF87+G43*CD43)/CD87</f>
        <v>40.299227057562931</v>
      </c>
      <c r="H87" s="95">
        <f>[4]EnergyCurve!$K65</f>
        <v>-0.537462759378176</v>
      </c>
      <c r="I87" s="83">
        <f>([4]EnergyCurve!$L65*CE87+[4]EnergyCurve!$AD65*CF87+I43*CD43)/CD87</f>
        <v>39.572578315629301</v>
      </c>
      <c r="J87" s="93">
        <f>[4]EnergyCurve!$T65</f>
        <v>-195031.82263400973</v>
      </c>
      <c r="K87" s="96">
        <f t="shared" si="56"/>
        <v>0</v>
      </c>
      <c r="L87" s="97">
        <f t="shared" si="41"/>
        <v>-195031.82263400973</v>
      </c>
      <c r="M87" s="69"/>
      <c r="N87" s="156"/>
      <c r="O87" s="185"/>
      <c r="P87" s="185"/>
      <c r="Q87" s="186"/>
      <c r="R87" s="69"/>
      <c r="S87" s="69"/>
      <c r="T87" s="69"/>
      <c r="U87" s="69"/>
      <c r="V87" s="69"/>
      <c r="W87" s="69"/>
      <c r="X87" s="69"/>
      <c r="Y87" s="69"/>
      <c r="Z87" s="69"/>
      <c r="AA87" s="69"/>
      <c r="AB87" s="69"/>
      <c r="AC87" s="69"/>
      <c r="AD87" s="69"/>
      <c r="AE87" s="69"/>
      <c r="AF87" s="69"/>
      <c r="AG87" s="69"/>
      <c r="AH87" s="69"/>
      <c r="AI87" s="69"/>
      <c r="AJ87" s="47">
        <f t="shared" si="45"/>
        <v>38139</v>
      </c>
      <c r="AK87" s="1"/>
      <c r="AL87" s="2"/>
      <c r="AM87" s="1"/>
      <c r="AN87" s="2"/>
      <c r="AO87" s="1"/>
      <c r="AP87" s="2"/>
      <c r="AQ87" s="1"/>
      <c r="AR87" s="2"/>
      <c r="AS87" s="1"/>
      <c r="AT87" s="2"/>
      <c r="AU87" s="1"/>
      <c r="AV87" s="2"/>
      <c r="AW87" s="1"/>
      <c r="AX87" s="2"/>
      <c r="AY87" s="1"/>
      <c r="AZ87" s="2"/>
      <c r="BA87" s="1"/>
      <c r="BB87" s="2"/>
      <c r="BC87" s="1"/>
      <c r="BD87" s="2"/>
      <c r="BE87" s="1"/>
      <c r="BF87" s="2"/>
      <c r="BG87" s="1"/>
      <c r="BH87" s="2"/>
      <c r="BI87" s="1"/>
      <c r="BJ87" s="2"/>
      <c r="BK87" s="1"/>
      <c r="BL87" s="2"/>
      <c r="BM87" s="1"/>
      <c r="BN87" s="2"/>
      <c r="BO87" s="1"/>
      <c r="BP87" s="2"/>
      <c r="BQ87" s="1"/>
      <c r="BR87" s="2"/>
      <c r="BS87" s="1"/>
      <c r="BT87" s="2"/>
      <c r="BU87" s="1"/>
      <c r="BV87" s="2"/>
      <c r="BW87" s="1"/>
      <c r="BX87" s="2"/>
      <c r="BY87" s="48">
        <f t="shared" si="46"/>
        <v>0</v>
      </c>
      <c r="BZ87" s="49">
        <f t="shared" si="47"/>
        <v>0</v>
      </c>
      <c r="CB87" s="51">
        <f t="shared" si="48"/>
        <v>38139</v>
      </c>
      <c r="CC87" s="50">
        <f t="shared" si="49"/>
        <v>0</v>
      </c>
      <c r="CD87" s="52">
        <f t="shared" si="58"/>
        <v>720</v>
      </c>
      <c r="CE87" s="50">
        <f t="shared" si="59"/>
        <v>240</v>
      </c>
      <c r="CF87" s="50">
        <f t="shared" si="60"/>
        <v>64</v>
      </c>
      <c r="CG87" s="50">
        <f t="shared" si="72"/>
        <v>0.90904014559832624</v>
      </c>
      <c r="CH87" s="53">
        <f t="shared" si="61"/>
        <v>0</v>
      </c>
      <c r="CI87" s="53">
        <f t="shared" si="62"/>
        <v>0</v>
      </c>
      <c r="CJ87" s="53">
        <f t="shared" si="63"/>
        <v>0</v>
      </c>
      <c r="CK87" s="53">
        <f t="shared" si="64"/>
        <v>0</v>
      </c>
      <c r="CL87" s="25">
        <f t="shared" si="51"/>
        <v>0</v>
      </c>
      <c r="CN87" s="29">
        <f>([4]EnergyCurve!$L65*CE87+[4]EnergyCurve!$AD65*CF87)/(CE87+CF87)</f>
        <v>31.734471866317485</v>
      </c>
      <c r="DJ87" s="54">
        <f t="shared" si="77"/>
        <v>37408</v>
      </c>
      <c r="DK87" s="30">
        <f t="shared" si="75"/>
        <v>30</v>
      </c>
      <c r="DL87" s="30">
        <f t="shared" si="76"/>
        <v>5</v>
      </c>
      <c r="DM87" s="233">
        <v>39142</v>
      </c>
      <c r="DN87" s="154">
        <v>22</v>
      </c>
      <c r="DO87" s="155">
        <v>5</v>
      </c>
      <c r="DP87" s="155">
        <v>4</v>
      </c>
      <c r="DQ87" s="155">
        <v>0</v>
      </c>
      <c r="DR87" s="154">
        <v>31</v>
      </c>
      <c r="DS87" s="55"/>
      <c r="DT87" s="55"/>
      <c r="DU87" s="233">
        <v>39142</v>
      </c>
      <c r="DV87" s="154">
        <v>22</v>
      </c>
      <c r="DW87" s="155">
        <v>5</v>
      </c>
      <c r="DX87" s="155">
        <v>4</v>
      </c>
      <c r="DY87" s="155">
        <v>0</v>
      </c>
      <c r="DZ87" s="154">
        <v>31</v>
      </c>
      <c r="EA87" s="55"/>
      <c r="EB87" s="55"/>
    </row>
    <row r="88" spans="1:150" ht="18.75" thickBot="1" x14ac:dyDescent="0.3">
      <c r="A88" s="56">
        <f t="shared" si="52"/>
        <v>38169</v>
      </c>
      <c r="B88" s="93">
        <f>[4]EnergyCurve!$P66+[4]EnergyCurve!$R66+B44</f>
        <v>276573.892578125</v>
      </c>
      <c r="C88" s="94">
        <f t="shared" si="39"/>
        <v>410.69211918177405</v>
      </c>
      <c r="D88" s="94">
        <f t="shared" si="40"/>
        <v>0</v>
      </c>
      <c r="E88" s="93">
        <f t="shared" si="53"/>
        <v>276573.892578125</v>
      </c>
      <c r="F88" s="120">
        <f t="shared" si="54"/>
        <v>410.69211918177405</v>
      </c>
      <c r="G88" s="95">
        <f>([4]EnergyCurve!$J66*CE88+[4]EnergyCurve!$AB66*CF88+G44*CD44)/CD88</f>
        <v>40.7274294207173</v>
      </c>
      <c r="H88" s="95">
        <f>[4]EnergyCurve!$K66</f>
        <v>-0.53506702341435286</v>
      </c>
      <c r="I88" s="83">
        <f>([4]EnergyCurve!$L66*CE88+[4]EnergyCurve!$AD66*CF88+I44*CD44)/CD88</f>
        <v>40.006412922095315</v>
      </c>
      <c r="J88" s="93">
        <f>[4]EnergyCurve!$T66</f>
        <v>-199361.33002653893</v>
      </c>
      <c r="K88" s="96">
        <f t="shared" si="56"/>
        <v>0</v>
      </c>
      <c r="L88" s="97">
        <f t="shared" si="41"/>
        <v>-199361.33002653893</v>
      </c>
      <c r="M88" s="69"/>
      <c r="N88" s="158"/>
      <c r="O88" s="115"/>
      <c r="P88" s="115"/>
      <c r="Q88" s="106"/>
      <c r="R88" s="69"/>
      <c r="S88" s="69"/>
      <c r="T88" s="69"/>
      <c r="U88" s="69"/>
      <c r="V88" s="69"/>
      <c r="W88" s="69"/>
      <c r="X88" s="69"/>
      <c r="Y88" s="69"/>
      <c r="Z88" s="69"/>
      <c r="AA88" s="69"/>
      <c r="AB88" s="69"/>
      <c r="AC88" s="69"/>
      <c r="AD88" s="69"/>
      <c r="AE88" s="69"/>
      <c r="AF88" s="69"/>
      <c r="AG88" s="69"/>
      <c r="AH88" s="69"/>
      <c r="AI88" s="69"/>
      <c r="AJ88" s="47">
        <f t="shared" si="45"/>
        <v>38169</v>
      </c>
      <c r="AK88" s="1"/>
      <c r="AL88" s="2"/>
      <c r="AM88" s="1"/>
      <c r="AN88" s="2"/>
      <c r="AO88" s="1"/>
      <c r="AP88" s="2"/>
      <c r="AQ88" s="1"/>
      <c r="AR88" s="2"/>
      <c r="AS88" s="1"/>
      <c r="AT88" s="2"/>
      <c r="AU88" s="1"/>
      <c r="AV88" s="2"/>
      <c r="AW88" s="1"/>
      <c r="AX88" s="2"/>
      <c r="AY88" s="1"/>
      <c r="AZ88" s="2"/>
      <c r="BA88" s="1"/>
      <c r="BB88" s="2"/>
      <c r="BC88" s="1"/>
      <c r="BD88" s="2"/>
      <c r="BE88" s="1"/>
      <c r="BF88" s="2"/>
      <c r="BG88" s="1"/>
      <c r="BH88" s="2"/>
      <c r="BI88" s="1"/>
      <c r="BJ88" s="2"/>
      <c r="BK88" s="1"/>
      <c r="BL88" s="2"/>
      <c r="BM88" s="1"/>
      <c r="BN88" s="2"/>
      <c r="BO88" s="1"/>
      <c r="BP88" s="2"/>
      <c r="BQ88" s="1"/>
      <c r="BR88" s="2"/>
      <c r="BS88" s="1"/>
      <c r="BT88" s="2"/>
      <c r="BU88" s="1"/>
      <c r="BV88" s="2"/>
      <c r="BW88" s="1"/>
      <c r="BX88" s="2"/>
      <c r="BY88" s="48">
        <f t="shared" si="46"/>
        <v>0</v>
      </c>
      <c r="BZ88" s="49">
        <f t="shared" si="47"/>
        <v>0</v>
      </c>
      <c r="CB88" s="51">
        <f t="shared" si="48"/>
        <v>38169</v>
      </c>
      <c r="CC88" s="50">
        <f t="shared" si="49"/>
        <v>0</v>
      </c>
      <c r="CD88" s="52">
        <f t="shared" si="58"/>
        <v>744</v>
      </c>
      <c r="CE88" s="50">
        <f t="shared" si="59"/>
        <v>248</v>
      </c>
      <c r="CF88" s="50">
        <f t="shared" si="60"/>
        <v>80</v>
      </c>
      <c r="CG88" s="50">
        <f>CG44</f>
        <v>0.90515275449698618</v>
      </c>
      <c r="CH88" s="53">
        <f t="shared" si="61"/>
        <v>0</v>
      </c>
      <c r="CI88" s="53">
        <f t="shared" si="62"/>
        <v>0</v>
      </c>
      <c r="CJ88" s="53">
        <f t="shared" si="63"/>
        <v>0</v>
      </c>
      <c r="CK88" s="53">
        <f t="shared" si="64"/>
        <v>0</v>
      </c>
      <c r="CL88" s="25">
        <f t="shared" si="51"/>
        <v>0</v>
      </c>
      <c r="CN88" s="29">
        <f>([4]EnergyCurve!$L66*CE88+[4]EnergyCurve!$AD66*CF88)/(CE88+CF88)</f>
        <v>32.585233135654455</v>
      </c>
      <c r="DJ88" s="54">
        <f t="shared" si="77"/>
        <v>37438</v>
      </c>
      <c r="DK88" s="30">
        <f t="shared" si="75"/>
        <v>31</v>
      </c>
      <c r="DL88" s="30">
        <f t="shared" si="76"/>
        <v>5</v>
      </c>
      <c r="DM88" s="233">
        <v>39173</v>
      </c>
      <c r="DN88" s="154">
        <v>20</v>
      </c>
      <c r="DO88" s="155">
        <v>4</v>
      </c>
      <c r="DP88" s="155">
        <v>5</v>
      </c>
      <c r="DQ88" s="155">
        <v>1</v>
      </c>
      <c r="DR88" s="154">
        <v>30</v>
      </c>
      <c r="DS88" s="55"/>
      <c r="DT88" s="55"/>
      <c r="DU88" s="233">
        <v>39173</v>
      </c>
      <c r="DV88" s="154">
        <v>21</v>
      </c>
      <c r="DW88" s="155">
        <v>4</v>
      </c>
      <c r="DX88" s="155">
        <v>5</v>
      </c>
      <c r="DY88" s="155">
        <v>0</v>
      </c>
      <c r="DZ88" s="154">
        <v>30</v>
      </c>
      <c r="EA88" s="55"/>
      <c r="EB88" s="55"/>
    </row>
    <row r="89" spans="1:150" ht="18.75" thickBot="1" x14ac:dyDescent="0.3">
      <c r="A89" s="56">
        <f t="shared" si="52"/>
        <v>38200</v>
      </c>
      <c r="B89" s="93">
        <f>[4]EnergyCurve!$P67+[4]EnergyCurve!$R67+B45</f>
        <v>275570.115234375</v>
      </c>
      <c r="C89" s="94">
        <f t="shared" si="39"/>
        <v>411.00911240680949</v>
      </c>
      <c r="D89" s="94">
        <f t="shared" si="40"/>
        <v>0</v>
      </c>
      <c r="E89" s="93">
        <f t="shared" si="53"/>
        <v>275570.115234375</v>
      </c>
      <c r="F89" s="120">
        <f t="shared" si="54"/>
        <v>411.00911240680949</v>
      </c>
      <c r="G89" s="95">
        <f>([4]EnergyCurve!$J67*CE89+[4]EnergyCurve!$AB67*CF89+G45*CD45)/CD89</f>
        <v>41.255647023518883</v>
      </c>
      <c r="H89" s="95">
        <f>[4]EnergyCurve!$K67</f>
        <v>-0.5327279519399255</v>
      </c>
      <c r="I89" s="83">
        <f>([4]EnergyCurve!$L67*CE89+[4]EnergyCurve!$AD67*CF89+I45*CD45)/CD89</f>
        <v>40.536864613417784</v>
      </c>
      <c r="J89" s="93">
        <f>[4]EnergyCurve!$T67</f>
        <v>-198028.41429501388</v>
      </c>
      <c r="K89" s="96">
        <f t="shared" si="56"/>
        <v>0</v>
      </c>
      <c r="L89" s="97">
        <f t="shared" si="41"/>
        <v>-198028.41429501388</v>
      </c>
      <c r="M89" s="69"/>
      <c r="N89" s="159" t="s">
        <v>60</v>
      </c>
      <c r="O89" s="115">
        <v>1</v>
      </c>
      <c r="P89" s="115">
        <v>4</v>
      </c>
      <c r="Q89" s="106"/>
      <c r="R89" s="69"/>
      <c r="S89" s="69"/>
      <c r="T89" s="69"/>
      <c r="U89" s="69"/>
      <c r="V89" s="69"/>
      <c r="W89" s="69"/>
      <c r="X89" s="69"/>
      <c r="Y89" s="69"/>
      <c r="Z89" s="69"/>
      <c r="AA89" s="69"/>
      <c r="AB89" s="69"/>
      <c r="AC89" s="69"/>
      <c r="AD89" s="69"/>
      <c r="AE89" s="69"/>
      <c r="AF89" s="69"/>
      <c r="AG89" s="69"/>
      <c r="AH89" s="69"/>
      <c r="AI89" s="69"/>
      <c r="AJ89" s="47">
        <f t="shared" si="45"/>
        <v>38200</v>
      </c>
      <c r="AK89" s="1"/>
      <c r="AL89" s="2"/>
      <c r="AM89" s="1"/>
      <c r="AN89" s="2"/>
      <c r="AO89" s="1"/>
      <c r="AP89" s="2"/>
      <c r="AQ89" s="1"/>
      <c r="AR89" s="2"/>
      <c r="AS89" s="1"/>
      <c r="AT89" s="2"/>
      <c r="AU89" s="1"/>
      <c r="AV89" s="2"/>
      <c r="AW89" s="1"/>
      <c r="AX89" s="2"/>
      <c r="AY89" s="1"/>
      <c r="AZ89" s="2"/>
      <c r="BA89" s="1"/>
      <c r="BB89" s="2"/>
      <c r="BC89" s="1"/>
      <c r="BD89" s="2"/>
      <c r="BE89" s="1"/>
      <c r="BF89" s="2"/>
      <c r="BG89" s="1"/>
      <c r="BH89" s="2"/>
      <c r="BI89" s="1"/>
      <c r="BJ89" s="2"/>
      <c r="BK89" s="1"/>
      <c r="BL89" s="2"/>
      <c r="BM89" s="1"/>
      <c r="BN89" s="2"/>
      <c r="BO89" s="1"/>
      <c r="BP89" s="2"/>
      <c r="BQ89" s="1"/>
      <c r="BR89" s="2"/>
      <c r="BS89" s="1"/>
      <c r="BT89" s="2"/>
      <c r="BU89" s="1"/>
      <c r="BV89" s="2"/>
      <c r="BW89" s="1"/>
      <c r="BX89" s="2"/>
      <c r="BY89" s="48">
        <f t="shared" si="46"/>
        <v>0</v>
      </c>
      <c r="BZ89" s="49">
        <f t="shared" si="47"/>
        <v>0</v>
      </c>
      <c r="CB89" s="51">
        <f t="shared" si="48"/>
        <v>38200</v>
      </c>
      <c r="CC89" s="50">
        <f t="shared" si="49"/>
        <v>0</v>
      </c>
      <c r="CD89" s="52">
        <f t="shared" si="58"/>
        <v>744</v>
      </c>
      <c r="CE89" s="50">
        <f t="shared" si="59"/>
        <v>248</v>
      </c>
      <c r="CF89" s="50">
        <f t="shared" si="60"/>
        <v>80</v>
      </c>
      <c r="CG89" s="50">
        <f>CG45</f>
        <v>0.90117208755348432</v>
      </c>
      <c r="CH89" s="53">
        <f t="shared" si="61"/>
        <v>0</v>
      </c>
      <c r="CI89" s="53">
        <f t="shared" si="62"/>
        <v>0</v>
      </c>
      <c r="CJ89" s="53">
        <f t="shared" si="63"/>
        <v>0</v>
      </c>
      <c r="CK89" s="53">
        <f t="shared" si="64"/>
        <v>0</v>
      </c>
      <c r="CL89" s="25">
        <f t="shared" si="51"/>
        <v>0</v>
      </c>
      <c r="CN89" s="29">
        <f>([4]EnergyCurve!$L67*CE89+[4]EnergyCurve!$AD67*CF89)/(CE89+CF89)</f>
        <v>32.975185707790068</v>
      </c>
      <c r="DJ89" s="54">
        <f t="shared" si="77"/>
        <v>37469</v>
      </c>
      <c r="DK89" s="30">
        <f t="shared" si="75"/>
        <v>31</v>
      </c>
      <c r="DL89" s="30">
        <f t="shared" si="76"/>
        <v>4</v>
      </c>
      <c r="DM89" s="233">
        <v>39203</v>
      </c>
      <c r="DN89" s="154">
        <v>22</v>
      </c>
      <c r="DO89" s="155">
        <v>4</v>
      </c>
      <c r="DP89" s="155">
        <v>4</v>
      </c>
      <c r="DQ89" s="155">
        <v>1</v>
      </c>
      <c r="DR89" s="154">
        <v>31</v>
      </c>
      <c r="DS89" s="55"/>
      <c r="DT89" s="55"/>
      <c r="DU89" s="233">
        <v>39203</v>
      </c>
      <c r="DV89" s="154">
        <v>22</v>
      </c>
      <c r="DW89" s="155">
        <v>4</v>
      </c>
      <c r="DX89" s="155">
        <v>4</v>
      </c>
      <c r="DY89" s="155">
        <v>1</v>
      </c>
      <c r="DZ89" s="154">
        <v>31</v>
      </c>
      <c r="EA89" s="55"/>
      <c r="EB89" s="55"/>
    </row>
    <row r="90" spans="1:150" ht="18.75" thickBot="1" x14ac:dyDescent="0.3">
      <c r="A90" s="56">
        <f t="shared" si="52"/>
        <v>38231</v>
      </c>
      <c r="B90" s="93">
        <f>[4]EnergyCurve!$P68+[4]EnergyCurve!$R68+B46</f>
        <v>265490.810546875</v>
      </c>
      <c r="C90" s="94">
        <f t="shared" si="39"/>
        <v>410.97424434867338</v>
      </c>
      <c r="D90" s="94">
        <f t="shared" si="40"/>
        <v>0</v>
      </c>
      <c r="E90" s="93">
        <f t="shared" si="53"/>
        <v>265490.810546875</v>
      </c>
      <c r="F90" s="120">
        <f t="shared" si="54"/>
        <v>410.97424434867338</v>
      </c>
      <c r="G90" s="95">
        <f>([4]EnergyCurve!$J68*CE90+[4]EnergyCurve!$AB68*CF90+G46*CD46)/CD90</f>
        <v>41.154560173882381</v>
      </c>
      <c r="H90" s="95">
        <f>[4]EnergyCurve!$K68</f>
        <v>-0.53093386297240386</v>
      </c>
      <c r="I90" s="83">
        <f>([4]EnergyCurve!$L68*CE90+[4]EnergyCurve!$AD68*CF90+I46*CD46)/CD90</f>
        <v>40.438626251172103</v>
      </c>
      <c r="J90" s="93">
        <f>[4]EnergyCurve!$T68</f>
        <v>-190031.47350964439</v>
      </c>
      <c r="K90" s="96">
        <f t="shared" si="56"/>
        <v>0</v>
      </c>
      <c r="L90" s="97">
        <f t="shared" si="41"/>
        <v>-190031.47350964439</v>
      </c>
      <c r="M90" s="69"/>
      <c r="N90" s="69"/>
      <c r="O90" s="69"/>
      <c r="P90" s="69"/>
      <c r="Q90" s="69"/>
      <c r="R90" s="69"/>
      <c r="S90" s="69"/>
      <c r="T90" s="69"/>
      <c r="U90" s="69"/>
      <c r="V90" s="69"/>
      <c r="W90" s="69"/>
      <c r="X90" s="69"/>
      <c r="Y90" s="69"/>
      <c r="Z90" s="69"/>
      <c r="AA90" s="69"/>
      <c r="AB90" s="69"/>
      <c r="AC90" s="69"/>
      <c r="AD90" s="69"/>
      <c r="AE90" s="69"/>
      <c r="AF90" s="69"/>
      <c r="AG90" s="69"/>
      <c r="AH90" s="69"/>
      <c r="AI90" s="69"/>
      <c r="AJ90" s="47">
        <f t="shared" si="45"/>
        <v>38231</v>
      </c>
      <c r="AK90" s="1"/>
      <c r="AL90" s="2"/>
      <c r="AM90" s="1"/>
      <c r="AN90" s="2"/>
      <c r="AO90" s="1"/>
      <c r="AP90" s="2"/>
      <c r="AQ90" s="1"/>
      <c r="AR90" s="2"/>
      <c r="AS90" s="1"/>
      <c r="AT90" s="2"/>
      <c r="AU90" s="1"/>
      <c r="AV90" s="2"/>
      <c r="AW90" s="1"/>
      <c r="AX90" s="2"/>
      <c r="AY90" s="1"/>
      <c r="AZ90" s="2"/>
      <c r="BA90" s="1"/>
      <c r="BB90" s="2"/>
      <c r="BC90" s="1"/>
      <c r="BD90" s="2"/>
      <c r="BE90" s="1"/>
      <c r="BF90" s="2"/>
      <c r="BG90" s="1"/>
      <c r="BH90" s="2"/>
      <c r="BI90" s="1"/>
      <c r="BJ90" s="2"/>
      <c r="BK90" s="1"/>
      <c r="BL90" s="2"/>
      <c r="BM90" s="1"/>
      <c r="BN90" s="2"/>
      <c r="BO90" s="1"/>
      <c r="BP90" s="2"/>
      <c r="BQ90" s="1"/>
      <c r="BR90" s="2"/>
      <c r="BS90" s="1"/>
      <c r="BT90" s="2"/>
      <c r="BU90" s="1"/>
      <c r="BV90" s="2"/>
      <c r="BW90" s="1"/>
      <c r="BX90" s="2"/>
      <c r="BY90" s="48">
        <f t="shared" si="46"/>
        <v>0</v>
      </c>
      <c r="BZ90" s="49">
        <f t="shared" si="47"/>
        <v>0</v>
      </c>
      <c r="CB90" s="51">
        <f t="shared" si="48"/>
        <v>38231</v>
      </c>
      <c r="CC90" s="50">
        <f t="shared" si="49"/>
        <v>0</v>
      </c>
      <c r="CD90" s="52">
        <f t="shared" si="58"/>
        <v>720</v>
      </c>
      <c r="CE90" s="50">
        <f t="shared" si="59"/>
        <v>240</v>
      </c>
      <c r="CF90" s="50">
        <f t="shared" si="60"/>
        <v>80</v>
      </c>
      <c r="CG90" s="50">
        <f>CG46</f>
        <v>0.89722711810091071</v>
      </c>
      <c r="CH90" s="53">
        <f t="shared" si="61"/>
        <v>0</v>
      </c>
      <c r="CI90" s="53">
        <f t="shared" si="62"/>
        <v>0</v>
      </c>
      <c r="CJ90" s="53">
        <f t="shared" si="63"/>
        <v>0</v>
      </c>
      <c r="CK90" s="53">
        <f t="shared" si="64"/>
        <v>0</v>
      </c>
      <c r="CL90" s="25">
        <f t="shared" si="51"/>
        <v>0</v>
      </c>
      <c r="CN90" s="29">
        <f>([4]EnergyCurve!$L68*CE90+[4]EnergyCurve!$AD68*CF90)/(CE90+CF90)</f>
        <v>32.988002627439343</v>
      </c>
      <c r="CO90" s="213"/>
      <c r="CP90" s="32" t="s">
        <v>109</v>
      </c>
      <c r="CQ90" s="181" t="s">
        <v>107</v>
      </c>
      <c r="CR90" s="181" t="s">
        <v>108</v>
      </c>
      <c r="DJ90" s="54">
        <f t="shared" si="77"/>
        <v>37500</v>
      </c>
      <c r="DK90" s="30">
        <f t="shared" si="75"/>
        <v>30</v>
      </c>
      <c r="DL90" s="30">
        <f t="shared" si="76"/>
        <v>6</v>
      </c>
      <c r="DM90" s="233">
        <v>39234</v>
      </c>
      <c r="DN90" s="154">
        <v>21</v>
      </c>
      <c r="DO90" s="155">
        <v>5</v>
      </c>
      <c r="DP90" s="155">
        <v>4</v>
      </c>
      <c r="DQ90" s="155">
        <v>0</v>
      </c>
      <c r="DR90" s="154">
        <v>30</v>
      </c>
      <c r="DS90" s="55"/>
      <c r="DT90" s="55"/>
      <c r="DU90" s="233">
        <v>39234</v>
      </c>
      <c r="DV90" s="154">
        <v>21</v>
      </c>
      <c r="DW90" s="155">
        <v>5</v>
      </c>
      <c r="DX90" s="155">
        <v>4</v>
      </c>
      <c r="DY90" s="155">
        <v>0</v>
      </c>
      <c r="DZ90" s="154">
        <v>30</v>
      </c>
      <c r="EA90" s="55"/>
      <c r="EB90" s="55"/>
    </row>
    <row r="91" spans="1:150" ht="18.75" thickBot="1" x14ac:dyDescent="0.3">
      <c r="A91" s="56">
        <f t="shared" si="52"/>
        <v>38261</v>
      </c>
      <c r="B91" s="93">
        <f>[4]EnergyCurve!$P69+[4]EnergyCurve!$R69+B47</f>
        <v>273743.65234375</v>
      </c>
      <c r="C91" s="94">
        <f t="shared" si="39"/>
        <v>411.93815387752358</v>
      </c>
      <c r="D91" s="94">
        <f t="shared" si="40"/>
        <v>0</v>
      </c>
      <c r="E91" s="93">
        <f t="shared" si="53"/>
        <v>273743.65234375</v>
      </c>
      <c r="F91" s="120">
        <f t="shared" si="54"/>
        <v>411.93815387752358</v>
      </c>
      <c r="G91" s="95">
        <f>([4]EnergyCurve!$J69*CE91+[4]EnergyCurve!$AB69*CF91+G47*CD47)/CD91</f>
        <v>41.127616061959216</v>
      </c>
      <c r="H91" s="95">
        <f>[4]EnergyCurve!$K69</f>
        <v>-0.52917772262517104</v>
      </c>
      <c r="I91" s="83">
        <f>([4]EnergyCurve!$L69*CE91+[4]EnergyCurve!$AD69*CF91+I47*CD47)/CD91</f>
        <v>40.414534747226021</v>
      </c>
      <c r="J91" s="93">
        <f>[4]EnergyCurve!$T69</f>
        <v>-195093.66196002686</v>
      </c>
      <c r="K91" s="96">
        <f t="shared" si="56"/>
        <v>0</v>
      </c>
      <c r="L91" s="97">
        <f t="shared" si="41"/>
        <v>-195093.66196002686</v>
      </c>
      <c r="M91" s="69"/>
      <c r="N91" s="183" t="s">
        <v>54</v>
      </c>
      <c r="O91" s="157">
        <v>112</v>
      </c>
      <c r="P91" s="157">
        <v>122</v>
      </c>
      <c r="Q91" s="69"/>
      <c r="R91" s="69"/>
      <c r="S91" s="69"/>
      <c r="T91" s="69"/>
      <c r="U91" s="69"/>
      <c r="V91" s="69"/>
      <c r="W91" s="69"/>
      <c r="X91" s="69"/>
      <c r="Y91" s="69"/>
      <c r="Z91" s="69"/>
      <c r="AA91" s="69"/>
      <c r="AB91" s="69"/>
      <c r="AC91" s="69"/>
      <c r="AD91" s="69"/>
      <c r="AE91" s="69"/>
      <c r="AF91" s="69"/>
      <c r="AG91" s="69"/>
      <c r="AH91" s="69"/>
      <c r="AI91" s="69"/>
      <c r="AJ91" s="47">
        <f t="shared" si="45"/>
        <v>38261</v>
      </c>
      <c r="AK91" s="1"/>
      <c r="AL91" s="2"/>
      <c r="AM91" s="1"/>
      <c r="AN91" s="2"/>
      <c r="AO91" s="1"/>
      <c r="AP91" s="2"/>
      <c r="AQ91" s="1"/>
      <c r="AR91" s="2"/>
      <c r="AS91" s="1"/>
      <c r="AT91" s="2"/>
      <c r="AU91" s="1"/>
      <c r="AV91" s="2"/>
      <c r="AW91" s="1"/>
      <c r="AX91" s="2"/>
      <c r="AY91" s="1"/>
      <c r="AZ91" s="2"/>
      <c r="BA91" s="1"/>
      <c r="BB91" s="2"/>
      <c r="BC91" s="1"/>
      <c r="BD91" s="2"/>
      <c r="BE91" s="1"/>
      <c r="BF91" s="2"/>
      <c r="BG91" s="1"/>
      <c r="BH91" s="2"/>
      <c r="BI91" s="1"/>
      <c r="BJ91" s="2"/>
      <c r="BK91" s="1"/>
      <c r="BL91" s="2"/>
      <c r="BM91" s="1"/>
      <c r="BN91" s="2"/>
      <c r="BO91" s="1"/>
      <c r="BP91" s="2"/>
      <c r="BQ91" s="1"/>
      <c r="BR91" s="2"/>
      <c r="BS91" s="1"/>
      <c r="BT91" s="2"/>
      <c r="BU91" s="1"/>
      <c r="BV91" s="2"/>
      <c r="BW91" s="1"/>
      <c r="BX91" s="2"/>
      <c r="BY91" s="48">
        <f t="shared" si="46"/>
        <v>0</v>
      </c>
      <c r="BZ91" s="49">
        <f t="shared" si="47"/>
        <v>0</v>
      </c>
      <c r="CB91" s="51">
        <f t="shared" si="48"/>
        <v>38261</v>
      </c>
      <c r="CC91" s="50">
        <f t="shared" si="49"/>
        <v>0</v>
      </c>
      <c r="CD91" s="52">
        <f t="shared" si="58"/>
        <v>744</v>
      </c>
      <c r="CE91" s="50">
        <f t="shared" si="59"/>
        <v>248</v>
      </c>
      <c r="CF91" s="50">
        <f t="shared" si="60"/>
        <v>80</v>
      </c>
      <c r="CG91" s="50">
        <f>CG47</f>
        <v>0.89318023379901668</v>
      </c>
      <c r="CH91" s="53">
        <f t="shared" si="61"/>
        <v>0</v>
      </c>
      <c r="CI91" s="53">
        <f t="shared" si="62"/>
        <v>0</v>
      </c>
      <c r="CJ91" s="53">
        <f t="shared" si="63"/>
        <v>0</v>
      </c>
      <c r="CK91" s="53">
        <f t="shared" si="64"/>
        <v>0</v>
      </c>
      <c r="CL91" s="25">
        <f t="shared" si="51"/>
        <v>0</v>
      </c>
      <c r="CN91" s="29">
        <f>([4]EnergyCurve!$L69*CE91+[4]EnergyCurve!$AD69*CF91)/(CE91+CF91)</f>
        <v>32.917648462305451</v>
      </c>
      <c r="CO91" s="50" t="s">
        <v>53</v>
      </c>
      <c r="CP91" s="32" t="s">
        <v>39</v>
      </c>
      <c r="CQ91" s="181" t="s">
        <v>39</v>
      </c>
      <c r="CR91" s="181" t="s">
        <v>39</v>
      </c>
      <c r="DJ91" s="54">
        <f t="shared" si="77"/>
        <v>37530</v>
      </c>
      <c r="DK91" s="30">
        <f t="shared" si="75"/>
        <v>31</v>
      </c>
      <c r="DL91" s="30">
        <f t="shared" si="76"/>
        <v>4</v>
      </c>
      <c r="DM91" s="233">
        <v>39264</v>
      </c>
      <c r="DN91" s="154">
        <v>21</v>
      </c>
      <c r="DO91" s="155">
        <v>4</v>
      </c>
      <c r="DP91" s="155">
        <v>5</v>
      </c>
      <c r="DQ91" s="155">
        <v>1</v>
      </c>
      <c r="DR91" s="154">
        <v>31</v>
      </c>
      <c r="DS91" s="55"/>
      <c r="DT91" s="55"/>
      <c r="DU91" s="233">
        <v>39264</v>
      </c>
      <c r="DV91" s="154">
        <v>21</v>
      </c>
      <c r="DW91" s="155">
        <v>4</v>
      </c>
      <c r="DX91" s="155">
        <v>5</v>
      </c>
      <c r="DY91" s="155">
        <v>1</v>
      </c>
      <c r="DZ91" s="154">
        <v>31</v>
      </c>
      <c r="EA91" s="55"/>
      <c r="EB91" s="55"/>
    </row>
    <row r="92" spans="1:150" ht="18.75" thickBot="1" x14ac:dyDescent="0.3">
      <c r="A92" s="56">
        <f t="shared" si="52"/>
        <v>38292</v>
      </c>
      <c r="B92" s="93">
        <f>[4]EnergyCurve!$P70+[4]EnergyCurve!$R70+B48</f>
        <v>263797.849609375</v>
      </c>
      <c r="C92" s="94">
        <f>B92/(CO92*CP92)</f>
        <v>376.93346314987849</v>
      </c>
      <c r="D92" s="94">
        <f>IF(YEAR(A92)=$T$20,$BY$92,0)+IF(YEAR(A92)=$T$21,$BY$93,0)+IF(YEAR(A92)=$T$22,$BY$94,0)</f>
        <v>0</v>
      </c>
      <c r="E92" s="93">
        <f t="shared" si="53"/>
        <v>263797.849609375</v>
      </c>
      <c r="F92" s="120">
        <f>C92+D92</f>
        <v>376.93346314987849</v>
      </c>
      <c r="G92" s="95">
        <f>([4]EnergyCurve!$J70*CQ92+[4]EnergyCurve!$AB70*CR92+G48*CP48)/CP92</f>
        <v>43.515711720784502</v>
      </c>
      <c r="H92" s="95">
        <f>[4]EnergyCurve!$K70</f>
        <v>-0.51539508286819213</v>
      </c>
      <c r="I92" s="83">
        <f>([4]EnergyCurve!$L70*CQ92+[4]EnergyCurve!$AD70*CR92+I48*CP48)/CP92</f>
        <v>42.820730633913314</v>
      </c>
      <c r="J92" s="93">
        <f>[4]EnergyCurve!$T70</f>
        <v>-183299.42609314164</v>
      </c>
      <c r="K92" s="96">
        <f t="shared" si="56"/>
        <v>0</v>
      </c>
      <c r="L92" s="97">
        <f t="shared" si="41"/>
        <v>-183299.42609314164</v>
      </c>
      <c r="M92" s="69"/>
      <c r="N92" s="184" t="s">
        <v>55</v>
      </c>
      <c r="O92" s="115">
        <v>8</v>
      </c>
      <c r="P92" s="115">
        <v>12</v>
      </c>
      <c r="Q92" s="69"/>
      <c r="R92" s="69"/>
      <c r="S92" s="69"/>
      <c r="T92" s="69"/>
      <c r="U92" s="69"/>
      <c r="V92" s="69"/>
      <c r="W92" s="69"/>
      <c r="X92" s="69"/>
      <c r="Y92" s="69"/>
      <c r="Z92" s="69"/>
      <c r="AA92" s="69"/>
      <c r="AB92" s="69"/>
      <c r="AC92" s="69"/>
      <c r="AD92" s="69"/>
      <c r="AE92" s="69"/>
      <c r="AF92" s="69"/>
      <c r="AG92" s="69"/>
      <c r="AH92" s="69"/>
      <c r="AI92" s="69"/>
      <c r="AJ92" s="57" t="str">
        <f>V64</f>
        <v>Bal 2002</v>
      </c>
      <c r="AK92" s="1"/>
      <c r="AL92" s="2"/>
      <c r="AM92" s="1"/>
      <c r="AN92" s="2"/>
      <c r="AO92" s="1"/>
      <c r="AP92" s="2"/>
      <c r="AQ92" s="1"/>
      <c r="AR92" s="2"/>
      <c r="AS92" s="1"/>
      <c r="AT92" s="2"/>
      <c r="AU92" s="1"/>
      <c r="AV92" s="2"/>
      <c r="AW92" s="1"/>
      <c r="AX92" s="2"/>
      <c r="AY92" s="1"/>
      <c r="AZ92" s="2"/>
      <c r="BA92" s="1"/>
      <c r="BB92" s="2"/>
      <c r="BC92" s="1"/>
      <c r="BD92" s="2"/>
      <c r="BE92" s="1"/>
      <c r="BF92" s="2"/>
      <c r="BG92" s="1"/>
      <c r="BH92" s="2"/>
      <c r="BI92" s="1"/>
      <c r="BJ92" s="2"/>
      <c r="BK92" s="1"/>
      <c r="BL92" s="2"/>
      <c r="BM92" s="1"/>
      <c r="BN92" s="2"/>
      <c r="BO92" s="1"/>
      <c r="BP92" s="2"/>
      <c r="BQ92" s="1"/>
      <c r="BR92" s="2"/>
      <c r="BS92" s="1"/>
      <c r="BT92" s="2"/>
      <c r="BU92" s="1"/>
      <c r="BV92" s="2"/>
      <c r="BW92" s="1"/>
      <c r="BX92" s="2"/>
      <c r="BY92" s="48">
        <f t="shared" si="46"/>
        <v>0</v>
      </c>
      <c r="BZ92" s="49">
        <f t="shared" si="47"/>
        <v>0</v>
      </c>
      <c r="CA92" s="50"/>
      <c r="CB92" s="51" t="str">
        <f t="shared" si="48"/>
        <v>Bal 2002</v>
      </c>
      <c r="CC92" s="50">
        <f t="shared" si="49"/>
        <v>0</v>
      </c>
      <c r="CD92" s="52"/>
      <c r="CG92" s="50"/>
      <c r="CH92" s="53"/>
      <c r="CI92" s="275"/>
      <c r="CJ92" s="53"/>
      <c r="CK92" s="53"/>
      <c r="CN92" s="54">
        <f>DJ92</f>
        <v>37561</v>
      </c>
      <c r="CO92" s="50">
        <f>VLOOKUP(CN92,Interest!$X$8:$AC$367,6)</f>
        <v>0.97201744619197827</v>
      </c>
      <c r="CP92" s="25">
        <f>24*DK116</f>
        <v>720</v>
      </c>
      <c r="CQ92" s="25">
        <f>8*DK116</f>
        <v>240</v>
      </c>
      <c r="CR92" s="25">
        <f>16*DL116</f>
        <v>80</v>
      </c>
      <c r="DJ92" s="54">
        <f t="shared" si="77"/>
        <v>37561</v>
      </c>
      <c r="DK92" s="30">
        <f t="shared" si="75"/>
        <v>30</v>
      </c>
      <c r="DL92" s="30">
        <f t="shared" si="76"/>
        <v>5</v>
      </c>
      <c r="DM92" s="233">
        <v>39295</v>
      </c>
      <c r="DN92" s="154">
        <v>22</v>
      </c>
      <c r="DO92" s="155">
        <v>4</v>
      </c>
      <c r="DP92" s="155">
        <v>4</v>
      </c>
      <c r="DQ92" s="155">
        <v>1</v>
      </c>
      <c r="DR92" s="154">
        <v>31</v>
      </c>
      <c r="DS92" s="55"/>
      <c r="DT92" s="55"/>
      <c r="DU92" s="233">
        <v>39295</v>
      </c>
      <c r="DV92" s="154">
        <v>23</v>
      </c>
      <c r="DW92" s="155">
        <v>4</v>
      </c>
      <c r="DX92" s="155">
        <v>4</v>
      </c>
      <c r="DY92" s="155">
        <v>0</v>
      </c>
      <c r="DZ92" s="154">
        <v>31</v>
      </c>
      <c r="EA92" s="55"/>
      <c r="EB92" s="55"/>
    </row>
    <row r="93" spans="1:150" ht="18" x14ac:dyDescent="0.25">
      <c r="A93" s="56">
        <f t="shared" si="52"/>
        <v>38322</v>
      </c>
      <c r="B93" s="93">
        <f>[4]EnergyCurve!$P71+[4]EnergyCurve!$R71+B49</f>
        <v>271431.083984375</v>
      </c>
      <c r="C93" s="94">
        <f>B93/(CO93*CP93)</f>
        <v>376.31725881901264</v>
      </c>
      <c r="D93" s="94">
        <f>IF(YEAR(A93)=$T$20,$BY$92,0)+IF(YEAR(A93)=$T$21,$BY$93,0)+IF(YEAR(A93)=$T$22,$BY$94,0)</f>
        <v>0</v>
      </c>
      <c r="E93" s="93">
        <f t="shared" si="53"/>
        <v>271431.083984375</v>
      </c>
      <c r="F93" s="120">
        <f>C93+D93</f>
        <v>376.31725881901264</v>
      </c>
      <c r="G93" s="95">
        <f>([4]EnergyCurve!$J71*CQ93+[4]EnergyCurve!$AB71*CR93+G49*CP49)/CP93</f>
        <v>45.494949627948067</v>
      </c>
      <c r="H93" s="95">
        <f>[4]EnergyCurve!$K71</f>
        <v>-0.51211377977404737</v>
      </c>
      <c r="I93" s="83">
        <f>([4]EnergyCurve!$L71*CQ93+[4]EnergyCurve!$AD71*CR93+I49*CP49)/CP93</f>
        <v>44.803101645412887</v>
      </c>
      <c r="J93" s="93">
        <f>[4]EnergyCurve!$T71</f>
        <v>-187758.47431843908</v>
      </c>
      <c r="K93" s="96">
        <f t="shared" si="56"/>
        <v>0</v>
      </c>
      <c r="L93" s="97">
        <f t="shared" si="41"/>
        <v>-187758.47431843908</v>
      </c>
      <c r="M93" s="69"/>
      <c r="N93" s="69"/>
      <c r="O93" s="69"/>
      <c r="P93" s="69"/>
      <c r="Q93" s="69"/>
      <c r="R93" s="69"/>
      <c r="S93" s="69"/>
      <c r="T93" s="69"/>
      <c r="U93" s="69"/>
      <c r="V93" s="69"/>
      <c r="W93" s="69"/>
      <c r="X93" s="69"/>
      <c r="Y93" s="69"/>
      <c r="Z93" s="69"/>
      <c r="AA93" s="69"/>
      <c r="AB93" s="69"/>
      <c r="AC93" s="69"/>
      <c r="AD93" s="69"/>
      <c r="AE93" s="69"/>
      <c r="AF93" s="69"/>
      <c r="AG93" s="69"/>
      <c r="AH93" s="69"/>
      <c r="AI93" s="69"/>
      <c r="AJ93" s="59">
        <f>V65</f>
        <v>2003</v>
      </c>
      <c r="AK93" s="1"/>
      <c r="AL93" s="2"/>
      <c r="AM93" s="1"/>
      <c r="AN93" s="2"/>
      <c r="AO93" s="1"/>
      <c r="AP93" s="2"/>
      <c r="AQ93" s="1"/>
      <c r="AR93" s="2"/>
      <c r="AS93" s="1"/>
      <c r="AT93" s="2"/>
      <c r="AU93" s="1"/>
      <c r="AV93" s="2"/>
      <c r="AW93" s="1"/>
      <c r="AX93" s="2"/>
      <c r="AY93" s="1"/>
      <c r="AZ93" s="2"/>
      <c r="BA93" s="1"/>
      <c r="BB93" s="2"/>
      <c r="BC93" s="1"/>
      <c r="BD93" s="2"/>
      <c r="BE93" s="1"/>
      <c r="BF93" s="2"/>
      <c r="BG93" s="1"/>
      <c r="BH93" s="2"/>
      <c r="BI93" s="1"/>
      <c r="BJ93" s="2"/>
      <c r="BK93" s="1"/>
      <c r="BL93" s="2"/>
      <c r="BM93" s="1"/>
      <c r="BN93" s="2"/>
      <c r="BO93" s="1"/>
      <c r="BP93" s="2"/>
      <c r="BQ93" s="1"/>
      <c r="BR93" s="2"/>
      <c r="BS93" s="1"/>
      <c r="BT93" s="2"/>
      <c r="BU93" s="1"/>
      <c r="BV93" s="2"/>
      <c r="BW93" s="1"/>
      <c r="BX93" s="2"/>
      <c r="BY93" s="48">
        <f t="shared" si="46"/>
        <v>0</v>
      </c>
      <c r="BZ93" s="49">
        <f t="shared" si="47"/>
        <v>0</v>
      </c>
      <c r="CA93" s="50"/>
      <c r="CB93" s="60">
        <f t="shared" si="48"/>
        <v>2003</v>
      </c>
      <c r="CC93" s="50">
        <f t="shared" si="49"/>
        <v>0</v>
      </c>
      <c r="CD93" s="52"/>
      <c r="CG93" s="50"/>
      <c r="CH93" s="53"/>
      <c r="CI93" s="53"/>
      <c r="CJ93" s="53"/>
      <c r="CK93" s="53"/>
      <c r="CN93" s="54">
        <f>DJ93</f>
        <v>37591</v>
      </c>
      <c r="CO93" s="50">
        <f>VLOOKUP(CN93,Interest!$X$8:$AC$367,6)</f>
        <v>0.96946583563660405</v>
      </c>
      <c r="CP93" s="25">
        <f>24*DK117</f>
        <v>744</v>
      </c>
      <c r="CQ93" s="25">
        <f>8*DK117</f>
        <v>248</v>
      </c>
      <c r="CR93" s="25">
        <f>16*DL117</f>
        <v>80</v>
      </c>
      <c r="DJ93" s="54">
        <f t="shared" si="77"/>
        <v>37591</v>
      </c>
      <c r="DK93" s="30">
        <f t="shared" si="75"/>
        <v>31</v>
      </c>
      <c r="DL93" s="30">
        <f t="shared" si="76"/>
        <v>6</v>
      </c>
      <c r="DM93" s="233">
        <v>39326</v>
      </c>
      <c r="DN93" s="154">
        <v>19</v>
      </c>
      <c r="DO93" s="155">
        <v>5</v>
      </c>
      <c r="DP93" s="155">
        <v>5</v>
      </c>
      <c r="DQ93" s="155">
        <v>1</v>
      </c>
      <c r="DR93" s="154">
        <v>30</v>
      </c>
      <c r="DS93" s="55"/>
      <c r="DT93" s="55"/>
      <c r="DU93" s="233">
        <v>39326</v>
      </c>
      <c r="DV93" s="154">
        <v>19</v>
      </c>
      <c r="DW93" s="155">
        <v>5</v>
      </c>
      <c r="DX93" s="155">
        <v>5</v>
      </c>
      <c r="DY93" s="155">
        <v>1</v>
      </c>
      <c r="DZ93" s="154">
        <v>30</v>
      </c>
      <c r="EA93" s="55"/>
      <c r="EB93" s="55"/>
    </row>
    <row r="94" spans="1:150" ht="18.75" thickBot="1" x14ac:dyDescent="0.3">
      <c r="A94" s="56">
        <f t="shared" si="52"/>
        <v>38353</v>
      </c>
      <c r="B94" s="93">
        <f>[4]EnergyCurve!$P72+[4]EnergyCurve!$R72+B50</f>
        <v>274219.17578125</v>
      </c>
      <c r="C94" s="94">
        <f>B94/(CO94*CP94)</f>
        <v>381.26179892319573</v>
      </c>
      <c r="D94" s="94">
        <f>IF(YEAR(A94)=$T$20,$BY$92,0)+IF(YEAR(A94)=$T$21,$BY$93,0)+IF(YEAR(A94)=$T$22,$BY$94,0)</f>
        <v>0</v>
      </c>
      <c r="E94" s="93">
        <f t="shared" si="53"/>
        <v>274219.17578125</v>
      </c>
      <c r="F94" s="120">
        <f>C94+D94</f>
        <v>381.26179892319573</v>
      </c>
      <c r="G94" s="95">
        <f>([4]EnergyCurve!$J72*CQ94+[4]EnergyCurve!$AB72*CR94+G50*CP50)/CP94</f>
        <v>44.967293893137288</v>
      </c>
      <c r="H94" s="95">
        <f>[4]EnergyCurve!$K72</f>
        <v>-0.46370771909533914</v>
      </c>
      <c r="I94" s="83">
        <f>([4]EnergyCurve!$L72*CQ94+[4]EnergyCurve!$AD72*CR94+I50*CP50)/CP94</f>
        <v>44.357192422967486</v>
      </c>
      <c r="J94" s="93">
        <f>[4]EnergyCurve!$T72</f>
        <v>-167279.19133705241</v>
      </c>
      <c r="K94" s="96">
        <f t="shared" si="56"/>
        <v>0</v>
      </c>
      <c r="L94" s="97">
        <f t="shared" si="41"/>
        <v>-167279.19133705241</v>
      </c>
      <c r="M94" s="69"/>
      <c r="N94" s="69"/>
      <c r="O94" s="69"/>
      <c r="P94" s="69"/>
      <c r="Q94" s="69"/>
      <c r="R94" s="69"/>
      <c r="S94" s="69"/>
      <c r="T94" s="69"/>
      <c r="U94" s="69"/>
      <c r="V94" s="69"/>
      <c r="W94" s="69"/>
      <c r="X94" s="69"/>
      <c r="Y94" s="69"/>
      <c r="Z94" s="69"/>
      <c r="AA94" s="69"/>
      <c r="AB94" s="69"/>
      <c r="AC94" s="69"/>
      <c r="AD94" s="69"/>
      <c r="AE94" s="69"/>
      <c r="AF94" s="69"/>
      <c r="AG94" s="69"/>
      <c r="AH94" s="69"/>
      <c r="AI94" s="69"/>
      <c r="AJ94" s="61">
        <f>V66</f>
        <v>2004</v>
      </c>
      <c r="AK94" s="5"/>
      <c r="AL94" s="6"/>
      <c r="AM94" s="5"/>
      <c r="AN94" s="6"/>
      <c r="AO94" s="5"/>
      <c r="AP94" s="6"/>
      <c r="AQ94" s="5"/>
      <c r="AR94" s="6"/>
      <c r="AS94" s="5"/>
      <c r="AT94" s="6"/>
      <c r="AU94" s="5"/>
      <c r="AV94" s="6"/>
      <c r="AW94" s="5"/>
      <c r="AX94" s="6"/>
      <c r="AY94" s="5"/>
      <c r="AZ94" s="6"/>
      <c r="BA94" s="5"/>
      <c r="BB94" s="6"/>
      <c r="BC94" s="5"/>
      <c r="BD94" s="6"/>
      <c r="BE94" s="5"/>
      <c r="BF94" s="6"/>
      <c r="BG94" s="5"/>
      <c r="BH94" s="6"/>
      <c r="BI94" s="5"/>
      <c r="BJ94" s="6"/>
      <c r="BK94" s="5"/>
      <c r="BL94" s="6"/>
      <c r="BM94" s="5"/>
      <c r="BN94" s="6"/>
      <c r="BO94" s="5"/>
      <c r="BP94" s="6"/>
      <c r="BQ94" s="5"/>
      <c r="BR94" s="6"/>
      <c r="BS94" s="5"/>
      <c r="BT94" s="6"/>
      <c r="BU94" s="5"/>
      <c r="BV94" s="6"/>
      <c r="BW94" s="5"/>
      <c r="BX94" s="6"/>
      <c r="BY94" s="62">
        <f t="shared" si="46"/>
        <v>0</v>
      </c>
      <c r="BZ94" s="63">
        <f t="shared" si="47"/>
        <v>0</v>
      </c>
      <c r="CB94" s="60">
        <f t="shared" si="48"/>
        <v>2004</v>
      </c>
      <c r="CC94" s="50">
        <f t="shared" si="49"/>
        <v>0</v>
      </c>
      <c r="CD94" s="52"/>
      <c r="CG94" s="50"/>
      <c r="CH94" s="53"/>
      <c r="CI94" s="53"/>
      <c r="CJ94" s="53"/>
      <c r="CK94" s="53"/>
      <c r="CL94" s="220"/>
      <c r="CN94" s="54">
        <f>DJ94</f>
        <v>37622</v>
      </c>
      <c r="CO94" s="50">
        <f>VLOOKUP(CN94,Interest!$X$8:$AC$367,6)</f>
        <v>0.96672197958797379</v>
      </c>
      <c r="CP94" s="25">
        <f>24*DK118</f>
        <v>744</v>
      </c>
      <c r="CQ94" s="25">
        <f>8*DK118</f>
        <v>248</v>
      </c>
      <c r="CR94" s="25">
        <f>16*DL118</f>
        <v>96</v>
      </c>
      <c r="DJ94" s="54">
        <f t="shared" si="77"/>
        <v>37622</v>
      </c>
      <c r="DK94" s="30">
        <f t="shared" si="75"/>
        <v>31</v>
      </c>
      <c r="DL94" s="30">
        <f t="shared" si="76"/>
        <v>5</v>
      </c>
      <c r="DM94" s="233">
        <v>39356</v>
      </c>
      <c r="DN94" s="154">
        <v>22</v>
      </c>
      <c r="DO94" s="155">
        <v>4</v>
      </c>
      <c r="DP94" s="155">
        <v>4</v>
      </c>
      <c r="DQ94" s="155">
        <v>1</v>
      </c>
      <c r="DR94" s="154">
        <v>31</v>
      </c>
      <c r="DS94" s="55"/>
      <c r="DT94" s="55"/>
      <c r="DU94" s="233">
        <v>39356</v>
      </c>
      <c r="DV94" s="154">
        <v>23</v>
      </c>
      <c r="DW94" s="155">
        <v>4</v>
      </c>
      <c r="DX94" s="155">
        <v>4</v>
      </c>
      <c r="DY94" s="155">
        <v>0</v>
      </c>
      <c r="DZ94" s="154">
        <v>31</v>
      </c>
      <c r="EA94" s="55"/>
      <c r="EB94" s="55"/>
    </row>
    <row r="95" spans="1:150" s="149" customFormat="1" ht="31.5" customHeight="1" x14ac:dyDescent="0.2">
      <c r="CK95" s="150"/>
      <c r="CL95" s="151"/>
      <c r="DJ95" s="54">
        <f t="shared" si="77"/>
        <v>37653</v>
      </c>
      <c r="DK95" s="30">
        <f t="shared" si="75"/>
        <v>28</v>
      </c>
      <c r="DL95" s="30">
        <f t="shared" si="76"/>
        <v>4</v>
      </c>
      <c r="DM95" s="233">
        <v>39387</v>
      </c>
      <c r="DN95" s="154">
        <v>21</v>
      </c>
      <c r="DO95" s="155">
        <v>4</v>
      </c>
      <c r="DP95" s="155">
        <v>4</v>
      </c>
      <c r="DQ95" s="155">
        <v>1</v>
      </c>
      <c r="DR95" s="154">
        <v>30</v>
      </c>
      <c r="DS95" s="55"/>
      <c r="DT95" s="55"/>
      <c r="DU95" s="233">
        <v>39387</v>
      </c>
      <c r="DV95" s="154">
        <v>21</v>
      </c>
      <c r="DW95" s="155">
        <v>4</v>
      </c>
      <c r="DX95" s="155">
        <v>4</v>
      </c>
      <c r="DY95" s="155">
        <v>1</v>
      </c>
      <c r="DZ95" s="154">
        <v>30</v>
      </c>
      <c r="EA95" s="55"/>
      <c r="EB95" s="55"/>
    </row>
    <row r="96" spans="1:150" ht="20.25" x14ac:dyDescent="0.3">
      <c r="A96" s="73" t="s">
        <v>44</v>
      </c>
      <c r="B96" s="69"/>
      <c r="C96" s="69"/>
      <c r="D96" s="69"/>
      <c r="E96" s="74"/>
      <c r="F96" s="69"/>
      <c r="G96" s="69"/>
      <c r="H96" s="69"/>
      <c r="I96" s="69"/>
      <c r="J96" s="69"/>
      <c r="K96" s="69"/>
      <c r="L96" s="69"/>
      <c r="M96" s="69"/>
      <c r="N96" s="69"/>
      <c r="O96" s="69"/>
      <c r="P96" s="69"/>
      <c r="Q96" s="69"/>
      <c r="R96" s="69"/>
      <c r="S96" s="69"/>
      <c r="T96" s="69"/>
      <c r="U96" s="69"/>
      <c r="V96" s="69"/>
      <c r="W96" s="69"/>
      <c r="X96" s="69"/>
      <c r="Y96" s="69"/>
      <c r="Z96" s="69"/>
      <c r="AA96" s="69"/>
      <c r="AB96" s="69"/>
      <c r="AC96" s="69"/>
      <c r="AD96" s="69"/>
      <c r="AE96" s="69"/>
      <c r="AF96" s="69"/>
      <c r="AG96" s="69"/>
      <c r="AH96" s="69"/>
      <c r="AI96" s="69"/>
      <c r="CH96" s="168"/>
      <c r="DJ96" s="54">
        <f t="shared" si="77"/>
        <v>37681</v>
      </c>
      <c r="DK96" s="30">
        <f t="shared" si="75"/>
        <v>31</v>
      </c>
      <c r="DL96" s="30">
        <f t="shared" si="76"/>
        <v>5</v>
      </c>
      <c r="DM96" s="233">
        <v>39417</v>
      </c>
      <c r="DN96" s="154">
        <v>19</v>
      </c>
      <c r="DO96" s="155">
        <v>5</v>
      </c>
      <c r="DP96" s="155">
        <v>5</v>
      </c>
      <c r="DQ96" s="155">
        <v>2</v>
      </c>
      <c r="DR96" s="154">
        <v>31</v>
      </c>
      <c r="DS96" s="55"/>
      <c r="DT96" s="55"/>
      <c r="DU96" s="233">
        <v>39417</v>
      </c>
      <c r="DV96" s="154">
        <v>20</v>
      </c>
      <c r="DW96" s="155">
        <v>5</v>
      </c>
      <c r="DX96" s="155">
        <v>5</v>
      </c>
      <c r="DY96" s="155">
        <v>1</v>
      </c>
      <c r="DZ96" s="154">
        <v>31</v>
      </c>
      <c r="EA96" s="55"/>
      <c r="EB96" s="55"/>
    </row>
    <row r="97" spans="1:132" ht="13.5" thickBot="1" x14ac:dyDescent="0.25">
      <c r="A97" s="69"/>
      <c r="B97" s="69"/>
      <c r="C97" s="69"/>
      <c r="D97" s="69"/>
      <c r="E97" s="69"/>
      <c r="F97" s="69"/>
      <c r="G97" s="69"/>
      <c r="H97" s="69"/>
      <c r="I97" s="69"/>
      <c r="J97" s="69"/>
      <c r="K97" s="69"/>
      <c r="L97" s="69"/>
      <c r="M97" s="69"/>
      <c r="N97" s="69"/>
      <c r="O97" s="69"/>
      <c r="P97" s="69"/>
      <c r="Q97" s="69"/>
      <c r="R97" s="71"/>
      <c r="S97" s="71"/>
      <c r="T97" s="71"/>
      <c r="U97" s="71"/>
      <c r="V97" s="69"/>
      <c r="W97" s="71"/>
      <c r="X97" s="71"/>
      <c r="Y97" s="71"/>
      <c r="Z97" s="277"/>
      <c r="AA97" s="277"/>
      <c r="AB97" s="277"/>
      <c r="AC97" s="277"/>
      <c r="AD97" s="69"/>
      <c r="AE97" s="69"/>
      <c r="AF97" s="69"/>
      <c r="AG97" s="69"/>
      <c r="AH97" s="69"/>
      <c r="AI97" s="69"/>
      <c r="DJ97" s="54">
        <f t="shared" si="77"/>
        <v>37712</v>
      </c>
      <c r="DK97" s="30">
        <f t="shared" si="75"/>
        <v>30</v>
      </c>
      <c r="DL97" s="30">
        <f t="shared" si="76"/>
        <v>4</v>
      </c>
      <c r="DM97" s="233">
        <v>39448</v>
      </c>
      <c r="DN97" s="154">
        <v>22</v>
      </c>
      <c r="DO97" s="155">
        <v>4</v>
      </c>
      <c r="DP97" s="155">
        <v>4</v>
      </c>
      <c r="DQ97" s="155">
        <v>1</v>
      </c>
      <c r="DR97" s="154">
        <v>31</v>
      </c>
      <c r="DS97" s="55"/>
      <c r="DT97" s="55"/>
      <c r="DU97" s="233">
        <v>39448</v>
      </c>
      <c r="DV97" s="154">
        <v>22</v>
      </c>
      <c r="DW97" s="155">
        <v>4</v>
      </c>
      <c r="DX97" s="155">
        <v>4</v>
      </c>
      <c r="DY97" s="155">
        <v>1</v>
      </c>
      <c r="DZ97" s="154">
        <v>31</v>
      </c>
      <c r="EA97" s="55"/>
      <c r="EB97" s="55"/>
    </row>
    <row r="98" spans="1:132" ht="20.25" x14ac:dyDescent="0.3">
      <c r="A98" s="76"/>
      <c r="B98" s="138">
        <f>T20</f>
        <v>2002</v>
      </c>
      <c r="C98" s="139"/>
      <c r="D98" s="138">
        <f>T21</f>
        <v>2003</v>
      </c>
      <c r="E98" s="140"/>
      <c r="F98" s="138">
        <f>T22</f>
        <v>2004</v>
      </c>
      <c r="G98" s="140"/>
      <c r="H98" s="138">
        <f>F98+1</f>
        <v>2005</v>
      </c>
      <c r="I98" s="140"/>
      <c r="J98" s="138">
        <f>H98+1</f>
        <v>2006</v>
      </c>
      <c r="K98" s="140"/>
      <c r="L98" s="138">
        <f>J98+1</f>
        <v>2007</v>
      </c>
      <c r="M98" s="140"/>
      <c r="N98" s="138">
        <f>L98+1</f>
        <v>2008</v>
      </c>
      <c r="O98" s="140"/>
      <c r="P98" s="408" t="s">
        <v>45</v>
      </c>
      <c r="Q98" s="409"/>
      <c r="R98" s="288"/>
      <c r="S98" s="289"/>
      <c r="T98" s="289"/>
      <c r="U98" s="71"/>
      <c r="W98" s="71"/>
      <c r="X98" s="71"/>
      <c r="Y98" s="276"/>
      <c r="Z98" s="282"/>
      <c r="AA98" s="276"/>
      <c r="AB98" s="276"/>
      <c r="AC98" s="277"/>
      <c r="AD98" s="69"/>
      <c r="AE98" s="69"/>
      <c r="AF98" s="69"/>
      <c r="AG98" s="69"/>
      <c r="AH98" s="69"/>
      <c r="AI98" s="69"/>
      <c r="AK98" s="32"/>
      <c r="AL98" s="32"/>
      <c r="AM98" s="32"/>
      <c r="AN98" s="32"/>
      <c r="AO98" s="32"/>
      <c r="AP98" s="32"/>
      <c r="AQ98" s="32"/>
      <c r="DJ98" s="54">
        <f t="shared" si="77"/>
        <v>37742</v>
      </c>
      <c r="DK98" s="30">
        <f t="shared" si="75"/>
        <v>31</v>
      </c>
      <c r="DL98" s="30">
        <f t="shared" si="76"/>
        <v>5</v>
      </c>
      <c r="DM98" s="233">
        <v>39479</v>
      </c>
      <c r="DN98" s="154">
        <v>20</v>
      </c>
      <c r="DO98" s="155">
        <v>4</v>
      </c>
      <c r="DP98" s="155">
        <v>4</v>
      </c>
      <c r="DQ98" s="155">
        <v>1</v>
      </c>
      <c r="DR98" s="154">
        <v>29</v>
      </c>
      <c r="DS98" s="55"/>
      <c r="DT98" s="55"/>
      <c r="DU98" s="233">
        <v>39479</v>
      </c>
      <c r="DV98" s="154">
        <v>21</v>
      </c>
      <c r="DW98" s="155">
        <v>4</v>
      </c>
      <c r="DX98" s="155">
        <v>4</v>
      </c>
      <c r="DY98" s="155">
        <v>0</v>
      </c>
      <c r="DZ98" s="154">
        <v>29</v>
      </c>
      <c r="EA98" s="55"/>
      <c r="EB98" s="55"/>
    </row>
    <row r="99" spans="1:132" ht="13.5" thickBot="1" x14ac:dyDescent="0.25">
      <c r="A99" s="69"/>
      <c r="B99" s="141" t="s">
        <v>118</v>
      </c>
      <c r="C99" s="142" t="s">
        <v>127</v>
      </c>
      <c r="D99" s="141" t="s">
        <v>118</v>
      </c>
      <c r="E99" s="142" t="s">
        <v>127</v>
      </c>
      <c r="F99" s="141" t="s">
        <v>118</v>
      </c>
      <c r="G99" s="142" t="s">
        <v>127</v>
      </c>
      <c r="H99" s="141" t="s">
        <v>118</v>
      </c>
      <c r="I99" s="142" t="s">
        <v>127</v>
      </c>
      <c r="J99" s="141" t="s">
        <v>118</v>
      </c>
      <c r="K99" s="142" t="s">
        <v>127</v>
      </c>
      <c r="L99" s="141" t="s">
        <v>118</v>
      </c>
      <c r="M99" s="142" t="s">
        <v>127</v>
      </c>
      <c r="N99" s="141" t="s">
        <v>118</v>
      </c>
      <c r="O99" s="285" t="s">
        <v>127</v>
      </c>
      <c r="P99" s="141" t="s">
        <v>118</v>
      </c>
      <c r="Q99" s="143" t="s">
        <v>127</v>
      </c>
      <c r="R99" s="276"/>
      <c r="S99" s="276"/>
      <c r="T99" s="276"/>
      <c r="U99" s="71"/>
      <c r="W99" s="71"/>
      <c r="X99" s="71"/>
      <c r="Y99" s="276"/>
      <c r="Z99" s="282"/>
      <c r="AA99" s="276"/>
      <c r="AB99" s="276"/>
      <c r="AC99" s="277"/>
      <c r="AD99" s="69"/>
      <c r="AE99" s="69"/>
      <c r="AF99" s="69"/>
      <c r="AG99" s="69"/>
      <c r="AH99" s="69"/>
      <c r="AI99" s="69"/>
      <c r="DJ99" s="54">
        <f t="shared" si="77"/>
        <v>37773</v>
      </c>
      <c r="DK99" s="30">
        <f t="shared" si="75"/>
        <v>30</v>
      </c>
      <c r="DL99" s="30">
        <f t="shared" si="76"/>
        <v>5</v>
      </c>
      <c r="DM99" s="233">
        <v>39508</v>
      </c>
      <c r="DN99" s="154">
        <v>20</v>
      </c>
      <c r="DO99" s="155">
        <v>5</v>
      </c>
      <c r="DP99" s="155">
        <v>5</v>
      </c>
      <c r="DQ99" s="155">
        <v>1</v>
      </c>
      <c r="DR99" s="154">
        <v>31</v>
      </c>
      <c r="DS99" s="55"/>
      <c r="DT99" s="55"/>
      <c r="DU99" s="233">
        <v>39508</v>
      </c>
      <c r="DV99" s="154">
        <v>21</v>
      </c>
      <c r="DW99" s="155">
        <v>5</v>
      </c>
      <c r="DX99" s="155">
        <v>5</v>
      </c>
      <c r="DY99" s="155">
        <v>0</v>
      </c>
      <c r="DZ99" s="154">
        <v>31</v>
      </c>
      <c r="EA99" s="55"/>
      <c r="EB99" s="55"/>
    </row>
    <row r="100" spans="1:132" ht="15" x14ac:dyDescent="0.2">
      <c r="A100" s="144">
        <v>35796</v>
      </c>
      <c r="B100" s="161">
        <f t="array" ref="B100">SUM(IF(MONTH([4]EnergyCurve!$D$3:$D$272)&amp;YEAR([4]EnergyCurve!$D$3:$D$272)=MONTH($A100)&amp;$B$98,[4]EnergyCurve!$O$3:$O$272))+SUM(IF(MONTH([4]EnergyCurve!$D$3:$D$272)&amp;YEAR([4]EnergyCurve!$D$3:$D$272)=MONTH($A100)&amp;$B$98,[4]EnergyCurve!$Q$3:$Q$272))+SUM(IF(MONTH($CB$12:$CB$47)&amp;YEAR($CB$12:$CB$47)=MONTH($A100)&amp;$B$98,$CH$12:$CH$47))</f>
        <v>9117.0060681604755</v>
      </c>
      <c r="C100" s="161">
        <f t="array" ref="C100">SUM(IF(MONTH([4]EnergyCurve!$D$3:$D$272)&amp;YEAR([4]EnergyCurve!$D$3:$D$272)=MONTH($A100)&amp;$B$98,[4]EnergyCurve!$P$3:$P$272))+SUM(IF(MONTH([4]EnergyCurve!$D$3:$D$272)&amp;YEAR([4]EnergyCurve!$D$3:$D$272)=MONTH($A100)&amp;$B$98,[4]EnergyCurve!$R$3:$R$272))+SUM(IF(MONTH($CB$56:$CB$91)&amp;YEAR($CB$56:$CB$91)=MONTH($A100)&amp;$B$98,$CH$56:$CH$91))</f>
        <v>104298.486328125</v>
      </c>
      <c r="D100" s="161">
        <f t="array" ref="D100">SUM(IF(MONTH([4]EnergyCurve!$D$3:$D$272)&amp;YEAR([4]EnergyCurve!$D$3:$D$272)=MONTH($A100)&amp;$D$98,[4]EnergyCurve!$O$3:$O$272))+SUM(IF(MONTH([4]EnergyCurve!$D$3:$D$272)&amp;YEAR([4]EnergyCurve!$D$3:$D$272)=MONTH($A100)&amp;$D$98,[4]EnergyCurve!$Q$3:$Q$272))+SUM(IF(MONTH($CB$12:$CB$47)&amp;YEAR($CB$12:$CB$47)=MONTH($A100)&amp;$D$98,$CH$12:$CH$47))</f>
        <v>242733.0078125</v>
      </c>
      <c r="E100" s="161">
        <f t="array" ref="E100">SUM(IF(MONTH([4]EnergyCurve!$D$3:$D$272)&amp;YEAR([4]EnergyCurve!$D$3:$D$272)=MONTH($A100)&amp;$D$98,[4]EnergyCurve!$P$3:$P$272))+SUM(IF(MONTH([4]EnergyCurve!$D$3:$D$272)&amp;YEAR([4]EnergyCurve!$D$3:$D$272)=MONTH($A100)&amp;$D$98,[4]EnergyCurve!$R$3:$R$272))+SUM(IF(MONTH($CB$56:$CB$91)&amp;YEAR($CB$56:$CB$91)=MONTH($A100)&amp;$D$98,$CH$56:$CH$91))</f>
        <v>191926.3984375</v>
      </c>
      <c r="F100" s="161">
        <f t="array" ref="F100">SUM(IF(MONTH([4]EnergyCurve!$D$3:$D$272)&amp;YEAR([4]EnergyCurve!$D$3:$D$272)=MONTH($A100)&amp;$F$98,[4]EnergyCurve!$O$3:$O$272))+SUM(IF(MONTH([4]EnergyCurve!$D$3:$D$272)&amp;YEAR([4]EnergyCurve!$D$3:$D$272)=MONTH($A100)&amp;$F$98,[4]EnergyCurve!$Q$3:$Q$272))+SUM(IF(MONTH($CB$12:$CB$47)&amp;YEAR($CB$12:$CB$47)=MONTH($A100)&amp;$F$98,$CH$12:$CH$47))</f>
        <v>157475.115234375</v>
      </c>
      <c r="G100" s="161">
        <f t="array" ref="G100">SUM(IF(MONTH([4]EnergyCurve!$D$3:$D$272)&amp;YEAR([4]EnergyCurve!$D$3:$D$272)=MONTH($A100)&amp;$F$98,[4]EnergyCurve!$P$3:$P$272))+SUM(IF(MONTH([4]EnergyCurve!$D$3:$D$272)&amp;YEAR([4]EnergyCurve!$D$3:$D$272)=MONTH($A100)&amp;$F$98,[4]EnergyCurve!$R$3:$R$272))+SUM(IF(MONTH($CB$56:$CB$91)&amp;YEAR($CB$56:$CB$91)=MONTH($A100)&amp;$F$98,$CH$56:$CH$91))</f>
        <v>124573.59375</v>
      </c>
      <c r="H100" s="161">
        <f t="array" ref="H100">SUM(IF(MONTH([4]EnergyCurve!$D$3:$D$272)&amp;YEAR([4]EnergyCurve!$D$3:$D$272)=MONTH($A100)&amp;$H$98,[4]EnergyCurve!$O$3:$O$272))+SUM(IF(MONTH([4]EnergyCurve!$D$3:$D$272)&amp;YEAR([4]EnergyCurve!$D$3:$D$272)=MONTH($A100)&amp;$H$98,[4]EnergyCurve!$Q$3:$Q$272))+SUM(IF(MONTH($CB$12:$CB$47)&amp;YEAR($CB$12:$CB$47)=MONTH($A100)&amp;$H$98,$CH$12:$CH$47))</f>
        <v>147326.58984375</v>
      </c>
      <c r="I100" s="161">
        <f t="array" ref="I100">SUM(IF(MONTH([4]EnergyCurve!$D$3:$D$272)&amp;YEAR([4]EnergyCurve!$D$3:$D$272)=MONTH($A100)&amp;$H$98,[4]EnergyCurve!$P$3:$P$272))+SUM(IF(MONTH([4]EnergyCurve!$D$3:$D$272)&amp;YEAR([4]EnergyCurve!$D$3:$D$272)=MONTH($A100)&amp;$H$98,[4]EnergyCurve!$R$3:$R$272))+SUM(IF(MONTH($CB$56:$CB$91)&amp;YEAR($CB$56:$CB$91)=MONTH($A100)&amp;$H$98,$CH$56:$CH$91))</f>
        <v>126892.5859375</v>
      </c>
      <c r="J100" s="161">
        <f t="array" ref="J100">SUM(IF(MONTH([4]EnergyCurve!$D$3:$D$272)&amp;YEAR([4]EnergyCurve!$D$3:$D$272)=MONTH($A100)&amp;$J$98,[4]EnergyCurve!$O$3:$O$272))+SUM(IF(MONTH([4]EnergyCurve!$D$3:$D$272)&amp;YEAR([4]EnergyCurve!$D$3:$D$272)=MONTH($A100)&amp;$J$98,[4]EnergyCurve!$Q$3:$Q$272))+SUM(IF(MONTH($CB$12:$CB$47)&amp;YEAR($CB$12:$CB$47)=MONTH($A100)&amp;$J$98,$CH$12:$CH$47))</f>
        <v>164171.044921875</v>
      </c>
      <c r="K100" s="161">
        <f t="array" ref="K100">SUM(IF(MONTH([4]EnergyCurve!$D$3:$D$272)&amp;YEAR([4]EnergyCurve!$D$3:$D$272)=MONTH($A100)&amp;$J$98,[4]EnergyCurve!$P$3:$P$272))+SUM(IF(MONTH([4]EnergyCurve!$D$3:$D$272)&amp;YEAR([4]EnergyCurve!$D$3:$D$272)=MONTH($A100)&amp;$J$98,[4]EnergyCurve!$R$3:$R$272))+SUM(IF(MONTH($CB$56:$CB$91)&amp;YEAR($CB$56:$CB$91)=MONTH($A100)&amp;$J$98,$CH$56:$CH$91))</f>
        <v>141359.78515625</v>
      </c>
      <c r="L100" s="161">
        <f t="array" ref="L100">SUM(IF(MONTH([4]EnergyCurve!$D$3:$D$272)&amp;YEAR([4]EnergyCurve!$D$3:$D$272)=MONTH($A100)&amp;$L$98,[4]EnergyCurve!$O$3:$O$272))+SUM(IF(MONTH([4]EnergyCurve!$D$3:$D$272)&amp;YEAR([4]EnergyCurve!$D$3:$D$272)=MONTH($A100)&amp;$L$98,[4]EnergyCurve!$Q$3:$Q$272))+SUM(IF(MONTH($CB$12:$CB$47)&amp;YEAR($CB$12:$CB$47)=MONTH($A100)&amp;$L$98,$CH$12:$CH$47))</f>
        <v>161307.419921875</v>
      </c>
      <c r="M100" s="161">
        <f t="array" ref="M100">SUM(IF(MONTH([4]EnergyCurve!$D$3:$D$272)&amp;YEAR([4]EnergyCurve!$D$3:$D$272)=MONTH($A100)&amp;$L$98,[4]EnergyCurve!$P$3:$P$272))+SUM(IF(MONTH([4]EnergyCurve!$D$3:$D$272)&amp;YEAR([4]EnergyCurve!$D$3:$D$272)=MONTH($A100)&amp;$L$98,[4]EnergyCurve!$R$3:$R$272))+SUM(IF(MONTH($CB$56:$CB$91)&amp;YEAR($CB$56:$CB$91)=MONTH($A100)&amp;$L$98,$CH$56:$CH$91))</f>
        <v>127186.30078125</v>
      </c>
      <c r="N100" s="161">
        <f t="array" ref="N100">SUM(IF(MONTH([4]EnergyCurve!$D$3:$D$272)&amp;YEAR([4]EnergyCurve!$D$3:$D$272)=MONTH($A100)&amp;$N$98,[4]EnergyCurve!$O$3:$O$272))+SUM(IF(MONTH([4]EnergyCurve!$D$3:$D$272)&amp;YEAR([4]EnergyCurve!$D$3:$D$272)=MONTH($A100)&amp;$N$98,[4]EnergyCurve!$Q$3:$Q$272))+SUM(IF(MONTH($CB$12:$CB$47)&amp;YEAR($CB$12:$CB$47)=MONTH($A100)&amp;$N$98,$CH$12:$CH$47))</f>
        <v>156297.4296875</v>
      </c>
      <c r="O100" s="161">
        <f t="array" ref="O100">SUM(IF(MONTH([4]EnergyCurve!$D$3:$D$272)&amp;YEAR([4]EnergyCurve!$D$3:$D$272)=MONTH($A100)&amp;$N$98,[4]EnergyCurve!$P$3:$P$272))+SUM(IF(MONTH([4]EnergyCurve!$D$3:$D$272)&amp;YEAR([4]EnergyCurve!$D$3:$D$272)=MONTH($A100)&amp;$N$98,[4]EnergyCurve!$R$3:$R$272))+SUM(IF(MONTH($CB$56:$CB$91)&amp;YEAR($CB$56:$CB$91)=MONTH($A100)&amp;$N$98,$CH$56:$CH$91))</f>
        <v>123234.509765625</v>
      </c>
      <c r="P100" s="161">
        <f t="array" ref="P100">SUM(IF(MONTH([4]EnergyCurve!$D$3:$D$272)=MONTH($A100),[4]EnergyCurve!$O$3:$O$272))+SUM(IF(MONTH([4]EnergyCurve!$D$3:$D$272)=MONTH($A100),[4]EnergyCurve!$Q$3:$Q$272))+SUM(IF(MONTH($CB$12:$CB$47)=MONTH($A100),$CH$12:$CH$47))</f>
        <v>2268827.4279431603</v>
      </c>
      <c r="Q100" s="161">
        <f t="array" ref="Q100">SUM(IF(MONTH([4]EnergyCurve!$D$3:$D$272)=MONTH($A100),[4]EnergyCurve!$P$3:$P$272))+SUM(IF(MONTH([4]EnergyCurve!$D$3:$D$272)=MONTH($A100),[4]EnergyCurve!$R$3:$R$272))+SUM(IF(MONTH($CB$56:$CB$91)=MONTH($A100),$CH$56:$CH$91))</f>
        <v>1984023.2509765625</v>
      </c>
      <c r="R100" s="284"/>
      <c r="S100" s="284"/>
      <c r="T100" s="284"/>
      <c r="U100" s="71"/>
      <c r="W100" s="71"/>
      <c r="X100" s="312"/>
      <c r="Y100" s="284"/>
      <c r="Z100" s="313"/>
      <c r="AA100" s="314"/>
      <c r="AB100" s="314"/>
      <c r="AC100" s="277"/>
      <c r="AD100" s="69"/>
      <c r="AE100" s="69"/>
      <c r="AF100" s="69"/>
      <c r="AG100" s="69"/>
      <c r="AH100" s="69"/>
      <c r="AI100" s="69"/>
      <c r="AL100" s="29"/>
      <c r="AR100" s="29"/>
      <c r="DJ100" s="54">
        <f t="shared" si="77"/>
        <v>37803</v>
      </c>
      <c r="DK100" s="30">
        <f t="shared" si="75"/>
        <v>31</v>
      </c>
      <c r="DL100" s="30">
        <f t="shared" si="76"/>
        <v>5</v>
      </c>
      <c r="DM100" s="233">
        <v>39539</v>
      </c>
      <c r="DN100" s="154">
        <v>22</v>
      </c>
      <c r="DO100" s="155">
        <v>4</v>
      </c>
      <c r="DP100" s="155">
        <v>4</v>
      </c>
      <c r="DQ100" s="155">
        <v>0</v>
      </c>
      <c r="DR100" s="154">
        <v>30</v>
      </c>
      <c r="DS100" s="55"/>
      <c r="DT100" s="55"/>
      <c r="DU100" s="233">
        <v>39539</v>
      </c>
      <c r="DV100" s="154">
        <v>22</v>
      </c>
      <c r="DW100" s="155">
        <v>4</v>
      </c>
      <c r="DX100" s="155">
        <v>4</v>
      </c>
      <c r="DY100" s="155">
        <v>0</v>
      </c>
      <c r="DZ100" s="154">
        <v>30</v>
      </c>
      <c r="EA100" s="55"/>
      <c r="EB100" s="55"/>
    </row>
    <row r="101" spans="1:132" ht="15.75" x14ac:dyDescent="0.25">
      <c r="A101" s="145">
        <v>35827</v>
      </c>
      <c r="B101" s="162">
        <f t="array" ref="B101">SUM(IF(MONTH([4]EnergyCurve!$D$3:$D$272)&amp;YEAR([4]EnergyCurve!$D$3:$D$272)=MONTH($A101)&amp;$B$98,[4]EnergyCurve!$O$3:$O$272))+SUM(IF(MONTH([4]EnergyCurve!$D$3:$D$272)&amp;YEAR([4]EnergyCurve!$D$3:$D$272)=MONTH($A101)&amp;$B$98,[4]EnergyCurve!$Q$3:$Q$272))+SUM(IF(MONTH($CB$12:$CB$47)&amp;YEAR($CB$12:$CB$47)=MONTH($A101)&amp;$B$98,$CH$12:$CH$47))</f>
        <v>8119.1825450059423</v>
      </c>
      <c r="C101" s="162">
        <f t="array" ref="C101">SUM(IF(MONTH([4]EnergyCurve!$D$3:$D$272)&amp;YEAR([4]EnergyCurve!$D$3:$D$272)=MONTH($A101)&amp;$B$98,[4]EnergyCurve!$P$3:$P$272))+SUM(IF(MONTH([4]EnergyCurve!$D$3:$D$272)&amp;YEAR([4]EnergyCurve!$D$3:$D$272)=MONTH($A101)&amp;$B$98,[4]EnergyCurve!$R$3:$R$272))+SUM(IF(MONTH($CB$56:$CB$91)&amp;YEAR($CB$56:$CB$91)=MONTH($A101)&amp;$B$98,$CH$56:$CH$91))</f>
        <v>91388.037109375</v>
      </c>
      <c r="D101" s="162">
        <f t="array" ref="D101">SUM(IF(MONTH([4]EnergyCurve!$D$3:$D$272)&amp;YEAR([4]EnergyCurve!$D$3:$D$272)=MONTH($A101)&amp;$D$98,[4]EnergyCurve!$O$3:$O$272))+SUM(IF(MONTH([4]EnergyCurve!$D$3:$D$272)&amp;YEAR([4]EnergyCurve!$D$3:$D$272)=MONTH($A101)&amp;$D$98,[4]EnergyCurve!$Q$3:$Q$272))+SUM(IF(MONTH($CB$12:$CB$47)&amp;YEAR($CB$12:$CB$47)=MONTH($A101)&amp;$D$98,$CH$12:$CH$47))</f>
        <v>223342.76171875</v>
      </c>
      <c r="E101" s="162">
        <f t="array" ref="E101">SUM(IF(MONTH([4]EnergyCurve!$D$3:$D$272)&amp;YEAR([4]EnergyCurve!$D$3:$D$272)=MONTH($A101)&amp;$D$98,[4]EnergyCurve!$P$3:$P$272))+SUM(IF(MONTH([4]EnergyCurve!$D$3:$D$272)&amp;YEAR([4]EnergyCurve!$D$3:$D$272)=MONTH($A101)&amp;$D$98,[4]EnergyCurve!$R$3:$R$272))+SUM(IF(MONTH($CB$56:$CB$91)&amp;YEAR($CB$56:$CB$91)=MONTH($A101)&amp;$D$98,$CH$56:$CH$91))</f>
        <v>168044.44921875</v>
      </c>
      <c r="F101" s="162">
        <f t="array" ref="F101">SUM(IF(MONTH([4]EnergyCurve!$D$3:$D$272)&amp;YEAR([4]EnergyCurve!$D$3:$D$272)=MONTH($A101)&amp;$F$98,[4]EnergyCurve!$O$3:$O$272))+SUM(IF(MONTH([4]EnergyCurve!$D$3:$D$272)&amp;YEAR([4]EnergyCurve!$D$3:$D$272)=MONTH($A101)&amp;$F$98,[4]EnergyCurve!$Q$3:$Q$272))+SUM(IF(MONTH($CB$12:$CB$47)&amp;YEAR($CB$12:$CB$47)=MONTH($A101)&amp;$F$98,$CH$12:$CH$47))</f>
        <v>144689.158203125</v>
      </c>
      <c r="G101" s="162">
        <f t="array" ref="G101">SUM(IF(MONTH([4]EnergyCurve!$D$3:$D$272)&amp;YEAR([4]EnergyCurve!$D$3:$D$272)=MONTH($A101)&amp;$F$98,[4]EnergyCurve!$P$3:$P$272))+SUM(IF(MONTH([4]EnergyCurve!$D$3:$D$272)&amp;YEAR([4]EnergyCurve!$D$3:$D$272)=MONTH($A101)&amp;$F$98,[4]EnergyCurve!$R$3:$R$272))+SUM(IF(MONTH($CB$56:$CB$91)&amp;YEAR($CB$56:$CB$91)=MONTH($A101)&amp;$F$98,$CH$56:$CH$91))</f>
        <v>117994.921875</v>
      </c>
      <c r="H101" s="162">
        <f t="array" ref="H101">SUM(IF(MONTH([4]EnergyCurve!$D$3:$D$272)&amp;YEAR([4]EnergyCurve!$D$3:$D$272)=MONTH($A101)&amp;$H$98,[4]EnergyCurve!$O$3:$O$272))+SUM(IF(MONTH([4]EnergyCurve!$D$3:$D$272)&amp;YEAR([4]EnergyCurve!$D$3:$D$272)=MONTH($A101)&amp;$H$98,[4]EnergyCurve!$Q$3:$Q$272))+SUM(IF(MONTH($CB$12:$CB$47)&amp;YEAR($CB$12:$CB$47)=MONTH($A101)&amp;$H$98,$CH$12:$CH$47))</f>
        <v>140839.65234375</v>
      </c>
      <c r="I101" s="162">
        <f t="array" ref="I101">SUM(IF(MONTH([4]EnergyCurve!$D$3:$D$272)&amp;YEAR([4]EnergyCurve!$D$3:$D$272)=MONTH($A101)&amp;$H$98,[4]EnergyCurve!$P$3:$P$272))+SUM(IF(MONTH([4]EnergyCurve!$D$3:$D$272)&amp;YEAR([4]EnergyCurve!$D$3:$D$272)=MONTH($A101)&amp;$H$98,[4]EnergyCurve!$R$3:$R$272))+SUM(IF(MONTH($CB$56:$CB$91)&amp;YEAR($CB$56:$CB$91)=MONTH($A101)&amp;$H$98,$CH$56:$CH$91))</f>
        <v>105809.10546875</v>
      </c>
      <c r="J101" s="162">
        <f t="array" ref="J101">SUM(IF(MONTH([4]EnergyCurve!$D$3:$D$272)&amp;YEAR([4]EnergyCurve!$D$3:$D$272)=MONTH($A101)&amp;$J$98,[4]EnergyCurve!$O$3:$O$272))+SUM(IF(MONTH([4]EnergyCurve!$D$3:$D$272)&amp;YEAR([4]EnergyCurve!$D$3:$D$272)=MONTH($A101)&amp;$J$98,[4]EnergyCurve!$Q$3:$Q$272))+SUM(IF(MONTH($CB$12:$CB$47)&amp;YEAR($CB$12:$CB$47)=MONTH($A101)&amp;$J$98,$CH$12:$CH$47))</f>
        <v>156848.7578125</v>
      </c>
      <c r="K101" s="162">
        <f t="array" ref="K101">SUM(IF(MONTH([4]EnergyCurve!$D$3:$D$272)&amp;YEAR([4]EnergyCurve!$D$3:$D$272)=MONTH($A101)&amp;$J$98,[4]EnergyCurve!$P$3:$P$272))+SUM(IF(MONTH([4]EnergyCurve!$D$3:$D$272)&amp;YEAR([4]EnergyCurve!$D$3:$D$272)=MONTH($A101)&amp;$J$98,[4]EnergyCurve!$R$3:$R$272))+SUM(IF(MONTH($CB$56:$CB$91)&amp;YEAR($CB$56:$CB$91)=MONTH($A101)&amp;$J$98,$CH$56:$CH$91))</f>
        <v>117806.0234375</v>
      </c>
      <c r="L101" s="162">
        <f t="array" ref="L101">SUM(IF(MONTH([4]EnergyCurve!$D$3:$D$272)&amp;YEAR([4]EnergyCurve!$D$3:$D$272)=MONTH($A101)&amp;$L$98,[4]EnergyCurve!$O$3:$O$272))+SUM(IF(MONTH([4]EnergyCurve!$D$3:$D$272)&amp;YEAR([4]EnergyCurve!$D$3:$D$272)=MONTH($A101)&amp;$L$98,[4]EnergyCurve!$Q$3:$Q$272))+SUM(IF(MONTH($CB$12:$CB$47)&amp;YEAR($CB$12:$CB$47)=MONTH($A101)&amp;$L$98,$CH$12:$CH$47))</f>
        <v>148248</v>
      </c>
      <c r="M101" s="162">
        <f t="array" ref="M101">SUM(IF(MONTH([4]EnergyCurve!$D$3:$D$272)&amp;YEAR([4]EnergyCurve!$D$3:$D$272)=MONTH($A101)&amp;$L$98,[4]EnergyCurve!$P$3:$P$272))+SUM(IF(MONTH([4]EnergyCurve!$D$3:$D$272)&amp;YEAR([4]EnergyCurve!$D$3:$D$272)=MONTH($A101)&amp;$L$98,[4]EnergyCurve!$R$3:$R$272))+SUM(IF(MONTH($CB$56:$CB$91)&amp;YEAR($CB$56:$CB$91)=MONTH($A101)&amp;$L$98,$CH$56:$CH$91))</f>
        <v>111186</v>
      </c>
      <c r="N101" s="162">
        <f t="array" ref="N101">SUM(IF(MONTH([4]EnergyCurve!$D$3:$D$272)&amp;YEAR([4]EnergyCurve!$D$3:$D$272)=MONTH($A101)&amp;$N$98,[4]EnergyCurve!$O$3:$O$272))+SUM(IF(MONTH([4]EnergyCurve!$D$3:$D$272)&amp;YEAR([4]EnergyCurve!$D$3:$D$272)=MONTH($A101)&amp;$N$98,[4]EnergyCurve!$Q$3:$Q$272))+SUM(IF(MONTH($CB$12:$CB$47)&amp;YEAR($CB$12:$CB$47)=MONTH($A101)&amp;$N$98,$CH$12:$CH$47))</f>
        <v>149545.08984375</v>
      </c>
      <c r="O101" s="286">
        <f t="array" ref="O101">SUM(IF(MONTH([4]EnergyCurve!$D$3:$D$272)&amp;YEAR([4]EnergyCurve!$D$3:$D$272)=MONTH($A101)&amp;$N$98,[4]EnergyCurve!$P$3:$P$272))+SUM(IF(MONTH([4]EnergyCurve!$D$3:$D$272)&amp;YEAR([4]EnergyCurve!$D$3:$D$272)=MONTH($A101)&amp;$N$98,[4]EnergyCurve!$R$3:$R$272))+SUM(IF(MONTH($CB$56:$CB$91)&amp;YEAR($CB$56:$CB$91)=MONTH($A101)&amp;$N$98,$CH$56:$CH$91))</f>
        <v>110663.37109375</v>
      </c>
      <c r="P101" s="162">
        <f t="array" ref="P101">SUM(IF(MONTH([4]EnergyCurve!$D$3:$D$272)=MONTH($A101),[4]EnergyCurve!$O$3:$O$272))+SUM(IF(MONTH([4]EnergyCurve!$D$3:$D$272)=MONTH($A101),[4]EnergyCurve!$Q$3:$Q$272))+SUM(IF(MONTH($CB$12:$CB$47)=MONTH($A101),$CH$12:$CH$47))</f>
        <v>2133888.8407481308</v>
      </c>
      <c r="Q101" s="162">
        <f t="array" ref="Q101">SUM(IF(MONTH([4]EnergyCurve!$D$3:$D$272)=MONTH($A101),[4]EnergyCurve!$P$3:$P$272))+SUM(IF(MONTH([4]EnergyCurve!$D$3:$D$272)=MONTH($A101),[4]EnergyCurve!$R$3:$R$272))+SUM(IF(MONTH($CB$56:$CB$91)=MONTH($A101),$CH$56:$CH$91))</f>
        <v>1725710.794921875</v>
      </c>
      <c r="R101" s="284"/>
      <c r="S101" s="284"/>
      <c r="T101" s="284"/>
      <c r="U101" s="71"/>
      <c r="W101" s="71"/>
      <c r="X101" s="312"/>
      <c r="Y101" s="284"/>
      <c r="Z101" s="276"/>
      <c r="AA101" s="290"/>
      <c r="AB101" s="290"/>
      <c r="AC101" s="277"/>
      <c r="AD101" s="69"/>
      <c r="AE101" s="69"/>
      <c r="AF101" s="69"/>
      <c r="AG101" s="69"/>
      <c r="AH101" s="69"/>
      <c r="AI101" s="69"/>
      <c r="AL101" s="29"/>
      <c r="AR101" s="29"/>
      <c r="DJ101" s="54">
        <f t="shared" si="77"/>
        <v>37834</v>
      </c>
      <c r="DK101" s="30">
        <f t="shared" si="75"/>
        <v>31</v>
      </c>
      <c r="DL101" s="30">
        <f t="shared" si="76"/>
        <v>5</v>
      </c>
      <c r="DM101" s="233">
        <v>39569</v>
      </c>
      <c r="DN101" s="154">
        <v>21</v>
      </c>
      <c r="DO101" s="155">
        <v>5</v>
      </c>
      <c r="DP101" s="155">
        <v>4</v>
      </c>
      <c r="DQ101" s="155">
        <v>1</v>
      </c>
      <c r="DR101" s="154">
        <v>31</v>
      </c>
      <c r="DS101" s="55"/>
      <c r="DT101" s="55"/>
      <c r="DU101" s="233">
        <v>39569</v>
      </c>
      <c r="DV101" s="154">
        <v>21</v>
      </c>
      <c r="DW101" s="155">
        <v>5</v>
      </c>
      <c r="DX101" s="155">
        <v>4</v>
      </c>
      <c r="DY101" s="155">
        <v>1</v>
      </c>
      <c r="DZ101" s="154">
        <v>31</v>
      </c>
      <c r="EA101" s="55"/>
      <c r="EB101" s="55"/>
    </row>
    <row r="102" spans="1:132" ht="15.75" x14ac:dyDescent="0.25">
      <c r="A102" s="145">
        <v>36586</v>
      </c>
      <c r="B102" s="162">
        <f t="array" ref="B102">SUM(IF(MONTH([4]EnergyCurve!$D$3:$D$272)&amp;YEAR([4]EnergyCurve!$D$3:$D$272)=MONTH($A102)&amp;$B$98,[4]EnergyCurve!$O$3:$O$272))+SUM(IF(MONTH([4]EnergyCurve!$D$3:$D$272)&amp;YEAR([4]EnergyCurve!$D$3:$D$272)=MONTH($A102)&amp;$B$98,[4]EnergyCurve!$Q$3:$Q$272))+SUM(IF(MONTH($CB$12:$CB$47)&amp;YEAR($CB$12:$CB$47)=MONTH($A102)&amp;$B$98,$CH$12:$CH$47))</f>
        <v>8614.3295573144133</v>
      </c>
      <c r="C102" s="162">
        <f t="array" ref="C102">SUM(IF(MONTH([4]EnergyCurve!$D$3:$D$272)&amp;YEAR([4]EnergyCurve!$D$3:$D$272)=MONTH($A102)&amp;$B$98,[4]EnergyCurve!$P$3:$P$272))+SUM(IF(MONTH([4]EnergyCurve!$D$3:$D$272)&amp;YEAR([4]EnergyCurve!$D$3:$D$272)=MONTH($A102)&amp;$B$98,[4]EnergyCurve!$R$3:$R$272))+SUM(IF(MONTH($CB$56:$CB$91)&amp;YEAR($CB$56:$CB$91)=MONTH($A102)&amp;$B$98,$CH$56:$CH$91))</f>
        <v>103632.287109375</v>
      </c>
      <c r="D102" s="162">
        <f t="array" ref="D102">SUM(IF(MONTH([4]EnergyCurve!$D$3:$D$272)&amp;YEAR([4]EnergyCurve!$D$3:$D$272)=MONTH($A102)&amp;$D$98,[4]EnergyCurve!$O$3:$O$272))+SUM(IF(MONTH([4]EnergyCurve!$D$3:$D$272)&amp;YEAR([4]EnergyCurve!$D$3:$D$272)=MONTH($A102)&amp;$D$98,[4]EnergyCurve!$Q$3:$Q$272))+SUM(IF(MONTH($CB$12:$CB$47)&amp;YEAR($CB$12:$CB$47)=MONTH($A102)&amp;$D$98,$CH$12:$CH$47))</f>
        <v>241321.66796875</v>
      </c>
      <c r="E102" s="162">
        <f t="array" ref="E102">SUM(IF(MONTH([4]EnergyCurve!$D$3:$D$272)&amp;YEAR([4]EnergyCurve!$D$3:$D$272)=MONTH($A102)&amp;$D$98,[4]EnergyCurve!$P$3:$P$272))+SUM(IF(MONTH([4]EnergyCurve!$D$3:$D$272)&amp;YEAR([4]EnergyCurve!$D$3:$D$272)=MONTH($A102)&amp;$D$98,[4]EnergyCurve!$R$3:$R$272))+SUM(IF(MONTH($CB$56:$CB$91)&amp;YEAR($CB$56:$CB$91)=MONTH($A102)&amp;$D$98,$CH$56:$CH$91))</f>
        <v>190880.69921875</v>
      </c>
      <c r="F102" s="162">
        <f t="array" ref="F102">SUM(IF(MONTH([4]EnergyCurve!$D$3:$D$272)&amp;YEAR([4]EnergyCurve!$D$3:$D$272)=MONTH($A102)&amp;$F$98,[4]EnergyCurve!$O$3:$O$272))+SUM(IF(MONTH([4]EnergyCurve!$D$3:$D$272)&amp;YEAR([4]EnergyCurve!$D$3:$D$272)=MONTH($A102)&amp;$F$98,[4]EnergyCurve!$Q$3:$Q$272))+SUM(IF(MONTH($CB$12:$CB$47)&amp;YEAR($CB$12:$CB$47)=MONTH($A102)&amp;$F$98,$CH$12:$CH$47))</f>
        <v>162228.8515625</v>
      </c>
      <c r="G102" s="162">
        <f t="array" ref="G102">SUM(IF(MONTH([4]EnergyCurve!$D$3:$D$272)&amp;YEAR([4]EnergyCurve!$D$3:$D$272)=MONTH($A102)&amp;$F$98,[4]EnergyCurve!$P$3:$P$272))+SUM(IF(MONTH([4]EnergyCurve!$D$3:$D$272)&amp;YEAR([4]EnergyCurve!$D$3:$D$272)=MONTH($A102)&amp;$F$98,[4]EnergyCurve!$R$3:$R$272))+SUM(IF(MONTH($CB$56:$CB$91)&amp;YEAR($CB$56:$CB$91)=MONTH($A102)&amp;$F$98,$CH$56:$CH$91))</f>
        <v>117600.7265625</v>
      </c>
      <c r="H102" s="162">
        <f t="array" ref="H102">SUM(IF(MONTH([4]EnergyCurve!$D$3:$D$272)&amp;YEAR([4]EnergyCurve!$D$3:$D$272)=MONTH($A102)&amp;$H$98,[4]EnergyCurve!$O$3:$O$272))+SUM(IF(MONTH([4]EnergyCurve!$D$3:$D$272)&amp;YEAR([4]EnergyCurve!$D$3:$D$272)=MONTH($A102)&amp;$H$98,[4]EnergyCurve!$Q$3:$Q$272))+SUM(IF(MONTH($CB$12:$CB$47)&amp;YEAR($CB$12:$CB$47)=MONTH($A102)&amp;$H$98,$CH$12:$CH$47))</f>
        <v>157708.306640625</v>
      </c>
      <c r="I102" s="162">
        <f t="array" ref="I102">SUM(IF(MONTH([4]EnergyCurve!$D$3:$D$272)&amp;YEAR([4]EnergyCurve!$D$3:$D$272)=MONTH($A102)&amp;$H$98,[4]EnergyCurve!$P$3:$P$272))+SUM(IF(MONTH([4]EnergyCurve!$D$3:$D$272)&amp;YEAR([4]EnergyCurve!$D$3:$D$272)=MONTH($A102)&amp;$H$98,[4]EnergyCurve!$R$3:$R$272))+SUM(IF(MONTH($CB$56:$CB$91)&amp;YEAR($CB$56:$CB$91)=MONTH($A102)&amp;$H$98,$CH$56:$CH$91))</f>
        <v>114099.978515625</v>
      </c>
      <c r="J102" s="162">
        <f t="array" ref="J102">SUM(IF(MONTH([4]EnergyCurve!$D$3:$D$272)&amp;YEAR([4]EnergyCurve!$D$3:$D$272)=MONTH($A102)&amp;$J$98,[4]EnergyCurve!$O$3:$O$272))+SUM(IF(MONTH([4]EnergyCurve!$D$3:$D$272)&amp;YEAR([4]EnergyCurve!$D$3:$D$272)=MONTH($A102)&amp;$J$98,[4]EnergyCurve!$Q$3:$Q$272))+SUM(IF(MONTH($CB$12:$CB$47)&amp;YEAR($CB$12:$CB$47)=MONTH($A102)&amp;$J$98,$CH$12:$CH$47))</f>
        <v>175518.142578125</v>
      </c>
      <c r="K102" s="162">
        <f t="array" ref="K102">SUM(IF(MONTH([4]EnergyCurve!$D$3:$D$272)&amp;YEAR([4]EnergyCurve!$D$3:$D$272)=MONTH($A102)&amp;$J$98,[4]EnergyCurve!$P$3:$P$272))+SUM(IF(MONTH([4]EnergyCurve!$D$3:$D$272)&amp;YEAR([4]EnergyCurve!$D$3:$D$272)=MONTH($A102)&amp;$J$98,[4]EnergyCurve!$R$3:$R$272))+SUM(IF(MONTH($CB$56:$CB$91)&amp;YEAR($CB$56:$CB$91)=MONTH($A102)&amp;$J$98,$CH$56:$CH$91))</f>
        <v>126951.494140625</v>
      </c>
      <c r="L102" s="162">
        <f t="array" ref="L102">SUM(IF(MONTH([4]EnergyCurve!$D$3:$D$272)&amp;YEAR([4]EnergyCurve!$D$3:$D$272)=MONTH($A102)&amp;$L$98,[4]EnergyCurve!$O$3:$O$272))+SUM(IF(MONTH([4]EnergyCurve!$D$3:$D$272)&amp;YEAR([4]EnergyCurve!$D$3:$D$272)=MONTH($A102)&amp;$L$98,[4]EnergyCurve!$Q$3:$Q$272))+SUM(IF(MONTH($CB$12:$CB$47)&amp;YEAR($CB$12:$CB$47)=MONTH($A102)&amp;$L$98,$CH$12:$CH$47))</f>
        <v>165949.326171875</v>
      </c>
      <c r="M102" s="162">
        <f t="array" ref="M102">SUM(IF(MONTH([4]EnergyCurve!$D$3:$D$272)&amp;YEAR([4]EnergyCurve!$D$3:$D$272)=MONTH($A102)&amp;$L$98,[4]EnergyCurve!$P$3:$P$272))+SUM(IF(MONTH([4]EnergyCurve!$D$3:$D$272)&amp;YEAR([4]EnergyCurve!$D$3:$D$272)=MONTH($A102)&amp;$L$98,[4]EnergyCurve!$R$3:$R$272))+SUM(IF(MONTH($CB$56:$CB$91)&amp;YEAR($CB$56:$CB$91)=MONTH($A102)&amp;$L$98,$CH$56:$CH$91))</f>
        <v>119852.2890625</v>
      </c>
      <c r="N102" s="162">
        <f t="array" ref="N102">SUM(IF(MONTH([4]EnergyCurve!$D$3:$D$272)&amp;YEAR([4]EnergyCurve!$D$3:$D$272)=MONTH($A102)&amp;$N$98,[4]EnergyCurve!$O$3:$O$272))+SUM(IF(MONTH([4]EnergyCurve!$D$3:$D$272)&amp;YEAR([4]EnergyCurve!$D$3:$D$272)=MONTH($A102)&amp;$N$98,[4]EnergyCurve!$Q$3:$Q$272))+SUM(IF(MONTH($CB$12:$CB$47)&amp;YEAR($CB$12:$CB$47)=MONTH($A102)&amp;$N$98,$CH$12:$CH$47))</f>
        <v>154702.84375</v>
      </c>
      <c r="O102" s="286">
        <f t="array" ref="O102">SUM(IF(MONTH([4]EnergyCurve!$D$3:$D$272)&amp;YEAR([4]EnergyCurve!$D$3:$D$272)=MONTH($A102)&amp;$N$98,[4]EnergyCurve!$P$3:$P$272))+SUM(IF(MONTH([4]EnergyCurve!$D$3:$D$272)&amp;YEAR([4]EnergyCurve!$D$3:$D$272)=MONTH($A102)&amp;$N$98,[4]EnergyCurve!$R$3:$R$272))+SUM(IF(MONTH($CB$56:$CB$91)&amp;YEAR($CB$56:$CB$91)=MONTH($A102)&amp;$N$98,$CH$56:$CH$91))</f>
        <v>121977.2421875</v>
      </c>
      <c r="P102" s="162">
        <f t="array" ref="P102">SUM(IF(MONTH([4]EnergyCurve!$D$3:$D$272)=MONTH($A102),[4]EnergyCurve!$O$3:$O$272))+SUM(IF(MONTH([4]EnergyCurve!$D$3:$D$272)=MONTH($A102),[4]EnergyCurve!$Q$3:$Q$272))+SUM(IF(MONTH($CB$12:$CB$47)=MONTH($A102),$CH$12:$CH$47))</f>
        <v>2342224.9779948145</v>
      </c>
      <c r="Q102" s="162">
        <f t="array" ref="Q102">SUM(IF(MONTH([4]EnergyCurve!$D$3:$D$272)=MONTH($A102),[4]EnergyCurve!$P$3:$P$272))+SUM(IF(MONTH([4]EnergyCurve!$D$3:$D$272)=MONTH($A102),[4]EnergyCurve!$R$3:$R$272))+SUM(IF(MONTH($CB$56:$CB$91)=MONTH($A102),$CH$56:$CH$91))</f>
        <v>1868405.251953125</v>
      </c>
      <c r="R102" s="284"/>
      <c r="S102" s="284"/>
      <c r="T102" s="284"/>
      <c r="U102" s="71"/>
      <c r="W102" s="71"/>
      <c r="X102" s="312"/>
      <c r="Y102" s="284"/>
      <c r="Z102" s="276"/>
      <c r="AA102" s="248"/>
      <c r="AB102" s="248"/>
      <c r="AC102" s="277"/>
      <c r="AD102" s="69"/>
      <c r="AE102" s="69"/>
      <c r="AF102" s="69"/>
      <c r="AG102" s="69"/>
      <c r="AH102" s="69"/>
      <c r="AI102" s="69"/>
      <c r="AL102" s="29"/>
      <c r="AR102" s="29"/>
      <c r="DJ102" s="54">
        <f t="shared" si="77"/>
        <v>37865</v>
      </c>
      <c r="DK102" s="30">
        <f t="shared" si="75"/>
        <v>30</v>
      </c>
      <c r="DL102" s="30">
        <f t="shared" si="76"/>
        <v>5</v>
      </c>
      <c r="DM102" s="233">
        <v>39600</v>
      </c>
      <c r="DN102" s="154">
        <v>21</v>
      </c>
      <c r="DO102" s="155">
        <v>4</v>
      </c>
      <c r="DP102" s="155">
        <v>5</v>
      </c>
      <c r="DQ102" s="155">
        <v>0</v>
      </c>
      <c r="DR102" s="154">
        <v>30</v>
      </c>
      <c r="DS102" s="55"/>
      <c r="DT102" s="55"/>
      <c r="DU102" s="233">
        <v>39600</v>
      </c>
      <c r="DV102" s="154">
        <v>21</v>
      </c>
      <c r="DW102" s="155">
        <v>4</v>
      </c>
      <c r="DX102" s="155">
        <v>5</v>
      </c>
      <c r="DY102" s="155">
        <v>0</v>
      </c>
      <c r="DZ102" s="154">
        <v>30</v>
      </c>
      <c r="EA102" s="55"/>
      <c r="EB102" s="55"/>
    </row>
    <row r="103" spans="1:132" ht="15" x14ac:dyDescent="0.2">
      <c r="A103" s="145">
        <v>36617</v>
      </c>
      <c r="B103" s="162">
        <f t="array" ref="B103">SUM(IF(MONTH([4]EnergyCurve!$D$3:$D$272)&amp;YEAR([4]EnergyCurve!$D$3:$D$272)=MONTH($A103)&amp;$B$98,[4]EnergyCurve!$O$3:$O$272))+SUM(IF(MONTH([4]EnergyCurve!$D$3:$D$272)&amp;YEAR([4]EnergyCurve!$D$3:$D$272)=MONTH($A103)&amp;$B$98,[4]EnergyCurve!$Q$3:$Q$272))+SUM(IF(MONTH($CB$12:$CB$47)&amp;YEAR($CB$12:$CB$47)=MONTH($A103)&amp;$B$98,$CH$12:$CH$47))</f>
        <v>28387.206597341454</v>
      </c>
      <c r="C103" s="162">
        <f t="array" ref="C103">SUM(IF(MONTH([4]EnergyCurve!$D$3:$D$272)&amp;YEAR([4]EnergyCurve!$D$3:$D$272)=MONTH($A103)&amp;$B$98,[4]EnergyCurve!$P$3:$P$272))+SUM(IF(MONTH([4]EnergyCurve!$D$3:$D$272)&amp;YEAR([4]EnergyCurve!$D$3:$D$272)=MONTH($A103)&amp;$B$98,[4]EnergyCurve!$R$3:$R$272))+SUM(IF(MONTH($CB$56:$CB$91)&amp;YEAR($CB$56:$CB$91)=MONTH($A103)&amp;$B$98,$CH$56:$CH$91))</f>
        <v>90668.173828125</v>
      </c>
      <c r="D103" s="162">
        <f t="array" ref="D103">SUM(IF(MONTH([4]EnergyCurve!$D$3:$D$272)&amp;YEAR([4]EnergyCurve!$D$3:$D$272)=MONTH($A103)&amp;$D$98,[4]EnergyCurve!$O$3:$O$272))+SUM(IF(MONTH([4]EnergyCurve!$D$3:$D$272)&amp;YEAR([4]EnergyCurve!$D$3:$D$272)=MONTH($A103)&amp;$D$98,[4]EnergyCurve!$Q$3:$Q$272))+SUM(IF(MONTH($CB$12:$CB$47)&amp;YEAR($CB$12:$CB$47)=MONTH($A103)&amp;$D$98,$CH$12:$CH$47))</f>
        <v>240614.51171875</v>
      </c>
      <c r="E103" s="162">
        <f t="array" ref="E103">SUM(IF(MONTH([4]EnergyCurve!$D$3:$D$272)&amp;YEAR([4]EnergyCurve!$D$3:$D$272)=MONTH($A103)&amp;$D$98,[4]EnergyCurve!$P$3:$P$272))+SUM(IF(MONTH([4]EnergyCurve!$D$3:$D$272)&amp;YEAR([4]EnergyCurve!$D$3:$D$272)=MONTH($A103)&amp;$D$98,[4]EnergyCurve!$R$3:$R$272))+SUM(IF(MONTH($CB$56:$CB$91)&amp;YEAR($CB$56:$CB$91)=MONTH($A103)&amp;$D$98,$CH$56:$CH$91))</f>
        <v>175802.33984375</v>
      </c>
      <c r="F103" s="162">
        <f t="array" ref="F103">SUM(IF(MONTH([4]EnergyCurve!$D$3:$D$272)&amp;YEAR([4]EnergyCurve!$D$3:$D$272)=MONTH($A103)&amp;$F$98,[4]EnergyCurve!$O$3:$O$272))+SUM(IF(MONTH([4]EnergyCurve!$D$3:$D$272)&amp;YEAR([4]EnergyCurve!$D$3:$D$272)=MONTH($A103)&amp;$F$98,[4]EnergyCurve!$Q$3:$Q$272))+SUM(IF(MONTH($CB$12:$CB$47)&amp;YEAR($CB$12:$CB$47)=MONTH($A103)&amp;$F$98,$CH$12:$CH$47))</f>
        <v>156026.548828125</v>
      </c>
      <c r="G103" s="162">
        <f t="array" ref="G103">SUM(IF(MONTH([4]EnergyCurve!$D$3:$D$272)&amp;YEAR([4]EnergyCurve!$D$3:$D$272)=MONTH($A103)&amp;$F$98,[4]EnergyCurve!$P$3:$P$272))+SUM(IF(MONTH([4]EnergyCurve!$D$3:$D$272)&amp;YEAR([4]EnergyCurve!$D$3:$D$272)=MONTH($A103)&amp;$F$98,[4]EnergyCurve!$R$3:$R$272))+SUM(IF(MONTH($CB$56:$CB$91)&amp;YEAR($CB$56:$CB$91)=MONTH($A103)&amp;$F$98,$CH$56:$CH$91))</f>
        <v>114047.125</v>
      </c>
      <c r="H103" s="162">
        <f t="array" ref="H103">SUM(IF(MONTH([4]EnergyCurve!$D$3:$D$272)&amp;YEAR([4]EnergyCurve!$D$3:$D$272)=MONTH($A103)&amp;$H$98,[4]EnergyCurve!$O$3:$O$272))+SUM(IF(MONTH([4]EnergyCurve!$D$3:$D$272)&amp;YEAR([4]EnergyCurve!$D$3:$D$272)=MONTH($A103)&amp;$H$98,[4]EnergyCurve!$Q$3:$Q$272))+SUM(IF(MONTH($CB$12:$CB$47)&amp;YEAR($CB$12:$CB$47)=MONTH($A103)&amp;$H$98,$CH$12:$CH$47))</f>
        <v>151217.45703125</v>
      </c>
      <c r="I103" s="162">
        <f t="array" ref="I103">SUM(IF(MONTH([4]EnergyCurve!$D$3:$D$272)&amp;YEAR([4]EnergyCurve!$D$3:$D$272)=MONTH($A103)&amp;$H$98,[4]EnergyCurve!$P$3:$P$272))+SUM(IF(MONTH([4]EnergyCurve!$D$3:$D$272)&amp;YEAR([4]EnergyCurve!$D$3:$D$272)=MONTH($A103)&amp;$H$98,[4]EnergyCurve!$R$3:$R$272))+SUM(IF(MONTH($CB$56:$CB$91)&amp;YEAR($CB$56:$CB$91)=MONTH($A103)&amp;$H$98,$CH$56:$CH$91))</f>
        <v>110324.71484375</v>
      </c>
      <c r="J103" s="162">
        <f t="array" ref="J103">SUM(IF(MONTH([4]EnergyCurve!$D$3:$D$272)&amp;YEAR([4]EnergyCurve!$D$3:$D$272)=MONTH($A103)&amp;$J$98,[4]EnergyCurve!$O$3:$O$272))+SUM(IF(MONTH([4]EnergyCurve!$D$3:$D$272)&amp;YEAR([4]EnergyCurve!$D$3:$D$272)=MONTH($A103)&amp;$J$98,[4]EnergyCurve!$Q$3:$Q$272))+SUM(IF(MONTH($CB$12:$CB$47)&amp;YEAR($CB$12:$CB$47)=MONTH($A103)&amp;$J$98,$CH$12:$CH$47))</f>
        <v>161706.744140625</v>
      </c>
      <c r="K103" s="162">
        <f t="array" ref="K103">SUM(IF(MONTH([4]EnergyCurve!$D$3:$D$272)&amp;YEAR([4]EnergyCurve!$D$3:$D$272)=MONTH($A103)&amp;$J$98,[4]EnergyCurve!$P$3:$P$272))+SUM(IF(MONTH([4]EnergyCurve!$D$3:$D$272)&amp;YEAR([4]EnergyCurve!$D$3:$D$272)=MONTH($A103)&amp;$J$98,[4]EnergyCurve!$R$3:$R$272))+SUM(IF(MONTH($CB$56:$CB$91)&amp;YEAR($CB$56:$CB$91)=MONTH($A103)&amp;$J$98,$CH$56:$CH$91))</f>
        <v>129143.048828125</v>
      </c>
      <c r="L103" s="162">
        <f t="array" ref="L103">SUM(IF(MONTH([4]EnergyCurve!$D$3:$D$272)&amp;YEAR([4]EnergyCurve!$D$3:$D$272)=MONTH($A103)&amp;$L$98,[4]EnergyCurve!$O$3:$O$272))+SUM(IF(MONTH([4]EnergyCurve!$D$3:$D$272)&amp;YEAR([4]EnergyCurve!$D$3:$D$272)=MONTH($A103)&amp;$L$98,[4]EnergyCurve!$Q$3:$Q$272))+SUM(IF(MONTH($CB$12:$CB$47)&amp;YEAR($CB$12:$CB$47)=MONTH($A103)&amp;$L$98,$CH$12:$CH$47))</f>
        <v>152923.306640625</v>
      </c>
      <c r="M103" s="162">
        <f t="array" ref="M103">SUM(IF(MONTH([4]EnergyCurve!$D$3:$D$272)&amp;YEAR([4]EnergyCurve!$D$3:$D$272)=MONTH($A103)&amp;$L$98,[4]EnergyCurve!$P$3:$P$272))+SUM(IF(MONTH([4]EnergyCurve!$D$3:$D$272)&amp;YEAR([4]EnergyCurve!$D$3:$D$272)=MONTH($A103)&amp;$L$98,[4]EnergyCurve!$R$3:$R$272))+SUM(IF(MONTH($CB$56:$CB$91)&amp;YEAR($CB$56:$CB$91)=MONTH($A103)&amp;$L$98,$CH$56:$CH$91))</f>
        <v>121956.341796875</v>
      </c>
      <c r="N103" s="162">
        <f t="array" ref="N103">SUM(IF(MONTH([4]EnergyCurve!$D$3:$D$272)&amp;YEAR([4]EnergyCurve!$D$3:$D$272)=MONTH($A103)&amp;$N$98,[4]EnergyCurve!$O$3:$O$272))+SUM(IF(MONTH([4]EnergyCurve!$D$3:$D$272)&amp;YEAR([4]EnergyCurve!$D$3:$D$272)=MONTH($A103)&amp;$N$98,[4]EnergyCurve!$Q$3:$Q$272))+SUM(IF(MONTH($CB$12:$CB$47)&amp;YEAR($CB$12:$CB$47)=MONTH($A103)&amp;$N$98,$CH$12:$CH$47))</f>
        <v>153905.04296875</v>
      </c>
      <c r="O103" s="286">
        <f t="array" ref="O103">SUM(IF(MONTH([4]EnergyCurve!$D$3:$D$272)&amp;YEAR([4]EnergyCurve!$D$3:$D$272)=MONTH($A103)&amp;$N$98,[4]EnergyCurve!$P$3:$P$272))+SUM(IF(MONTH([4]EnergyCurve!$D$3:$D$272)&amp;YEAR([4]EnergyCurve!$D$3:$D$272)=MONTH($A103)&amp;$N$98,[4]EnergyCurve!$R$3:$R$272))+SUM(IF(MONTH($CB$56:$CB$91)&amp;YEAR($CB$56:$CB$91)=MONTH($A103)&amp;$N$98,$CH$56:$CH$91))</f>
        <v>112099.10546875</v>
      </c>
      <c r="P103" s="162">
        <f t="array" ref="P103">SUM(IF(MONTH([4]EnergyCurve!$D$3:$D$272)=MONTH($A103),[4]EnergyCurve!$O$3:$O$272))+SUM(IF(MONTH([4]EnergyCurve!$D$3:$D$272)=MONTH($A103),[4]EnergyCurve!$Q$3:$Q$272))+SUM(IF(MONTH($CB$12:$CB$47)=MONTH($A103),$CH$12:$CH$47))</f>
        <v>2274496.2642145287</v>
      </c>
      <c r="Q103" s="162">
        <f t="array" ref="Q103">SUM(IF(MONTH([4]EnergyCurve!$D$3:$D$272)=MONTH($A103),[4]EnergyCurve!$P$3:$P$272))+SUM(IF(MONTH([4]EnergyCurve!$D$3:$D$272)=MONTH($A103),[4]EnergyCurve!$R$3:$R$272))+SUM(IF(MONTH($CB$56:$CB$91)=MONTH($A103),$CH$56:$CH$91))</f>
        <v>1790523.23046875</v>
      </c>
      <c r="R103" s="284"/>
      <c r="S103" s="284"/>
      <c r="T103" s="284"/>
      <c r="U103" s="71"/>
      <c r="W103" s="71"/>
      <c r="X103" s="312"/>
      <c r="Y103" s="284"/>
      <c r="Z103" s="313"/>
      <c r="AA103" s="314"/>
      <c r="AB103" s="314"/>
      <c r="AC103" s="277"/>
      <c r="AD103" s="69"/>
      <c r="AE103" s="69"/>
      <c r="AF103" s="69"/>
      <c r="AG103" s="69"/>
      <c r="AH103" s="69"/>
      <c r="AI103" s="69"/>
      <c r="AL103" s="29"/>
      <c r="AR103" s="29"/>
      <c r="DJ103" s="54">
        <f t="shared" si="77"/>
        <v>37895</v>
      </c>
      <c r="DK103" s="30">
        <f t="shared" si="75"/>
        <v>31</v>
      </c>
      <c r="DL103" s="30">
        <f t="shared" si="76"/>
        <v>4</v>
      </c>
      <c r="DM103" s="233">
        <v>39630</v>
      </c>
      <c r="DN103" s="154">
        <v>22</v>
      </c>
      <c r="DO103" s="155">
        <v>4</v>
      </c>
      <c r="DP103" s="155">
        <v>4</v>
      </c>
      <c r="DQ103" s="155">
        <v>1</v>
      </c>
      <c r="DR103" s="154">
        <v>31</v>
      </c>
      <c r="DS103" s="55"/>
      <c r="DT103" s="55"/>
      <c r="DU103" s="233">
        <v>39630</v>
      </c>
      <c r="DV103" s="154">
        <v>22</v>
      </c>
      <c r="DW103" s="155">
        <v>4</v>
      </c>
      <c r="DX103" s="155">
        <v>4</v>
      </c>
      <c r="DY103" s="155">
        <v>1</v>
      </c>
      <c r="DZ103" s="154">
        <v>31</v>
      </c>
      <c r="EA103" s="55"/>
      <c r="EB103" s="55"/>
    </row>
    <row r="104" spans="1:132" ht="15.75" x14ac:dyDescent="0.25">
      <c r="A104" s="145">
        <v>36647</v>
      </c>
      <c r="B104" s="162">
        <f t="array" ref="B104">SUM(IF(MONTH([4]EnergyCurve!$D$3:$D$272)&amp;YEAR([4]EnergyCurve!$D$3:$D$272)=MONTH($A104)&amp;$B$98,[4]EnergyCurve!$O$3:$O$272))+SUM(IF(MONTH([4]EnergyCurve!$D$3:$D$272)&amp;YEAR([4]EnergyCurve!$D$3:$D$272)=MONTH($A104)&amp;$B$98,[4]EnergyCurve!$Q$3:$Q$272))+SUM(IF(MONTH($CB$12:$CB$47)&amp;YEAR($CB$12:$CB$47)=MONTH($A104)&amp;$B$98,$CH$12:$CH$47))</f>
        <v>28718.754137267024</v>
      </c>
      <c r="C104" s="162">
        <f t="array" ref="C104">SUM(IF(MONTH([4]EnergyCurve!$D$3:$D$272)&amp;YEAR([4]EnergyCurve!$D$3:$D$272)=MONTH($A104)&amp;$B$98,[4]EnergyCurve!$P$3:$P$272))+SUM(IF(MONTH([4]EnergyCurve!$D$3:$D$272)&amp;YEAR([4]EnergyCurve!$D$3:$D$272)=MONTH($A104)&amp;$B$98,[4]EnergyCurve!$R$3:$R$272))+SUM(IF(MONTH($CB$56:$CB$91)&amp;YEAR($CB$56:$CB$91)=MONTH($A104)&amp;$B$98,$CH$56:$CH$91))</f>
        <v>97851.353515625</v>
      </c>
      <c r="D104" s="162">
        <f t="array" ref="D104">SUM(IF(MONTH([4]EnergyCurve!$D$3:$D$272)&amp;YEAR([4]EnergyCurve!$D$3:$D$272)=MONTH($A104)&amp;$D$98,[4]EnergyCurve!$O$3:$O$272))+SUM(IF(MONTH([4]EnergyCurve!$D$3:$D$272)&amp;YEAR([4]EnergyCurve!$D$3:$D$272)=MONTH($A104)&amp;$D$98,[4]EnergyCurve!$Q$3:$Q$272))+SUM(IF(MONTH($CB$12:$CB$47)&amp;YEAR($CB$12:$CB$47)=MONTH($A104)&amp;$D$98,$CH$12:$CH$47))</f>
        <v>239842.81640625</v>
      </c>
      <c r="E104" s="162">
        <f t="array" ref="E104">SUM(IF(MONTH([4]EnergyCurve!$D$3:$D$272)&amp;YEAR([4]EnergyCurve!$D$3:$D$272)=MONTH($A104)&amp;$D$98,[4]EnergyCurve!$P$3:$P$272))+SUM(IF(MONTH([4]EnergyCurve!$D$3:$D$272)&amp;YEAR([4]EnergyCurve!$D$3:$D$272)=MONTH($A104)&amp;$D$98,[4]EnergyCurve!$R$3:$R$272))+SUM(IF(MONTH($CB$56:$CB$91)&amp;YEAR($CB$56:$CB$91)=MONTH($A104)&amp;$D$98,$CH$56:$CH$91))</f>
        <v>189608.7265625</v>
      </c>
      <c r="F104" s="162">
        <f t="array" ref="F104">SUM(IF(MONTH([4]EnergyCurve!$D$3:$D$272)&amp;YEAR([4]EnergyCurve!$D$3:$D$272)=MONTH($A104)&amp;$F$98,[4]EnergyCurve!$O$3:$O$272))+SUM(IF(MONTH([4]EnergyCurve!$D$3:$D$272)&amp;YEAR([4]EnergyCurve!$D$3:$D$272)=MONTH($A104)&amp;$F$98,[4]EnergyCurve!$Q$3:$Q$272))+SUM(IF(MONTH($CB$12:$CB$47)&amp;YEAR($CB$12:$CB$47)=MONTH($A104)&amp;$F$98,$CH$12:$CH$47))</f>
        <v>149467.173828125</v>
      </c>
      <c r="G104" s="162">
        <f t="array" ref="G104">SUM(IF(MONTH([4]EnergyCurve!$D$3:$D$272)&amp;YEAR([4]EnergyCurve!$D$3:$D$272)=MONTH($A104)&amp;$F$98,[4]EnergyCurve!$P$3:$P$272))+SUM(IF(MONTH([4]EnergyCurve!$D$3:$D$272)&amp;YEAR([4]EnergyCurve!$D$3:$D$272)=MONTH($A104)&amp;$F$98,[4]EnergyCurve!$R$3:$R$272))+SUM(IF(MONTH($CB$56:$CB$91)&amp;YEAR($CB$56:$CB$91)=MONTH($A104)&amp;$F$98,$CH$56:$CH$91))</f>
        <v>128938.9765625</v>
      </c>
      <c r="H104" s="162">
        <f t="array" ref="H104">SUM(IF(MONTH([4]EnergyCurve!$D$3:$D$272)&amp;YEAR([4]EnergyCurve!$D$3:$D$272)=MONTH($A104)&amp;$H$98,[4]EnergyCurve!$O$3:$O$272))+SUM(IF(MONTH([4]EnergyCurve!$D$3:$D$272)&amp;YEAR([4]EnergyCurve!$D$3:$D$272)=MONTH($A104)&amp;$H$98,[4]EnergyCurve!$Q$3:$Q$272))+SUM(IF(MONTH($CB$12:$CB$47)&amp;YEAR($CB$12:$CB$47)=MONTH($A104)&amp;$H$98,$CH$12:$CH$47))</f>
        <v>144734.66015625</v>
      </c>
      <c r="I104" s="162">
        <f t="array" ref="I104">SUM(IF(MONTH([4]EnergyCurve!$D$3:$D$272)&amp;YEAR([4]EnergyCurve!$D$3:$D$272)=MONTH($A104)&amp;$H$98,[4]EnergyCurve!$P$3:$P$272))+SUM(IF(MONTH([4]EnergyCurve!$D$3:$D$272)&amp;YEAR([4]EnergyCurve!$D$3:$D$272)=MONTH($A104)&amp;$H$98,[4]EnergyCurve!$R$3:$R$272))+SUM(IF(MONTH($CB$56:$CB$91)&amp;YEAR($CB$56:$CB$91)=MONTH($A104)&amp;$H$98,$CH$56:$CH$91))</f>
        <v>124655.1171875</v>
      </c>
      <c r="J104" s="162">
        <f t="array" ref="J104">SUM(IF(MONTH([4]EnergyCurve!$D$3:$D$272)&amp;YEAR([4]EnergyCurve!$D$3:$D$272)=MONTH($A104)&amp;$J$98,[4]EnergyCurve!$O$3:$O$272))+SUM(IF(MONTH([4]EnergyCurve!$D$3:$D$272)&amp;YEAR([4]EnergyCurve!$D$3:$D$272)=MONTH($A104)&amp;$J$98,[4]EnergyCurve!$Q$3:$Q$272))+SUM(IF(MONTH($CB$12:$CB$47)&amp;YEAR($CB$12:$CB$47)=MONTH($A104)&amp;$J$98,$CH$12:$CH$47))</f>
        <v>167290.7421875</v>
      </c>
      <c r="K104" s="162">
        <f t="array" ref="K104">SUM(IF(MONTH([4]EnergyCurve!$D$3:$D$272)&amp;YEAR([4]EnergyCurve!$D$3:$D$272)=MONTH($A104)&amp;$J$98,[4]EnergyCurve!$P$3:$P$272))+SUM(IF(MONTH([4]EnergyCurve!$D$3:$D$272)&amp;YEAR([4]EnergyCurve!$D$3:$D$272)=MONTH($A104)&amp;$J$98,[4]EnergyCurve!$R$3:$R$272))+SUM(IF(MONTH($CB$56:$CB$91)&amp;YEAR($CB$56:$CB$91)=MONTH($A104)&amp;$J$98,$CH$56:$CH$91))</f>
        <v>132065.046875</v>
      </c>
      <c r="L104" s="162">
        <f t="array" ref="L104">SUM(IF(MONTH([4]EnergyCurve!$D$3:$D$272)&amp;YEAR([4]EnergyCurve!$D$3:$D$272)=MONTH($A104)&amp;$L$98,[4]EnergyCurve!$O$3:$O$272))+SUM(IF(MONTH([4]EnergyCurve!$D$3:$D$272)&amp;YEAR([4]EnergyCurve!$D$3:$D$272)=MONTH($A104)&amp;$L$98,[4]EnergyCurve!$Q$3:$Q$272))+SUM(IF(MONTH($CB$12:$CB$47)&amp;YEAR($CB$12:$CB$47)=MONTH($A104)&amp;$L$98,$CH$12:$CH$47))</f>
        <v>158245.1953125</v>
      </c>
      <c r="M104" s="162">
        <f t="array" ref="M104">SUM(IF(MONTH([4]EnergyCurve!$D$3:$D$272)&amp;YEAR([4]EnergyCurve!$D$3:$D$272)=MONTH($A104)&amp;$L$98,[4]EnergyCurve!$P$3:$P$272))+SUM(IF(MONTH([4]EnergyCurve!$D$3:$D$272)&amp;YEAR([4]EnergyCurve!$D$3:$D$272)=MONTH($A104)&amp;$L$98,[4]EnergyCurve!$R$3:$R$272))+SUM(IF(MONTH($CB$56:$CB$91)&amp;YEAR($CB$56:$CB$91)=MONTH($A104)&amp;$L$98,$CH$56:$CH$91))</f>
        <v>124770.244140625</v>
      </c>
      <c r="N104" s="162">
        <f t="array" ref="N104">SUM(IF(MONTH([4]EnergyCurve!$D$3:$D$272)&amp;YEAR([4]EnergyCurve!$D$3:$D$272)=MONTH($A104)&amp;$N$98,[4]EnergyCurve!$O$3:$O$272))+SUM(IF(MONTH([4]EnergyCurve!$D$3:$D$272)&amp;YEAR([4]EnergyCurve!$D$3:$D$272)=MONTH($A104)&amp;$N$98,[4]EnergyCurve!$Q$3:$Q$272))+SUM(IF(MONTH($CB$12:$CB$47)&amp;YEAR($CB$12:$CB$47)=MONTH($A104)&amp;$N$98,$CH$12:$CH$47))</f>
        <v>153075.310546875</v>
      </c>
      <c r="O104" s="286">
        <f t="array" ref="O104">SUM(IF(MONTH([4]EnergyCurve!$D$3:$D$272)&amp;YEAR([4]EnergyCurve!$D$3:$D$272)=MONTH($A104)&amp;$N$98,[4]EnergyCurve!$P$3:$P$272))+SUM(IF(MONTH([4]EnergyCurve!$D$3:$D$272)&amp;YEAR([4]EnergyCurve!$D$3:$D$272)=MONTH($A104)&amp;$N$98,[4]EnergyCurve!$R$3:$R$272))+SUM(IF(MONTH($CB$56:$CB$91)&amp;YEAR($CB$56:$CB$91)=MONTH($A104)&amp;$N$98,$CH$56:$CH$91))</f>
        <v>120693.998046875</v>
      </c>
      <c r="P104" s="162">
        <f t="array" ref="P104">SUM(IF(MONTH([4]EnergyCurve!$D$3:$D$272)=MONTH($A104),[4]EnergyCurve!$O$3:$O$272))+SUM(IF(MONTH([4]EnergyCurve!$D$3:$D$272)=MONTH($A104),[4]EnergyCurve!$Q$3:$Q$272))+SUM(IF(MONTH($CB$12:$CB$47)=MONTH($A104),$CH$12:$CH$47))</f>
        <v>2261671.9387075794</v>
      </c>
      <c r="Q104" s="162">
        <f t="array" ref="Q104">SUM(IF(MONTH([4]EnergyCurve!$D$3:$D$272)=MONTH($A104),[4]EnergyCurve!$P$3:$P$272))+SUM(IF(MONTH([4]EnergyCurve!$D$3:$D$272)=MONTH($A104),[4]EnergyCurve!$R$3:$R$272))+SUM(IF(MONTH($CB$56:$CB$91)=MONTH($A104),$CH$56:$CH$91))</f>
        <v>1926569.701171875</v>
      </c>
      <c r="R104" s="284"/>
      <c r="S104" s="284"/>
      <c r="T104" s="284"/>
      <c r="U104" s="71"/>
      <c r="W104" s="71"/>
      <c r="X104" s="312"/>
      <c r="Y104" s="284"/>
      <c r="Z104" s="276"/>
      <c r="AA104" s="290"/>
      <c r="AB104" s="290"/>
      <c r="AC104" s="277"/>
      <c r="AD104" s="69"/>
      <c r="AE104" s="69"/>
      <c r="AF104" s="69"/>
      <c r="AG104" s="69"/>
      <c r="AH104" s="69"/>
      <c r="AI104" s="69"/>
      <c r="AL104" s="29"/>
      <c r="AR104" s="29"/>
      <c r="DJ104" s="54">
        <f t="shared" si="77"/>
        <v>37926</v>
      </c>
      <c r="DK104" s="30">
        <f t="shared" si="75"/>
        <v>30</v>
      </c>
      <c r="DL104" s="30">
        <f t="shared" si="76"/>
        <v>6</v>
      </c>
      <c r="DM104" s="233">
        <v>39661</v>
      </c>
      <c r="DN104" s="154">
        <v>20</v>
      </c>
      <c r="DO104" s="155">
        <v>5</v>
      </c>
      <c r="DP104" s="155">
        <v>5</v>
      </c>
      <c r="DQ104" s="155">
        <v>1</v>
      </c>
      <c r="DR104" s="154">
        <v>31</v>
      </c>
      <c r="DS104" s="55"/>
      <c r="DT104" s="55"/>
      <c r="DU104" s="233">
        <v>39661</v>
      </c>
      <c r="DV104" s="154">
        <v>21</v>
      </c>
      <c r="DW104" s="155">
        <v>5</v>
      </c>
      <c r="DX104" s="155">
        <v>5</v>
      </c>
      <c r="DY104" s="155">
        <v>0</v>
      </c>
      <c r="DZ104" s="154">
        <v>31</v>
      </c>
      <c r="EA104" s="55"/>
      <c r="EB104" s="55"/>
    </row>
    <row r="105" spans="1:132" ht="15.75" x14ac:dyDescent="0.25">
      <c r="A105" s="145">
        <v>36678</v>
      </c>
      <c r="B105" s="162">
        <f t="array" ref="B105">SUM(IF(MONTH([4]EnergyCurve!$D$3:$D$272)&amp;YEAR([4]EnergyCurve!$D$3:$D$272)=MONTH($A105)&amp;$B$98,[4]EnergyCurve!$O$3:$O$272))+SUM(IF(MONTH([4]EnergyCurve!$D$3:$D$272)&amp;YEAR([4]EnergyCurve!$D$3:$D$272)=MONTH($A105)&amp;$B$98,[4]EnergyCurve!$Q$3:$Q$272))+SUM(IF(MONTH($CB$12:$CB$47)&amp;YEAR($CB$12:$CB$47)=MONTH($A105)&amp;$B$98,$CH$12:$CH$47))</f>
        <v>27665.743624593772</v>
      </c>
      <c r="C105" s="162">
        <f t="array" ref="C105">SUM(IF(MONTH([4]EnergyCurve!$D$3:$D$272)&amp;YEAR([4]EnergyCurve!$D$3:$D$272)=MONTH($A105)&amp;$B$98,[4]EnergyCurve!$P$3:$P$272))+SUM(IF(MONTH([4]EnergyCurve!$D$3:$D$272)&amp;YEAR([4]EnergyCurve!$D$3:$D$272)=MONTH($A105)&amp;$B$98,[4]EnergyCurve!$R$3:$R$272))+SUM(IF(MONTH($CB$56:$CB$91)&amp;YEAR($CB$56:$CB$91)=MONTH($A105)&amp;$B$98,$CH$56:$CH$91))</f>
        <v>95391.732421875</v>
      </c>
      <c r="D105" s="162">
        <f t="array" ref="D105">SUM(IF(MONTH([4]EnergyCurve!$D$3:$D$272)&amp;YEAR([4]EnergyCurve!$D$3:$D$272)=MONTH($A105)&amp;$D$98,[4]EnergyCurve!$O$3:$O$272))+SUM(IF(MONTH([4]EnergyCurve!$D$3:$D$272)&amp;YEAR([4]EnergyCurve!$D$3:$D$272)=MONTH($A105)&amp;$D$98,[4]EnergyCurve!$Q$3:$Q$272))+SUM(IF(MONTH($CB$12:$CB$47)&amp;YEAR($CB$12:$CB$47)=MONTH($A105)&amp;$D$98,$CH$12:$CH$47))</f>
        <v>229732.7578125</v>
      </c>
      <c r="E105" s="162">
        <f t="array" ref="E105">SUM(IF(MONTH([4]EnergyCurve!$D$3:$D$272)&amp;YEAR([4]EnergyCurve!$D$3:$D$272)=MONTH($A105)&amp;$D$98,[4]EnergyCurve!$P$3:$P$272))+SUM(IF(MONTH([4]EnergyCurve!$D$3:$D$272)&amp;YEAR([4]EnergyCurve!$D$3:$D$272)=MONTH($A105)&amp;$D$98,[4]EnergyCurve!$R$3:$R$272))+SUM(IF(MONTH($CB$56:$CB$91)&amp;YEAR($CB$56:$CB$91)=MONTH($A105)&amp;$D$98,$CH$56:$CH$91))</f>
        <v>184321.9453125</v>
      </c>
      <c r="F105" s="162">
        <f t="array" ref="F105">SUM(IF(MONTH([4]EnergyCurve!$D$3:$D$272)&amp;YEAR([4]EnergyCurve!$D$3:$D$272)=MONTH($A105)&amp;$F$98,[4]EnergyCurve!$O$3:$O$272))+SUM(IF(MONTH([4]EnergyCurve!$D$3:$D$272)&amp;YEAR([4]EnergyCurve!$D$3:$D$272)=MONTH($A105)&amp;$F$98,[4]EnergyCurve!$Q$3:$Q$272))+SUM(IF(MONTH($CB$12:$CB$47)&amp;YEAR($CB$12:$CB$47)=MONTH($A105)&amp;$F$98,$CH$12:$CH$47))</f>
        <v>154917.5859375</v>
      </c>
      <c r="G105" s="162">
        <f t="array" ref="G105">SUM(IF(MONTH([4]EnergyCurve!$D$3:$D$272)&amp;YEAR([4]EnergyCurve!$D$3:$D$272)=MONTH($A105)&amp;$F$98,[4]EnergyCurve!$P$3:$P$272))+SUM(IF(MONTH([4]EnergyCurve!$D$3:$D$272)&amp;YEAR([4]EnergyCurve!$D$3:$D$272)=MONTH($A105)&amp;$F$98,[4]EnergyCurve!$R$3:$R$272))+SUM(IF(MONTH($CB$56:$CB$91)&amp;YEAR($CB$56:$CB$91)=MONTH($A105)&amp;$F$98,$CH$56:$CH$91))</f>
        <v>113559.0859375</v>
      </c>
      <c r="H105" s="162">
        <f t="array" ref="H105">SUM(IF(MONTH([4]EnergyCurve!$D$3:$D$272)&amp;YEAR([4]EnergyCurve!$D$3:$D$272)=MONTH($A105)&amp;$H$98,[4]EnergyCurve!$O$3:$O$272))+SUM(IF(MONTH([4]EnergyCurve!$D$3:$D$272)&amp;YEAR([4]EnergyCurve!$D$3:$D$272)=MONTH($A105)&amp;$H$98,[4]EnergyCurve!$Q$3:$Q$272))+SUM(IF(MONTH($CB$12:$CB$47)&amp;YEAR($CB$12:$CB$47)=MONTH($A105)&amp;$H$98,$CH$12:$CH$47))</f>
        <v>149826.53515625</v>
      </c>
      <c r="I105" s="162">
        <f t="array" ref="I105">SUM(IF(MONTH([4]EnergyCurve!$D$3:$D$272)&amp;YEAR([4]EnergyCurve!$D$3:$D$272)=MONTH($A105)&amp;$H$98,[4]EnergyCurve!$P$3:$P$272))+SUM(IF(MONTH([4]EnergyCurve!$D$3:$D$272)&amp;YEAR([4]EnergyCurve!$D$3:$D$272)=MONTH($A105)&amp;$H$98,[4]EnergyCurve!$R$3:$R$272))+SUM(IF(MONTH($CB$56:$CB$91)&amp;YEAR($CB$56:$CB$91)=MONTH($A105)&amp;$H$98,$CH$56:$CH$91))</f>
        <v>109664.51171875</v>
      </c>
      <c r="J105" s="162">
        <f t="array" ref="J105">SUM(IF(MONTH([4]EnergyCurve!$D$3:$D$272)&amp;YEAR([4]EnergyCurve!$D$3:$D$272)=MONTH($A105)&amp;$J$98,[4]EnergyCurve!$O$3:$O$272))+SUM(IF(MONTH([4]EnergyCurve!$D$3:$D$272)&amp;YEAR([4]EnergyCurve!$D$3:$D$272)=MONTH($A105)&amp;$J$98,[4]EnergyCurve!$Q$3:$Q$272))+SUM(IF(MONTH($CB$12:$CB$47)&amp;YEAR($CB$12:$CB$47)=MONTH($A105)&amp;$J$98,$CH$12:$CH$47))</f>
        <v>166421.83203125</v>
      </c>
      <c r="K105" s="162">
        <f t="array" ref="K105">SUM(IF(MONTH([4]EnergyCurve!$D$3:$D$272)&amp;YEAR([4]EnergyCurve!$D$3:$D$272)=MONTH($A105)&amp;$J$98,[4]EnergyCurve!$P$3:$P$272))+SUM(IF(MONTH([4]EnergyCurve!$D$3:$D$272)&amp;YEAR([4]EnergyCurve!$D$3:$D$272)=MONTH($A105)&amp;$J$98,[4]EnergyCurve!$R$3:$R$272))+SUM(IF(MONTH($CB$56:$CB$91)&amp;YEAR($CB$56:$CB$91)=MONTH($A105)&amp;$J$98,$CH$56:$CH$91))</f>
        <v>121781.62890625</v>
      </c>
      <c r="L105" s="162">
        <f t="array" ref="L105">SUM(IF(MONTH([4]EnergyCurve!$D$3:$D$272)&amp;YEAR([4]EnergyCurve!$D$3:$D$272)=MONTH($A105)&amp;$L$98,[4]EnergyCurve!$O$3:$O$272))+SUM(IF(MONTH([4]EnergyCurve!$D$3:$D$272)&amp;YEAR([4]EnergyCurve!$D$3:$D$272)=MONTH($A105)&amp;$L$98,[4]EnergyCurve!$Q$3:$Q$272))+SUM(IF(MONTH($CB$12:$CB$47)&amp;YEAR($CB$12:$CB$47)=MONTH($A105)&amp;$L$98,$CH$12:$CH$47))</f>
        <v>157486.46875</v>
      </c>
      <c r="M105" s="162">
        <f t="array" ref="M105">SUM(IF(MONTH([4]EnergyCurve!$D$3:$D$272)&amp;YEAR([4]EnergyCurve!$D$3:$D$272)=MONTH($A105)&amp;$L$98,[4]EnergyCurve!$P$3:$P$272))+SUM(IF(MONTH([4]EnergyCurve!$D$3:$D$272)&amp;YEAR([4]EnergyCurve!$D$3:$D$272)=MONTH($A105)&amp;$L$98,[4]EnergyCurve!$R$3:$R$272))+SUM(IF(MONTH($CB$56:$CB$91)&amp;YEAR($CB$56:$CB$91)=MONTH($A105)&amp;$L$98,$CH$56:$CH$91))</f>
        <v>115086.265625</v>
      </c>
      <c r="N105" s="162">
        <f t="array" ref="N105">SUM(IF(MONTH([4]EnergyCurve!$D$3:$D$272)&amp;YEAR([4]EnergyCurve!$D$3:$D$272)=MONTH($A105)&amp;$N$98,[4]EnergyCurve!$O$3:$O$272))+SUM(IF(MONTH([4]EnergyCurve!$D$3:$D$272)&amp;YEAR([4]EnergyCurve!$D$3:$D$272)=MONTH($A105)&amp;$N$98,[4]EnergyCurve!$Q$3:$Q$272))+SUM(IF(MONTH($CB$12:$CB$47)&amp;YEAR($CB$12:$CB$47)=MONTH($A105)&amp;$N$98,$CH$12:$CH$47))</f>
        <v>146429.91015625</v>
      </c>
      <c r="O105" s="286">
        <f t="array" ref="O105">SUM(IF(MONTH([4]EnergyCurve!$D$3:$D$272)&amp;YEAR([4]EnergyCurve!$D$3:$D$272)=MONTH($A105)&amp;$N$98,[4]EnergyCurve!$P$3:$P$272))+SUM(IF(MONTH([4]EnergyCurve!$D$3:$D$272)&amp;YEAR([4]EnergyCurve!$D$3:$D$272)=MONTH($A105)&amp;$N$98,[4]EnergyCurve!$R$3:$R$272))+SUM(IF(MONTH($CB$56:$CB$91)&amp;YEAR($CB$56:$CB$91)=MONTH($A105)&amp;$N$98,$CH$56:$CH$91))</f>
        <v>117143.935546875</v>
      </c>
      <c r="P105" s="162">
        <f t="array" ref="P105">SUM(IF(MONTH([4]EnergyCurve!$D$3:$D$272)=MONTH($A105),[4]EnergyCurve!$O$3:$O$272))+SUM(IF(MONTH([4]EnergyCurve!$D$3:$D$272)=MONTH($A105),[4]EnergyCurve!$Q$3:$Q$272))+SUM(IF(MONTH($CB$12:$CB$47)=MONTH($A105),$CH$12:$CH$47))</f>
        <v>2260151.8051480311</v>
      </c>
      <c r="Q105" s="162">
        <f t="array" ref="Q105">SUM(IF(MONTH([4]EnergyCurve!$D$3:$D$272)=MONTH($A105),[4]EnergyCurve!$P$3:$P$272))+SUM(IF(MONTH([4]EnergyCurve!$D$3:$D$272)=MONTH($A105),[4]EnergyCurve!$R$3:$R$272))+SUM(IF(MONTH($CB$56:$CB$91)=MONTH($A105),$CH$56:$CH$91))</f>
        <v>1773436.6298828125</v>
      </c>
      <c r="R105" s="284"/>
      <c r="S105" s="284"/>
      <c r="T105" s="284"/>
      <c r="U105" s="71"/>
      <c r="W105" s="71"/>
      <c r="X105" s="312"/>
      <c r="Y105" s="284"/>
      <c r="Z105" s="276"/>
      <c r="AA105" s="248"/>
      <c r="AB105" s="248"/>
      <c r="AC105" s="277"/>
      <c r="AD105" s="69"/>
      <c r="AE105" s="69"/>
      <c r="AF105" s="69"/>
      <c r="AG105" s="69"/>
      <c r="AH105" s="69"/>
      <c r="AI105" s="69"/>
      <c r="AL105" s="29"/>
      <c r="AR105" s="29"/>
      <c r="DJ105" s="54">
        <f t="shared" si="77"/>
        <v>37956</v>
      </c>
      <c r="DK105" s="30">
        <f t="shared" si="75"/>
        <v>31</v>
      </c>
      <c r="DL105" s="30">
        <f t="shared" si="76"/>
        <v>5</v>
      </c>
      <c r="DM105" s="233">
        <v>39692</v>
      </c>
      <c r="DN105" s="154">
        <v>21</v>
      </c>
      <c r="DO105" s="155">
        <v>4</v>
      </c>
      <c r="DP105" s="155">
        <v>4</v>
      </c>
      <c r="DQ105" s="155">
        <v>1</v>
      </c>
      <c r="DR105" s="154">
        <v>30</v>
      </c>
      <c r="DS105" s="55"/>
      <c r="DT105" s="55"/>
      <c r="DU105" s="233">
        <v>39692</v>
      </c>
      <c r="DV105" s="154">
        <v>21</v>
      </c>
      <c r="DW105" s="155">
        <v>4</v>
      </c>
      <c r="DX105" s="155">
        <v>4</v>
      </c>
      <c r="DY105" s="155">
        <v>1</v>
      </c>
      <c r="DZ105" s="154">
        <v>30</v>
      </c>
      <c r="EA105" s="55"/>
      <c r="EB105" s="55"/>
    </row>
    <row r="106" spans="1:132" ht="15" x14ac:dyDescent="0.2">
      <c r="A106" s="145">
        <v>36708</v>
      </c>
      <c r="B106" s="162">
        <f t="array" ref="B106">SUM(IF(MONTH([4]EnergyCurve!$D$3:$D$272)&amp;YEAR([4]EnergyCurve!$D$3:$D$272)=MONTH($A106)&amp;$B$98,[4]EnergyCurve!$O$3:$O$272))+SUM(IF(MONTH([4]EnergyCurve!$D$3:$D$272)&amp;YEAR([4]EnergyCurve!$D$3:$D$272)=MONTH($A106)&amp;$B$98,[4]EnergyCurve!$Q$3:$Q$272))+SUM(IF(MONTH($CB$12:$CB$47)&amp;YEAR($CB$12:$CB$47)=MONTH($A106)&amp;$B$98,$CH$12:$CH$47))</f>
        <v>150097.60713423809</v>
      </c>
      <c r="C106" s="162">
        <f t="array" ref="C106">SUM(IF(MONTH([4]EnergyCurve!$D$3:$D$272)&amp;YEAR([4]EnergyCurve!$D$3:$D$272)=MONTH($A106)&amp;$B$98,[4]EnergyCurve!$P$3:$P$272))+SUM(IF(MONTH([4]EnergyCurve!$D$3:$D$272)&amp;YEAR([4]EnergyCurve!$D$3:$D$272)=MONTH($A106)&amp;$B$98,[4]EnergyCurve!$R$3:$R$272))+SUM(IF(MONTH($CB$56:$CB$91)&amp;YEAR($CB$56:$CB$91)=MONTH($A106)&amp;$B$98,$CH$56:$CH$91))</f>
        <v>193649.109375</v>
      </c>
      <c r="D106" s="162">
        <f t="array" ref="D106">SUM(IF(MONTH([4]EnergyCurve!$D$3:$D$272)&amp;YEAR([4]EnergyCurve!$D$3:$D$272)=MONTH($A106)&amp;$D$98,[4]EnergyCurve!$O$3:$O$272))+SUM(IF(MONTH([4]EnergyCurve!$D$3:$D$272)&amp;YEAR([4]EnergyCurve!$D$3:$D$272)=MONTH($A106)&amp;$D$98,[4]EnergyCurve!$Q$3:$Q$272))+SUM(IF(MONTH($CB$12:$CB$47)&amp;YEAR($CB$12:$CB$47)=MONTH($A106)&amp;$D$98,$CH$12:$CH$47))</f>
        <v>237937.58203125</v>
      </c>
      <c r="E106" s="162">
        <f t="array" ref="E106">SUM(IF(MONTH([4]EnergyCurve!$D$3:$D$272)&amp;YEAR([4]EnergyCurve!$D$3:$D$272)=MONTH($A106)&amp;$D$98,[4]EnergyCurve!$P$3:$P$272))+SUM(IF(MONTH([4]EnergyCurve!$D$3:$D$272)&amp;YEAR([4]EnergyCurve!$D$3:$D$272)=MONTH($A106)&amp;$D$98,[4]EnergyCurve!$R$3:$R$272))+SUM(IF(MONTH($CB$56:$CB$91)&amp;YEAR($CB$56:$CB$91)=MONTH($A106)&amp;$D$98,$CH$56:$CH$91))</f>
        <v>188094.50390625</v>
      </c>
      <c r="F106" s="162">
        <f t="array" ref="F106">SUM(IF(MONTH([4]EnergyCurve!$D$3:$D$272)&amp;YEAR([4]EnergyCurve!$D$3:$D$272)=MONTH($A106)&amp;$F$98,[4]EnergyCurve!$O$3:$O$272))+SUM(IF(MONTH([4]EnergyCurve!$D$3:$D$272)&amp;YEAR([4]EnergyCurve!$D$3:$D$272)=MONTH($A106)&amp;$F$98,[4]EnergyCurve!$Q$3:$Q$272))+SUM(IF(MONTH($CB$12:$CB$47)&amp;YEAR($CB$12:$CB$47)=MONTH($A106)&amp;$F$98,$CH$12:$CH$47))</f>
        <v>154457.75390625</v>
      </c>
      <c r="G106" s="162">
        <f t="array" ref="G106">SUM(IF(MONTH([4]EnergyCurve!$D$3:$D$272)&amp;YEAR([4]EnergyCurve!$D$3:$D$272)=MONTH($A106)&amp;$F$98,[4]EnergyCurve!$P$3:$P$272))+SUM(IF(MONTH([4]EnergyCurve!$D$3:$D$272)&amp;YEAR([4]EnergyCurve!$D$3:$D$272)=MONTH($A106)&amp;$F$98,[4]EnergyCurve!$R$3:$R$272))+SUM(IF(MONTH($CB$56:$CB$91)&amp;YEAR($CB$56:$CB$91)=MONTH($A106)&amp;$F$98,$CH$56:$CH$91))</f>
        <v>122116.138671875</v>
      </c>
      <c r="H106" s="162">
        <f t="array" ref="H106">SUM(IF(MONTH([4]EnergyCurve!$D$3:$D$272)&amp;YEAR([4]EnergyCurve!$D$3:$D$272)=MONTH($A106)&amp;$H$98,[4]EnergyCurve!$O$3:$O$272))+SUM(IF(MONTH([4]EnergyCurve!$D$3:$D$272)&amp;YEAR([4]EnergyCurve!$D$3:$D$272)=MONTH($A106)&amp;$H$98,[4]EnergyCurve!$Q$3:$Q$272))+SUM(IF(MONTH($CB$12:$CB$47)&amp;YEAR($CB$12:$CB$47)=MONTH($A106)&amp;$H$98,$CH$12:$CH$47))</f>
        <v>143344.423828125</v>
      </c>
      <c r="I106" s="162">
        <f t="array" ref="I106">SUM(IF(MONTH([4]EnergyCurve!$D$3:$D$272)&amp;YEAR([4]EnergyCurve!$D$3:$D$272)=MONTH($A106)&amp;$H$98,[4]EnergyCurve!$P$3:$P$272))+SUM(IF(MONTH([4]EnergyCurve!$D$3:$D$272)&amp;YEAR([4]EnergyCurve!$D$3:$D$272)=MONTH($A106)&amp;$H$98,[4]EnergyCurve!$R$3:$R$272))+SUM(IF(MONTH($CB$56:$CB$91)&amp;YEAR($CB$56:$CB$91)=MONTH($A106)&amp;$H$98,$CH$56:$CH$91))</f>
        <v>123466.390625</v>
      </c>
      <c r="J106" s="162">
        <f t="array" ref="J106">SUM(IF(MONTH([4]EnergyCurve!$D$3:$D$272)&amp;YEAR([4]EnergyCurve!$D$3:$D$272)=MONTH($A106)&amp;$J$98,[4]EnergyCurve!$O$3:$O$272))+SUM(IF(MONTH([4]EnergyCurve!$D$3:$D$272)&amp;YEAR([4]EnergyCurve!$D$3:$D$272)=MONTH($A106)&amp;$J$98,[4]EnergyCurve!$Q$3:$Q$272))+SUM(IF(MONTH($CB$12:$CB$47)&amp;YEAR($CB$12:$CB$47)=MONTH($A106)&amp;$J$98,$CH$12:$CH$47))</f>
        <v>159605.708984375</v>
      </c>
      <c r="K106" s="162">
        <f t="array" ref="K106">SUM(IF(MONTH([4]EnergyCurve!$D$3:$D$272)&amp;YEAR([4]EnergyCurve!$D$3:$D$272)=MONTH($A106)&amp;$J$98,[4]EnergyCurve!$P$3:$P$272))+SUM(IF(MONTH([4]EnergyCurve!$D$3:$D$272)&amp;YEAR([4]EnergyCurve!$D$3:$D$272)=MONTH($A106)&amp;$J$98,[4]EnergyCurve!$R$3:$R$272))+SUM(IF(MONTH($CB$56:$CB$91)&amp;YEAR($CB$56:$CB$91)=MONTH($A106)&amp;$J$98,$CH$56:$CH$91))</f>
        <v>137267.72265625</v>
      </c>
      <c r="L106" s="162">
        <f t="array" ref="L106">SUM(IF(MONTH([4]EnergyCurve!$D$3:$D$272)&amp;YEAR([4]EnergyCurve!$D$3:$D$272)=MONTH($A106)&amp;$L$98,[4]EnergyCurve!$O$3:$O$272))+SUM(IF(MONTH([4]EnergyCurve!$D$3:$D$272)&amp;YEAR([4]EnergyCurve!$D$3:$D$272)=MONTH($A106)&amp;$L$98,[4]EnergyCurve!$Q$3:$Q$272))+SUM(IF(MONTH($CB$12:$CB$47)&amp;YEAR($CB$12:$CB$47)=MONTH($A106)&amp;$L$98,$CH$12:$CH$47))</f>
        <v>150652.205078125</v>
      </c>
      <c r="M106" s="162">
        <f t="array" ref="M106">SUM(IF(MONTH([4]EnergyCurve!$D$3:$D$272)&amp;YEAR([4]EnergyCurve!$D$3:$D$272)=MONTH($A106)&amp;$L$98,[4]EnergyCurve!$P$3:$P$272))+SUM(IF(MONTH([4]EnergyCurve!$D$3:$D$272)&amp;YEAR([4]EnergyCurve!$D$3:$D$272)=MONTH($A106)&amp;$L$98,[4]EnergyCurve!$R$3:$R$272))+SUM(IF(MONTH($CB$56:$CB$91)&amp;YEAR($CB$56:$CB$91)=MONTH($A106)&amp;$L$98,$CH$56:$CH$91))</f>
        <v>129560.8984375</v>
      </c>
      <c r="N106" s="162">
        <f t="array" ref="N106">SUM(IF(MONTH([4]EnergyCurve!$D$3:$D$272)&amp;YEAR([4]EnergyCurve!$D$3:$D$272)=MONTH($A106)&amp;$N$98,[4]EnergyCurve!$O$3:$O$272))+SUM(IF(MONTH([4]EnergyCurve!$D$3:$D$272)&amp;YEAR([4]EnergyCurve!$D$3:$D$272)=MONTH($A106)&amp;$N$98,[4]EnergyCurve!$Q$3:$Q$272))+SUM(IF(MONTH($CB$12:$CB$47)&amp;YEAR($CB$12:$CB$47)=MONTH($A106)&amp;$N$98,$CH$12:$CH$47))</f>
        <v>151456.953125</v>
      </c>
      <c r="O106" s="286">
        <f t="array" ref="O106">SUM(IF(MONTH([4]EnergyCurve!$D$3:$D$272)&amp;YEAR([4]EnergyCurve!$D$3:$D$272)=MONTH($A106)&amp;$N$98,[4]EnergyCurve!$P$3:$P$272))+SUM(IF(MONTH([4]EnergyCurve!$D$3:$D$272)&amp;YEAR([4]EnergyCurve!$D$3:$D$272)=MONTH($A106)&amp;$N$98,[4]EnergyCurve!$R$3:$R$272))+SUM(IF(MONTH($CB$56:$CB$91)&amp;YEAR($CB$56:$CB$91)=MONTH($A106)&amp;$N$98,$CH$56:$CH$91))</f>
        <v>119417.986328125</v>
      </c>
      <c r="P106" s="162">
        <f t="array" ref="P106">SUM(IF(MONTH([4]EnergyCurve!$D$3:$D$272)=MONTH($A106),[4]EnergyCurve!$O$3:$O$272))+SUM(IF(MONTH([4]EnergyCurve!$D$3:$D$272)=MONTH($A106),[4]EnergyCurve!$Q$3:$Q$272))+SUM(IF(MONTH($CB$12:$CB$47)=MONTH($A106),$CH$12:$CH$47))</f>
        <v>2359629.0587943941</v>
      </c>
      <c r="Q106" s="162">
        <f t="array" ref="Q106">SUM(IF(MONTH([4]EnergyCurve!$D$3:$D$272)=MONTH($A106),[4]EnergyCurve!$P$3:$P$272))+SUM(IF(MONTH([4]EnergyCurve!$D$3:$D$272)=MONTH($A106),[4]EnergyCurve!$R$3:$R$272))+SUM(IF(MONTH($CB$56:$CB$91)=MONTH($A106),$CH$56:$CH$91))</f>
        <v>2003906.7236328125</v>
      </c>
      <c r="R106" s="284"/>
      <c r="S106" s="284"/>
      <c r="T106" s="284"/>
      <c r="U106" s="71"/>
      <c r="W106" s="71"/>
      <c r="X106" s="312"/>
      <c r="Y106" s="284"/>
      <c r="Z106" s="313"/>
      <c r="AA106" s="314"/>
      <c r="AB106" s="314"/>
      <c r="AC106" s="277"/>
      <c r="AD106" s="69"/>
      <c r="AE106" s="69"/>
      <c r="AF106" s="69"/>
      <c r="AG106" s="69"/>
      <c r="AH106" s="69"/>
      <c r="AI106" s="69"/>
      <c r="AL106" s="29"/>
      <c r="AR106" s="29"/>
      <c r="DJ106" s="54">
        <f t="shared" si="77"/>
        <v>37987</v>
      </c>
      <c r="DK106" s="30">
        <f t="shared" si="75"/>
        <v>31</v>
      </c>
      <c r="DL106" s="30">
        <f t="shared" si="76"/>
        <v>5</v>
      </c>
      <c r="DM106" s="233">
        <v>39722</v>
      </c>
      <c r="DN106" s="154">
        <v>22</v>
      </c>
      <c r="DO106" s="155">
        <v>4</v>
      </c>
      <c r="DP106" s="155">
        <v>4</v>
      </c>
      <c r="DQ106" s="155">
        <v>1</v>
      </c>
      <c r="DR106" s="154">
        <v>31</v>
      </c>
      <c r="DS106" s="55"/>
      <c r="DT106" s="55"/>
      <c r="DU106" s="233">
        <v>39722</v>
      </c>
      <c r="DV106" s="154">
        <v>23</v>
      </c>
      <c r="DW106" s="155">
        <v>4</v>
      </c>
      <c r="DX106" s="155">
        <v>4</v>
      </c>
      <c r="DY106" s="155">
        <v>0</v>
      </c>
      <c r="DZ106" s="154">
        <v>31</v>
      </c>
      <c r="EA106" s="55"/>
      <c r="EB106" s="55"/>
    </row>
    <row r="107" spans="1:132" ht="15.75" x14ac:dyDescent="0.25">
      <c r="A107" s="145">
        <v>36739</v>
      </c>
      <c r="B107" s="162">
        <f t="array" ref="B107">SUM(IF(MONTH([4]EnergyCurve!$D$3:$D$272)&amp;YEAR([4]EnergyCurve!$D$3:$D$272)=MONTH($A107)&amp;$B$98,[4]EnergyCurve!$O$3:$O$272))+SUM(IF(MONTH([4]EnergyCurve!$D$3:$D$272)&amp;YEAR([4]EnergyCurve!$D$3:$D$272)=MONTH($A107)&amp;$B$98,[4]EnergyCurve!$Q$3:$Q$272))+SUM(IF(MONTH($CB$12:$CB$47)&amp;YEAR($CB$12:$CB$47)=MONTH($A107)&amp;$B$98,$CH$12:$CH$47))</f>
        <v>156457.1257253892</v>
      </c>
      <c r="C107" s="162">
        <f t="array" ref="C107">SUM(IF(MONTH([4]EnergyCurve!$D$3:$D$272)&amp;YEAR([4]EnergyCurve!$D$3:$D$272)=MONTH($A107)&amp;$B$98,[4]EnergyCurve!$P$3:$P$272))+SUM(IF(MONTH([4]EnergyCurve!$D$3:$D$272)&amp;YEAR([4]EnergyCurve!$D$3:$D$272)=MONTH($A107)&amp;$B$98,[4]EnergyCurve!$R$3:$R$272))+SUM(IF(MONTH($CB$56:$CB$91)&amp;YEAR($CB$56:$CB$91)=MONTH($A107)&amp;$B$98,$CH$56:$CH$91))</f>
        <v>184485.0625</v>
      </c>
      <c r="D107" s="162">
        <f t="array" ref="D107">SUM(IF(MONTH([4]EnergyCurve!$D$3:$D$272)&amp;YEAR([4]EnergyCurve!$D$3:$D$272)=MONTH($A107)&amp;$D$98,[4]EnergyCurve!$O$3:$O$272))+SUM(IF(MONTH([4]EnergyCurve!$D$3:$D$272)&amp;YEAR([4]EnergyCurve!$D$3:$D$272)=MONTH($A107)&amp;$D$98,[4]EnergyCurve!$Q$3:$Q$272))+SUM(IF(MONTH($CB$12:$CB$47)&amp;YEAR($CB$12:$CB$47)=MONTH($A107)&amp;$D$98,$CH$12:$CH$47))</f>
        <v>237134.0703125</v>
      </c>
      <c r="E107" s="162">
        <f t="array" ref="E107">SUM(IF(MONTH([4]EnergyCurve!$D$3:$D$272)&amp;YEAR([4]EnergyCurve!$D$3:$D$272)=MONTH($A107)&amp;$D$98,[4]EnergyCurve!$P$3:$P$272))+SUM(IF(MONTH([4]EnergyCurve!$D$3:$D$272)&amp;YEAR([4]EnergyCurve!$D$3:$D$272)=MONTH($A107)&amp;$D$98,[4]EnergyCurve!$R$3:$R$272))+SUM(IF(MONTH($CB$56:$CB$91)&amp;YEAR($CB$56:$CB$91)=MONTH($A107)&amp;$D$98,$CH$56:$CH$91))</f>
        <v>187491.2890625</v>
      </c>
      <c r="F107" s="162">
        <f t="array" ref="F107">SUM(IF(MONTH([4]EnergyCurve!$D$3:$D$272)&amp;YEAR([4]EnergyCurve!$D$3:$D$272)=MONTH($A107)&amp;$F$98,[4]EnergyCurve!$O$3:$O$272))+SUM(IF(MONTH([4]EnergyCurve!$D$3:$D$272)&amp;YEAR([4]EnergyCurve!$D$3:$D$272)=MONTH($A107)&amp;$F$98,[4]EnergyCurve!$Q$3:$Q$272))+SUM(IF(MONTH($CB$12:$CB$47)&amp;YEAR($CB$12:$CB$47)=MONTH($A107)&amp;$F$98,$CH$12:$CH$47))</f>
        <v>153906.947265625</v>
      </c>
      <c r="G107" s="162">
        <f t="array" ref="G107">SUM(IF(MONTH([4]EnergyCurve!$D$3:$D$272)&amp;YEAR([4]EnergyCurve!$D$3:$D$272)=MONTH($A107)&amp;$F$98,[4]EnergyCurve!$P$3:$P$272))+SUM(IF(MONTH([4]EnergyCurve!$D$3:$D$272)&amp;YEAR([4]EnergyCurve!$D$3:$D$272)=MONTH($A107)&amp;$F$98,[4]EnergyCurve!$R$3:$R$272))+SUM(IF(MONTH($CB$56:$CB$91)&amp;YEAR($CB$56:$CB$91)=MONTH($A107)&amp;$F$98,$CH$56:$CH$91))</f>
        <v>121663.16796875</v>
      </c>
      <c r="H107" s="162">
        <f t="array" ref="H107">SUM(IF(MONTH([4]EnergyCurve!$D$3:$D$272)&amp;YEAR([4]EnergyCurve!$D$3:$D$272)=MONTH($A107)&amp;$H$98,[4]EnergyCurve!$O$3:$O$272))+SUM(IF(MONTH([4]EnergyCurve!$D$3:$D$272)&amp;YEAR([4]EnergyCurve!$D$3:$D$272)=MONTH($A107)&amp;$H$98,[4]EnergyCurve!$Q$3:$Q$272))+SUM(IF(MONTH($CB$12:$CB$47)&amp;YEAR($CB$12:$CB$47)=MONTH($A107)&amp;$H$98,$CH$12:$CH$47))</f>
        <v>154101.7578125</v>
      </c>
      <c r="I107" s="162">
        <f t="array" ref="I107">SUM(IF(MONTH([4]EnergyCurve!$D$3:$D$272)&amp;YEAR([4]EnergyCurve!$D$3:$D$272)=MONTH($A107)&amp;$H$98,[4]EnergyCurve!$P$3:$P$272))+SUM(IF(MONTH([4]EnergyCurve!$D$3:$D$272)&amp;YEAR([4]EnergyCurve!$D$3:$D$272)=MONTH($A107)&amp;$H$98,[4]EnergyCurve!$R$3:$R$272))+SUM(IF(MONTH($CB$56:$CB$91)&amp;YEAR($CB$56:$CB$91)=MONTH($A107)&amp;$H$98,$CH$56:$CH$91))</f>
        <v>111469.4375</v>
      </c>
      <c r="J107" s="162">
        <f t="array" ref="J107">SUM(IF(MONTH([4]EnergyCurve!$D$3:$D$272)&amp;YEAR([4]EnergyCurve!$D$3:$D$272)=MONTH($A107)&amp;$J$98,[4]EnergyCurve!$O$3:$O$272))+SUM(IF(MONTH([4]EnergyCurve!$D$3:$D$272)&amp;YEAR([4]EnergyCurve!$D$3:$D$272)=MONTH($A107)&amp;$J$98,[4]EnergyCurve!$Q$3:$Q$272))+SUM(IF(MONTH($CB$12:$CB$47)&amp;YEAR($CB$12:$CB$47)=MONTH($A107)&amp;$J$98,$CH$12:$CH$47))</f>
        <v>171465.564453125</v>
      </c>
      <c r="K107" s="162">
        <f t="array" ref="K107">SUM(IF(MONTH([4]EnergyCurve!$D$3:$D$272)&amp;YEAR([4]EnergyCurve!$D$3:$D$272)=MONTH($A107)&amp;$J$98,[4]EnergyCurve!$P$3:$P$272))+SUM(IF(MONTH([4]EnergyCurve!$D$3:$D$272)&amp;YEAR([4]EnergyCurve!$D$3:$D$272)=MONTH($A107)&amp;$J$98,[4]EnergyCurve!$R$3:$R$272))+SUM(IF(MONTH($CB$56:$CB$91)&amp;YEAR($CB$56:$CB$91)=MONTH($A107)&amp;$J$98,$CH$56:$CH$91))</f>
        <v>123847.908203125</v>
      </c>
      <c r="L107" s="162">
        <f t="array" ref="L107">SUM(IF(MONTH([4]EnergyCurve!$D$3:$D$272)&amp;YEAR([4]EnergyCurve!$D$3:$D$272)=MONTH($A107)&amp;$L$98,[4]EnergyCurve!$O$3:$O$272))+SUM(IF(MONTH([4]EnergyCurve!$D$3:$D$272)&amp;YEAR([4]EnergyCurve!$D$3:$D$272)=MONTH($A107)&amp;$L$98,[4]EnergyCurve!$Q$3:$Q$272))+SUM(IF(MONTH($CB$12:$CB$47)&amp;YEAR($CB$12:$CB$47)=MONTH($A107)&amp;$L$98,$CH$12:$CH$47))</f>
        <v>161894.236328125</v>
      </c>
      <c r="M107" s="162">
        <f t="array" ref="M107">SUM(IF(MONTH([4]EnergyCurve!$D$3:$D$272)&amp;YEAR([4]EnergyCurve!$D$3:$D$272)=MONTH($A107)&amp;$L$98,[4]EnergyCurve!$P$3:$P$272))+SUM(IF(MONTH([4]EnergyCurve!$D$3:$D$272)&amp;YEAR([4]EnergyCurve!$D$3:$D$272)=MONTH($A107)&amp;$L$98,[4]EnergyCurve!$R$3:$R$272))+SUM(IF(MONTH($CB$56:$CB$91)&amp;YEAR($CB$56:$CB$91)=MONTH($A107)&amp;$L$98,$CH$56:$CH$91))</f>
        <v>116923.611328125</v>
      </c>
      <c r="N107" s="162">
        <f t="array" ref="N107">SUM(IF(MONTH([4]EnergyCurve!$D$3:$D$272)&amp;YEAR([4]EnergyCurve!$D$3:$D$272)=MONTH($A107)&amp;$N$98,[4]EnergyCurve!$O$3:$O$272))+SUM(IF(MONTH([4]EnergyCurve!$D$3:$D$272)&amp;YEAR([4]EnergyCurve!$D$3:$D$272)=MONTH($A107)&amp;$N$98,[4]EnergyCurve!$Q$3:$Q$272))+SUM(IF(MONTH($CB$12:$CB$47)&amp;YEAR($CB$12:$CB$47)=MONTH($A107)&amp;$N$98,$CH$12:$CH$47))</f>
        <v>150636.765625</v>
      </c>
      <c r="O107" s="286">
        <f t="array" ref="O107">SUM(IF(MONTH([4]EnergyCurve!$D$3:$D$272)&amp;YEAR([4]EnergyCurve!$D$3:$D$272)=MONTH($A107)&amp;$N$98,[4]EnergyCurve!$P$3:$P$272))+SUM(IF(MONTH([4]EnergyCurve!$D$3:$D$272)&amp;YEAR([4]EnergyCurve!$D$3:$D$272)=MONTH($A107)&amp;$N$98,[4]EnergyCurve!$R$3:$R$272))+SUM(IF(MONTH($CB$56:$CB$91)&amp;YEAR($CB$56:$CB$91)=MONTH($A107)&amp;$N$98,$CH$56:$CH$91))</f>
        <v>118771.296875</v>
      </c>
      <c r="P107" s="162">
        <f t="array" ref="P107">SUM(IF(MONTH([4]EnergyCurve!$D$3:$D$272)=MONTH($A107),[4]EnergyCurve!$O$3:$O$272))+SUM(IF(MONTH([4]EnergyCurve!$D$3:$D$272)=MONTH($A107),[4]EnergyCurve!$Q$3:$Q$272))+SUM(IF(MONTH($CB$12:$CB$47)=MONTH($A107),$CH$12:$CH$47))</f>
        <v>2436096.6013113265</v>
      </c>
      <c r="Q107" s="162">
        <f t="array" ref="Q107">SUM(IF(MONTH([4]EnergyCurve!$D$3:$D$272)=MONTH($A107),[4]EnergyCurve!$P$3:$P$272))+SUM(IF(MONTH([4]EnergyCurve!$D$3:$D$272)=MONTH($A107),[4]EnergyCurve!$R$3:$R$272))+SUM(IF(MONTH($CB$56:$CB$91)=MONTH($A107),$CH$56:$CH$91))</f>
        <v>1903583.037109375</v>
      </c>
      <c r="R107" s="284"/>
      <c r="S107" s="284"/>
      <c r="T107" s="284"/>
      <c r="U107" s="71"/>
      <c r="W107" s="71"/>
      <c r="X107" s="312"/>
      <c r="Y107" s="284"/>
      <c r="Z107" s="276"/>
      <c r="AA107" s="290"/>
      <c r="AB107" s="290"/>
      <c r="AC107" s="277"/>
      <c r="AD107" s="69"/>
      <c r="AE107" s="69"/>
      <c r="AF107" s="69"/>
      <c r="AG107" s="69"/>
      <c r="AH107" s="69"/>
      <c r="AI107" s="69"/>
      <c r="AL107" s="29"/>
      <c r="AR107" s="29"/>
      <c r="DJ107" s="54">
        <f t="shared" si="77"/>
        <v>38018</v>
      </c>
      <c r="DK107" s="30">
        <f t="shared" si="75"/>
        <v>29</v>
      </c>
      <c r="DL107" s="30">
        <f t="shared" si="76"/>
        <v>5</v>
      </c>
      <c r="DM107" s="233">
        <v>39753</v>
      </c>
      <c r="DN107" s="154">
        <v>19</v>
      </c>
      <c r="DO107" s="155">
        <v>5</v>
      </c>
      <c r="DP107" s="155">
        <v>5</v>
      </c>
      <c r="DQ107" s="155">
        <v>1</v>
      </c>
      <c r="DR107" s="154">
        <v>30</v>
      </c>
      <c r="DS107" s="55"/>
      <c r="DT107" s="55"/>
      <c r="DU107" s="233">
        <v>39753</v>
      </c>
      <c r="DV107" s="154">
        <v>19</v>
      </c>
      <c r="DW107" s="155">
        <v>5</v>
      </c>
      <c r="DX107" s="155">
        <v>5</v>
      </c>
      <c r="DY107" s="155">
        <v>1</v>
      </c>
      <c r="DZ107" s="154">
        <v>30</v>
      </c>
      <c r="EA107" s="55"/>
      <c r="EB107" s="55"/>
    </row>
    <row r="108" spans="1:132" ht="15.75" x14ac:dyDescent="0.25">
      <c r="A108" s="145">
        <v>36770</v>
      </c>
      <c r="B108" s="162">
        <f t="array" ref="B108">SUM(IF(MONTH([4]EnergyCurve!$D$3:$D$272)&amp;YEAR([4]EnergyCurve!$D$3:$D$272)=MONTH($A108)&amp;$B$98,[4]EnergyCurve!$O$3:$O$272))+SUM(IF(MONTH([4]EnergyCurve!$D$3:$D$272)&amp;YEAR([4]EnergyCurve!$D$3:$D$272)=MONTH($A108)&amp;$B$98,[4]EnergyCurve!$Q$3:$Q$272))+SUM(IF(MONTH($CB$12:$CB$47)&amp;YEAR($CB$12:$CB$47)=MONTH($A108)&amp;$B$98,$CH$12:$CH$47))</f>
        <v>138723.75364459731</v>
      </c>
      <c r="C108" s="162">
        <f t="array" ref="C108">SUM(IF(MONTH([4]EnergyCurve!$D$3:$D$272)&amp;YEAR([4]EnergyCurve!$D$3:$D$272)=MONTH($A108)&amp;$B$98,[4]EnergyCurve!$P$3:$P$272))+SUM(IF(MONTH([4]EnergyCurve!$D$3:$D$272)&amp;YEAR([4]EnergyCurve!$D$3:$D$272)=MONTH($A108)&amp;$B$98,[4]EnergyCurve!$R$3:$R$272))+SUM(IF(MONTH($CB$56:$CB$91)&amp;YEAR($CB$56:$CB$91)=MONTH($A108)&amp;$B$98,$CH$56:$CH$91))</f>
        <v>197866.28125</v>
      </c>
      <c r="D108" s="162">
        <f t="array" ref="D108">SUM(IF(MONTH([4]EnergyCurve!$D$3:$D$272)&amp;YEAR([4]EnergyCurve!$D$3:$D$272)=MONTH($A108)&amp;$D$98,[4]EnergyCurve!$O$3:$O$272))+SUM(IF(MONTH([4]EnergyCurve!$D$3:$D$272)&amp;YEAR([4]EnergyCurve!$D$3:$D$272)=MONTH($A108)&amp;$D$98,[4]EnergyCurve!$Q$3:$Q$272))+SUM(IF(MONTH($CB$12:$CB$47)&amp;YEAR($CB$12:$CB$47)=MONTH($A108)&amp;$D$98,$CH$12:$CH$47))</f>
        <v>227422.33984375</v>
      </c>
      <c r="E108" s="162">
        <f t="array" ref="E108">SUM(IF(MONTH([4]EnergyCurve!$D$3:$D$272)&amp;YEAR([4]EnergyCurve!$D$3:$D$272)=MONTH($A108)&amp;$D$98,[4]EnergyCurve!$P$3:$P$272))+SUM(IF(MONTH([4]EnergyCurve!$D$3:$D$272)&amp;YEAR([4]EnergyCurve!$D$3:$D$272)=MONTH($A108)&amp;$D$98,[4]EnergyCurve!$R$3:$R$272))+SUM(IF(MONTH($CB$56:$CB$91)&amp;YEAR($CB$56:$CB$91)=MONTH($A108)&amp;$D$98,$CH$56:$CH$91))</f>
        <v>182275.29296875</v>
      </c>
      <c r="F108" s="162">
        <f t="array" ref="F108">SUM(IF(MONTH([4]EnergyCurve!$D$3:$D$272)&amp;YEAR([4]EnergyCurve!$D$3:$D$272)=MONTH($A108)&amp;$F$98,[4]EnergyCurve!$O$3:$O$272))+SUM(IF(MONTH([4]EnergyCurve!$D$3:$D$272)&amp;YEAR([4]EnergyCurve!$D$3:$D$272)=MONTH($A108)&amp;$F$98,[4]EnergyCurve!$Q$3:$Q$272))+SUM(IF(MONTH($CB$12:$CB$47)&amp;YEAR($CB$12:$CB$47)=MONTH($A108)&amp;$F$98,$CH$12:$CH$47))</f>
        <v>147341.408203125</v>
      </c>
      <c r="G108" s="162">
        <f t="array" ref="G108">SUM(IF(MONTH([4]EnergyCurve!$D$3:$D$272)&amp;YEAR([4]EnergyCurve!$D$3:$D$272)=MONTH($A108)&amp;$F$98,[4]EnergyCurve!$P$3:$P$272))+SUM(IF(MONTH([4]EnergyCurve!$D$3:$D$272)&amp;YEAR([4]EnergyCurve!$D$3:$D$272)=MONTH($A108)&amp;$F$98,[4]EnergyCurve!$R$3:$R$272))+SUM(IF(MONTH($CB$56:$CB$91)&amp;YEAR($CB$56:$CB$91)=MONTH($A108)&amp;$F$98,$CH$56:$CH$91))</f>
        <v>118149.40234375</v>
      </c>
      <c r="H108" s="162">
        <f t="array" ref="H108">SUM(IF(MONTH([4]EnergyCurve!$D$3:$D$272)&amp;YEAR([4]EnergyCurve!$D$3:$D$272)=MONTH($A108)&amp;$H$98,[4]EnergyCurve!$O$3:$O$272))+SUM(IF(MONTH([4]EnergyCurve!$D$3:$D$272)&amp;YEAR([4]EnergyCurve!$D$3:$D$272)=MONTH($A108)&amp;$H$98,[4]EnergyCurve!$Q$3:$Q$272))+SUM(IF(MONTH($CB$12:$CB$47)&amp;YEAR($CB$12:$CB$47)=MONTH($A108)&amp;$H$98,$CH$12:$CH$47))</f>
        <v>141998.04296875</v>
      </c>
      <c r="I108" s="162">
        <f t="array" ref="I108">SUM(IF(MONTH([4]EnergyCurve!$D$3:$D$272)&amp;YEAR([4]EnergyCurve!$D$3:$D$272)=MONTH($A108)&amp;$H$98,[4]EnergyCurve!$P$3:$P$272))+SUM(IF(MONTH([4]EnergyCurve!$D$3:$D$272)&amp;YEAR([4]EnergyCurve!$D$3:$D$272)=MONTH($A108)&amp;$H$98,[4]EnergyCurve!$R$3:$R$272))+SUM(IF(MONTH($CB$56:$CB$91)&amp;YEAR($CB$56:$CB$91)=MONTH($A108)&amp;$H$98,$CH$56:$CH$91))</f>
        <v>113753.56640625</v>
      </c>
      <c r="J108" s="162">
        <f t="array" ref="J108">SUM(IF(MONTH([4]EnergyCurve!$D$3:$D$272)&amp;YEAR([4]EnergyCurve!$D$3:$D$272)=MONTH($A108)&amp;$J$98,[4]EnergyCurve!$O$3:$O$272))+SUM(IF(MONTH([4]EnergyCurve!$D$3:$D$272)&amp;YEAR([4]EnergyCurve!$D$3:$D$272)=MONTH($A108)&amp;$J$98,[4]EnergyCurve!$Q$3:$Q$272))+SUM(IF(MONTH($CB$12:$CB$47)&amp;YEAR($CB$12:$CB$47)=MONTH($A108)&amp;$J$98,$CH$12:$CH$47))</f>
        <v>157942.451171875</v>
      </c>
      <c r="K108" s="162">
        <f t="array" ref="K108">SUM(IF(MONTH([4]EnergyCurve!$D$3:$D$272)&amp;YEAR([4]EnergyCurve!$D$3:$D$272)=MONTH($A108)&amp;$J$98,[4]EnergyCurve!$P$3:$P$272))+SUM(IF(MONTH([4]EnergyCurve!$D$3:$D$272)&amp;YEAR([4]EnergyCurve!$D$3:$D$272)=MONTH($A108)&amp;$J$98,[4]EnergyCurve!$R$3:$R$272))+SUM(IF(MONTH($CB$56:$CB$91)&amp;YEAR($CB$56:$CB$91)=MONTH($A108)&amp;$J$98,$CH$56:$CH$91))</f>
        <v>126361.03515625</v>
      </c>
      <c r="L108" s="162">
        <f t="array" ref="L108">SUM(IF(MONTH([4]EnergyCurve!$D$3:$D$272)&amp;YEAR([4]EnergyCurve!$D$3:$D$272)=MONTH($A108)&amp;$L$98,[4]EnergyCurve!$O$3:$O$272))+SUM(IF(MONTH([4]EnergyCurve!$D$3:$D$272)&amp;YEAR([4]EnergyCurve!$D$3:$D$272)=MONTH($A108)&amp;$L$98,[4]EnergyCurve!$Q$3:$Q$272))+SUM(IF(MONTH($CB$12:$CB$47)&amp;YEAR($CB$12:$CB$47)=MONTH($A108)&amp;$L$98,$CH$12:$CH$47))</f>
        <v>143166.4453125</v>
      </c>
      <c r="M108" s="162">
        <f t="array" ref="M108">SUM(IF(MONTH([4]EnergyCurve!$D$3:$D$272)&amp;YEAR([4]EnergyCurve!$D$3:$D$272)=MONTH($A108)&amp;$L$98,[4]EnergyCurve!$P$3:$P$272))+SUM(IF(MONTH([4]EnergyCurve!$D$3:$D$272)&amp;YEAR([4]EnergyCurve!$D$3:$D$272)=MONTH($A108)&amp;$L$98,[4]EnergyCurve!$R$3:$R$272))+SUM(IF(MONTH($CB$56:$CB$91)&amp;YEAR($CB$56:$CB$91)=MONTH($A108)&amp;$L$98,$CH$56:$CH$91))</f>
        <v>125270.64453125</v>
      </c>
      <c r="N108" s="162">
        <f t="array" ref="N108">SUM(IF(MONTH([4]EnergyCurve!$D$3:$D$272)&amp;YEAR([4]EnergyCurve!$D$3:$D$272)=MONTH($A108)&amp;$N$98,[4]EnergyCurve!$O$3:$O$272))+SUM(IF(MONTH([4]EnergyCurve!$D$3:$D$272)&amp;YEAR([4]EnergyCurve!$D$3:$D$272)=MONTH($A108)&amp;$N$98,[4]EnergyCurve!$Q$3:$Q$272))+SUM(IF(MONTH($CB$12:$CB$47)&amp;YEAR($CB$12:$CB$47)=MONTH($A108)&amp;$N$98,$CH$12:$CH$47))</f>
        <v>144070.201171875</v>
      </c>
      <c r="O108" s="286">
        <f t="array" ref="O108">SUM(IF(MONTH([4]EnergyCurve!$D$3:$D$272)&amp;YEAR([4]EnergyCurve!$D$3:$D$272)=MONTH($A108)&amp;$N$98,[4]EnergyCurve!$P$3:$P$272))+SUM(IF(MONTH([4]EnergyCurve!$D$3:$D$272)&amp;YEAR([4]EnergyCurve!$D$3:$D$272)=MONTH($A108)&amp;$N$98,[4]EnergyCurve!$R$3:$R$272))+SUM(IF(MONTH($CB$56:$CB$91)&amp;YEAR($CB$56:$CB$91)=MONTH($A108)&amp;$N$98,$CH$56:$CH$91))</f>
        <v>115256.158203125</v>
      </c>
      <c r="P108" s="162">
        <f t="array" ref="P108">SUM(IF(MONTH([4]EnergyCurve!$D$3:$D$272)=MONTH($A108),[4]EnergyCurve!$O$3:$O$272))+SUM(IF(MONTH([4]EnergyCurve!$D$3:$D$272)=MONTH($A108),[4]EnergyCurve!$Q$3:$Q$272))+SUM(IF(MONTH($CB$12:$CB$47)=MONTH($A108),$CH$12:$CH$47))</f>
        <v>2256371.6423164723</v>
      </c>
      <c r="Q108" s="162">
        <f t="array" ref="Q108">SUM(IF(MONTH([4]EnergyCurve!$D$3:$D$272)=MONTH($A108),[4]EnergyCurve!$P$3:$P$272))+SUM(IF(MONTH([4]EnergyCurve!$D$3:$D$272)=MONTH($A108),[4]EnergyCurve!$R$3:$R$272))+SUM(IF(MONTH($CB$56:$CB$91)=MONTH($A108),$CH$56:$CH$91))</f>
        <v>1929765.8896484375</v>
      </c>
      <c r="R108" s="284"/>
      <c r="S108" s="284"/>
      <c r="T108" s="284"/>
      <c r="U108" s="71"/>
      <c r="W108" s="71"/>
      <c r="X108" s="312"/>
      <c r="Y108" s="284"/>
      <c r="Z108" s="276"/>
      <c r="AA108" s="248"/>
      <c r="AB108" s="248"/>
      <c r="AC108" s="277"/>
      <c r="AD108" s="69"/>
      <c r="AE108" s="69"/>
      <c r="AF108" s="69"/>
      <c r="AG108" s="69"/>
      <c r="AH108" s="69"/>
      <c r="AI108" s="69"/>
      <c r="AL108" s="29"/>
      <c r="AR108" s="29"/>
      <c r="DJ108" s="54">
        <f t="shared" si="77"/>
        <v>38047</v>
      </c>
      <c r="DK108" s="30">
        <f t="shared" si="75"/>
        <v>31</v>
      </c>
      <c r="DL108" s="30">
        <f t="shared" si="76"/>
        <v>4</v>
      </c>
      <c r="DM108" s="233">
        <v>39783</v>
      </c>
      <c r="DN108" s="154">
        <v>21</v>
      </c>
      <c r="DO108" s="155">
        <v>4</v>
      </c>
      <c r="DP108" s="155">
        <v>4</v>
      </c>
      <c r="DQ108" s="155">
        <v>2</v>
      </c>
      <c r="DR108" s="154">
        <v>31</v>
      </c>
      <c r="DS108" s="55"/>
      <c r="DT108" s="55"/>
      <c r="DU108" s="233">
        <v>39783</v>
      </c>
      <c r="DV108" s="154">
        <v>22</v>
      </c>
      <c r="DW108" s="155">
        <v>4</v>
      </c>
      <c r="DX108" s="155">
        <v>4</v>
      </c>
      <c r="DY108" s="155">
        <v>1</v>
      </c>
      <c r="DZ108" s="154">
        <v>31</v>
      </c>
      <c r="EA108" s="55"/>
      <c r="EB108" s="55"/>
    </row>
    <row r="109" spans="1:132" ht="15" x14ac:dyDescent="0.2">
      <c r="A109" s="145">
        <v>36800</v>
      </c>
      <c r="B109" s="162">
        <f t="array" ref="B109">SUM(IF(MONTH([4]EnergyCurve!$D$3:$D$272)&amp;YEAR([4]EnergyCurve!$D$3:$D$272)=MONTH($A109)&amp;$B$98,[4]EnergyCurve!$O$3:$O$272))+SUM(IF(MONTH([4]EnergyCurve!$D$3:$D$272)&amp;YEAR([4]EnergyCurve!$D$3:$D$272)=MONTH($A109)&amp;$B$98,[4]EnergyCurve!$Q$3:$Q$272))+SUM(IF(MONTH($CB$12:$CB$47)&amp;YEAR($CB$12:$CB$47)=MONTH($A109)&amp;$B$98,$CH$12:$CH$47))</f>
        <v>40400.566480822781</v>
      </c>
      <c r="C109" s="162">
        <f t="array" ref="C109">SUM(IF(MONTH([4]EnergyCurve!$D$3:$D$272)&amp;YEAR([4]EnergyCurve!$D$3:$D$272)=MONTH($A109)&amp;$B$98,[4]EnergyCurve!$P$3:$P$272))+SUM(IF(MONTH([4]EnergyCurve!$D$3:$D$272)&amp;YEAR([4]EnergyCurve!$D$3:$D$272)=MONTH($A109)&amp;$B$98,[4]EnergyCurve!$R$3:$R$272))+SUM(IF(MONTH($CB$56:$CB$91)&amp;YEAR($CB$56:$CB$91)=MONTH($A109)&amp;$B$98,$CH$56:$CH$91))</f>
        <v>100566.421875</v>
      </c>
      <c r="D109" s="162">
        <f t="array" ref="D109">SUM(IF(MONTH([4]EnergyCurve!$D$3:$D$272)&amp;YEAR([4]EnergyCurve!$D$3:$D$272)=MONTH($A109)&amp;$D$98,[4]EnergyCurve!$O$3:$O$272))+SUM(IF(MONTH([4]EnergyCurve!$D$3:$D$272)&amp;YEAR([4]EnergyCurve!$D$3:$D$272)=MONTH($A109)&amp;$D$98,[4]EnergyCurve!$Q$3:$Q$272))+SUM(IF(MONTH($CB$12:$CB$47)&amp;YEAR($CB$12:$CB$47)=MONTH($A109)&amp;$D$98,$CH$12:$CH$47))</f>
        <v>244443.58984375</v>
      </c>
      <c r="E109" s="162">
        <f t="array" ref="E109">SUM(IF(MONTH([4]EnergyCurve!$D$3:$D$272)&amp;YEAR([4]EnergyCurve!$D$3:$D$272)=MONTH($A109)&amp;$D$98,[4]EnergyCurve!$P$3:$P$272))+SUM(IF(MONTH([4]EnergyCurve!$D$3:$D$272)&amp;YEAR([4]EnergyCurve!$D$3:$D$272)=MONTH($A109)&amp;$D$98,[4]EnergyCurve!$R$3:$R$272))+SUM(IF(MONTH($CB$56:$CB$91)&amp;YEAR($CB$56:$CB$91)=MONTH($A109)&amp;$D$98,$CH$56:$CH$91))</f>
        <v>177512.69140625</v>
      </c>
      <c r="F109" s="162">
        <f t="array" ref="F109">SUM(IF(MONTH([4]EnergyCurve!$D$3:$D$272)&amp;YEAR([4]EnergyCurve!$D$3:$D$272)=MONTH($A109)&amp;$F$98,[4]EnergyCurve!$O$3:$O$272))+SUM(IF(MONTH([4]EnergyCurve!$D$3:$D$272)&amp;YEAR([4]EnergyCurve!$D$3:$D$272)=MONTH($A109)&amp;$F$98,[4]EnergyCurve!$Q$3:$Q$272))+SUM(IF(MONTH($CB$12:$CB$47)&amp;YEAR($CB$12:$CB$47)=MONTH($A109)&amp;$F$98,$CH$12:$CH$47))</f>
        <v>152704.443359375</v>
      </c>
      <c r="G109" s="162">
        <f t="array" ref="G109">SUM(IF(MONTH([4]EnergyCurve!$D$3:$D$272)&amp;YEAR([4]EnergyCurve!$D$3:$D$272)=MONTH($A109)&amp;$F$98,[4]EnergyCurve!$P$3:$P$272))+SUM(IF(MONTH([4]EnergyCurve!$D$3:$D$272)&amp;YEAR([4]EnergyCurve!$D$3:$D$272)=MONTH($A109)&amp;$F$98,[4]EnergyCurve!$R$3:$R$272))+SUM(IF(MONTH($CB$56:$CB$91)&amp;YEAR($CB$56:$CB$91)=MONTH($A109)&amp;$F$98,$CH$56:$CH$91))</f>
        <v>121039.208984375</v>
      </c>
      <c r="H109" s="162">
        <f t="array" ref="H109">SUM(IF(MONTH([4]EnergyCurve!$D$3:$D$272)&amp;YEAR([4]EnergyCurve!$D$3:$D$272)=MONTH($A109)&amp;$H$98,[4]EnergyCurve!$O$3:$O$272))+SUM(IF(MONTH([4]EnergyCurve!$D$3:$D$272)&amp;YEAR([4]EnergyCurve!$D$3:$D$272)=MONTH($A109)&amp;$H$98,[4]EnergyCurve!$Q$3:$Q$272))+SUM(IF(MONTH($CB$12:$CB$47)&amp;YEAR($CB$12:$CB$47)=MONTH($A109)&amp;$H$98,$CH$12:$CH$47))</f>
        <v>146601.298828125</v>
      </c>
      <c r="I109" s="162">
        <f t="array" ref="I109">SUM(IF(MONTH([4]EnergyCurve!$D$3:$D$272)&amp;YEAR([4]EnergyCurve!$D$3:$D$272)=MONTH($A109)&amp;$H$98,[4]EnergyCurve!$P$3:$P$272))+SUM(IF(MONTH([4]EnergyCurve!$D$3:$D$272)&amp;YEAR([4]EnergyCurve!$D$3:$D$272)=MONTH($A109)&amp;$H$98,[4]EnergyCurve!$R$3:$R$272))+SUM(IF(MONTH($CB$56:$CB$91)&amp;YEAR($CB$56:$CB$91)=MONTH($A109)&amp;$H$98,$CH$56:$CH$91))</f>
        <v>116138.650390625</v>
      </c>
      <c r="J109" s="162">
        <f t="array" ref="J109">SUM(IF(MONTH([4]EnergyCurve!$D$3:$D$272)&amp;YEAR([4]EnergyCurve!$D$3:$D$272)=MONTH($A109)&amp;$J$98,[4]EnergyCurve!$O$3:$O$272))+SUM(IF(MONTH([4]EnergyCurve!$D$3:$D$272)&amp;YEAR([4]EnergyCurve!$D$3:$D$272)=MONTH($A109)&amp;$J$98,[4]EnergyCurve!$Q$3:$Q$272))+SUM(IF(MONTH($CB$12:$CB$47)&amp;YEAR($CB$12:$CB$47)=MONTH($A109)&amp;$J$98,$CH$12:$CH$47))</f>
        <v>163472.796875</v>
      </c>
      <c r="K109" s="162">
        <f t="array" ref="K109">SUM(IF(MONTH([4]EnergyCurve!$D$3:$D$272)&amp;YEAR([4]EnergyCurve!$D$3:$D$272)=MONTH($A109)&amp;$J$98,[4]EnergyCurve!$P$3:$P$272))+SUM(IF(MONTH([4]EnergyCurve!$D$3:$D$272)&amp;YEAR([4]EnergyCurve!$D$3:$D$272)=MONTH($A109)&amp;$J$98,[4]EnergyCurve!$R$3:$R$272))+SUM(IF(MONTH($CB$56:$CB$91)&amp;YEAR($CB$56:$CB$91)=MONTH($A109)&amp;$J$98,$CH$56:$CH$91))</f>
        <v>129289.65234375</v>
      </c>
      <c r="L109" s="162">
        <f t="array" ref="L109">SUM(IF(MONTH([4]EnergyCurve!$D$3:$D$272)&amp;YEAR([4]EnergyCurve!$D$3:$D$272)=MONTH($A109)&amp;$L$98,[4]EnergyCurve!$O$3:$O$272))+SUM(IF(MONTH([4]EnergyCurve!$D$3:$D$272)&amp;YEAR([4]EnergyCurve!$D$3:$D$272)=MONTH($A109)&amp;$L$98,[4]EnergyCurve!$Q$3:$Q$272))+SUM(IF(MONTH($CB$12:$CB$47)&amp;YEAR($CB$12:$CB$47)=MONTH($A109)&amp;$L$98,$CH$12:$CH$47))</f>
        <v>160244.76171875</v>
      </c>
      <c r="M109" s="162">
        <f t="array" ref="M109">SUM(IF(MONTH([4]EnergyCurve!$D$3:$D$272)&amp;YEAR([4]EnergyCurve!$D$3:$D$272)=MONTH($A109)&amp;$L$98,[4]EnergyCurve!$P$3:$P$272))+SUM(IF(MONTH([4]EnergyCurve!$D$3:$D$272)&amp;YEAR([4]EnergyCurve!$D$3:$D$272)=MONTH($A109)&amp;$L$98,[4]EnergyCurve!$R$3:$R$272))+SUM(IF(MONTH($CB$56:$CB$91)&amp;YEAR($CB$56:$CB$91)=MONTH($A109)&amp;$L$98,$CH$56:$CH$91))</f>
        <v>116103.26171875</v>
      </c>
      <c r="N109" s="162">
        <f t="array" ref="N109">SUM(IF(MONTH([4]EnergyCurve!$D$3:$D$272)&amp;YEAR([4]EnergyCurve!$D$3:$D$272)=MONTH($A109)&amp;$N$98,[4]EnergyCurve!$O$3:$O$272))+SUM(IF(MONTH([4]EnergyCurve!$D$3:$D$272)&amp;YEAR([4]EnergyCurve!$D$3:$D$272)=MONTH($A109)&amp;$N$98,[4]EnergyCurve!$Q$3:$Q$272))+SUM(IF(MONTH($CB$12:$CB$47)&amp;YEAR($CB$12:$CB$47)=MONTH($A109)&amp;$N$98,$CH$12:$CH$47))</f>
        <v>154738.70703125</v>
      </c>
      <c r="O109" s="286">
        <f t="array" ref="O109">SUM(IF(MONTH([4]EnergyCurve!$D$3:$D$272)&amp;YEAR([4]EnergyCurve!$D$3:$D$272)=MONTH($A109)&amp;$N$98,[4]EnergyCurve!$P$3:$P$272))+SUM(IF(MONTH([4]EnergyCurve!$D$3:$D$272)&amp;YEAR([4]EnergyCurve!$D$3:$D$272)=MONTH($A109)&amp;$N$98,[4]EnergyCurve!$R$3:$R$272))+SUM(IF(MONTH($CB$56:$CB$91)&amp;YEAR($CB$56:$CB$91)=MONTH($A109)&amp;$N$98,$CH$56:$CH$91))</f>
        <v>112113.92578125</v>
      </c>
      <c r="P109" s="162">
        <f t="array" ref="P109">SUM(IF(MONTH([4]EnergyCurve!$D$3:$D$272)=MONTH($A109),[4]EnergyCurve!$O$3:$O$272))+SUM(IF(MONTH([4]EnergyCurve!$D$3:$D$272)=MONTH($A109),[4]EnergyCurve!$Q$3:$Q$272))+SUM(IF(MONTH($CB$12:$CB$47)=MONTH($A109),$CH$12:$CH$47))</f>
        <v>2310487.4829847291</v>
      </c>
      <c r="Q109" s="162">
        <f t="array" ref="Q109">SUM(IF(MONTH([4]EnergyCurve!$D$3:$D$272)=MONTH($A109),[4]EnergyCurve!$P$3:$P$272))+SUM(IF(MONTH([4]EnergyCurve!$D$3:$D$272)=MONTH($A109),[4]EnergyCurve!$R$3:$R$272))+SUM(IF(MONTH($CB$56:$CB$91)=MONTH($A109),$CH$56:$CH$91))</f>
        <v>1837988.4389648438</v>
      </c>
      <c r="R109" s="284"/>
      <c r="S109" s="284"/>
      <c r="T109" s="284"/>
      <c r="U109" s="71"/>
      <c r="W109" s="71"/>
      <c r="X109" s="312"/>
      <c r="Y109" s="284"/>
      <c r="Z109" s="313"/>
      <c r="AA109" s="314"/>
      <c r="AB109" s="314"/>
      <c r="AC109" s="277"/>
      <c r="AD109" s="69"/>
      <c r="AE109" s="69"/>
      <c r="AF109" s="69"/>
      <c r="AG109" s="69"/>
      <c r="AH109" s="69"/>
      <c r="AI109" s="69"/>
      <c r="AL109" s="29"/>
      <c r="AR109" s="29"/>
      <c r="DJ109" s="54">
        <f t="shared" si="77"/>
        <v>38078</v>
      </c>
      <c r="DK109" s="30">
        <f t="shared" si="75"/>
        <v>30</v>
      </c>
      <c r="DL109" s="30">
        <f t="shared" si="76"/>
        <v>4</v>
      </c>
      <c r="DM109" s="233">
        <v>39814</v>
      </c>
      <c r="DN109" s="154">
        <v>21</v>
      </c>
      <c r="DO109" s="155">
        <v>5</v>
      </c>
      <c r="DP109" s="155">
        <v>4</v>
      </c>
      <c r="DQ109" s="155">
        <v>1</v>
      </c>
      <c r="DR109" s="154">
        <v>31</v>
      </c>
      <c r="DS109" s="55"/>
      <c r="DT109" s="55"/>
      <c r="DU109" s="233">
        <v>39814</v>
      </c>
      <c r="DV109" s="154">
        <v>21</v>
      </c>
      <c r="DW109" s="155">
        <v>5</v>
      </c>
      <c r="DX109" s="155">
        <v>4</v>
      </c>
      <c r="DY109" s="155">
        <v>1</v>
      </c>
      <c r="DZ109" s="154">
        <v>31</v>
      </c>
      <c r="EA109" s="55"/>
      <c r="EB109" s="55"/>
    </row>
    <row r="110" spans="1:132" ht="15.75" x14ac:dyDescent="0.25">
      <c r="A110" s="145">
        <v>36831</v>
      </c>
      <c r="B110" s="162">
        <f t="array" ref="B110">SUM(IF(MONTH([4]EnergyCurve!$D$3:$D$272)&amp;YEAR([4]EnergyCurve!$D$3:$D$272)=MONTH($A110)&amp;$B$98,[4]EnergyCurve!$O$3:$O$272))+SUM(IF(MONTH([4]EnergyCurve!$D$3:$D$272)&amp;YEAR([4]EnergyCurve!$D$3:$D$272)=MONTH($A110)&amp;$B$98,[4]EnergyCurve!$Q$3:$Q$272))+SUM(IF(MONTH($CB$12:$CB$47)&amp;YEAR($CB$12:$CB$47)=MONTH($A110)&amp;$B$98,$CH$12:$CH$47))</f>
        <v>38491.126055464178</v>
      </c>
      <c r="C110" s="162">
        <f t="array" ref="C110">SUM(IF(MONTH([4]EnergyCurve!$D$3:$D$272)&amp;YEAR([4]EnergyCurve!$D$3:$D$272)=MONTH($A110)&amp;$B$98,[4]EnergyCurve!$P$3:$P$272))+SUM(IF(MONTH([4]EnergyCurve!$D$3:$D$272)&amp;YEAR([4]EnergyCurve!$D$3:$D$272)=MONTH($A110)&amp;$B$98,[4]EnergyCurve!$R$3:$R$272))+SUM(IF(MONTH($CB$56:$CB$91)&amp;YEAR($CB$56:$CB$91)=MONTH($A110)&amp;$B$98,$CH$56:$CH$91))</f>
        <v>103332.533203125</v>
      </c>
      <c r="D110" s="162">
        <f t="array" ref="D110">SUM(IF(MONTH([4]EnergyCurve!$D$3:$D$272)&amp;YEAR([4]EnergyCurve!$D$3:$D$272)=MONTH($A110)&amp;$D$98,[4]EnergyCurve!$O$3:$O$272))+SUM(IF(MONTH([4]EnergyCurve!$D$3:$D$272)&amp;YEAR([4]EnergyCurve!$D$3:$D$272)=MONTH($A110)&amp;$D$98,[4]EnergyCurve!$Q$3:$Q$272))+SUM(IF(MONTH($CB$12:$CB$47)&amp;YEAR($CB$12:$CB$47)=MONTH($A110)&amp;$D$98,$CH$12:$CH$47))</f>
        <v>216987.4453125</v>
      </c>
      <c r="E110" s="162">
        <f t="array" ref="E110">SUM(IF(MONTH([4]EnergyCurve!$D$3:$D$272)&amp;YEAR([4]EnergyCurve!$D$3:$D$272)=MONTH($A110)&amp;$D$98,[4]EnergyCurve!$P$3:$P$272))+SUM(IF(MONTH([4]EnergyCurve!$D$3:$D$272)&amp;YEAR([4]EnergyCurve!$D$3:$D$272)=MONTH($A110)&amp;$D$98,[4]EnergyCurve!$R$3:$R$272))+SUM(IF(MONTH($CB$56:$CB$91)&amp;YEAR($CB$56:$CB$91)=MONTH($A110)&amp;$D$98,$CH$56:$CH$91))</f>
        <v>190292.1015625</v>
      </c>
      <c r="F110" s="162">
        <f t="array" ref="F110">SUM(IF(MONTH([4]EnergyCurve!$D$3:$D$272)&amp;YEAR([4]EnergyCurve!$D$3:$D$272)=MONTH($A110)&amp;$F$98,[4]EnergyCurve!$O$3:$O$272))+SUM(IF(MONTH([4]EnergyCurve!$D$3:$D$272)&amp;YEAR([4]EnergyCurve!$D$3:$D$272)=MONTH($A110)&amp;$F$98,[4]EnergyCurve!$Q$3:$Q$272))+SUM(IF(MONTH($CB$12:$CB$47)&amp;YEAR($CB$12:$CB$47)=MONTH($A110)&amp;$F$98,$CH$12:$CH$47))</f>
        <v>146425.515625</v>
      </c>
      <c r="G110" s="162">
        <f t="array" ref="G110">SUM(IF(MONTH([4]EnergyCurve!$D$3:$D$272)&amp;YEAR([4]EnergyCurve!$D$3:$D$272)=MONTH($A110)&amp;$F$98,[4]EnergyCurve!$P$3:$P$272))+SUM(IF(MONTH([4]EnergyCurve!$D$3:$D$272)&amp;YEAR([4]EnergyCurve!$D$3:$D$272)=MONTH($A110)&amp;$F$98,[4]EnergyCurve!$R$3:$R$272))+SUM(IF(MONTH($CB$56:$CB$91)&amp;YEAR($CB$56:$CB$91)=MONTH($A110)&amp;$F$98,$CH$56:$CH$91))</f>
        <v>117372.333984375</v>
      </c>
      <c r="H110" s="162">
        <f t="array" ref="H110">SUM(IF(MONTH([4]EnergyCurve!$D$3:$D$272)&amp;YEAR([4]EnergyCurve!$D$3:$D$272)=MONTH($A110)&amp;$H$98,[4]EnergyCurve!$O$3:$O$272))+SUM(IF(MONTH([4]EnergyCurve!$D$3:$D$272)&amp;YEAR([4]EnergyCurve!$D$3:$D$272)=MONTH($A110)&amp;$H$98,[4]EnergyCurve!$Q$3:$Q$272))+SUM(IF(MONTH($CB$12:$CB$47)&amp;YEAR($CB$12:$CB$47)=MONTH($A110)&amp;$H$98,$CH$12:$CH$47))</f>
        <v>140591.33984375</v>
      </c>
      <c r="I110" s="162">
        <f t="array" ref="I110">SUM(IF(MONTH([4]EnergyCurve!$D$3:$D$272)&amp;YEAR([4]EnergyCurve!$D$3:$D$272)=MONTH($A110)&amp;$H$98,[4]EnergyCurve!$P$3:$P$272))+SUM(IF(MONTH([4]EnergyCurve!$D$3:$D$272)&amp;YEAR([4]EnergyCurve!$D$3:$D$272)=MONTH($A110)&amp;$H$98,[4]EnergyCurve!$R$3:$R$272))+SUM(IF(MONTH($CB$56:$CB$91)&amp;YEAR($CB$56:$CB$91)=MONTH($A110)&amp;$H$98,$CH$56:$CH$91))</f>
        <v>112692.283203125</v>
      </c>
      <c r="J110" s="162">
        <f t="array" ref="J110">SUM(IF(MONTH([4]EnergyCurve!$D$3:$D$272)&amp;YEAR([4]EnergyCurve!$D$3:$D$272)=MONTH($A110)&amp;$J$98,[4]EnergyCurve!$O$3:$O$272))+SUM(IF(MONTH([4]EnergyCurve!$D$3:$D$272)&amp;YEAR([4]EnergyCurve!$D$3:$D$272)=MONTH($A110)&amp;$J$98,[4]EnergyCurve!$Q$3:$Q$272))+SUM(IF(MONTH($CB$12:$CB$47)&amp;YEAR($CB$12:$CB$47)=MONTH($A110)&amp;$J$98,$CH$12:$CH$47))</f>
        <v>156452.1953125</v>
      </c>
      <c r="K110" s="162">
        <f t="array" ref="K110">SUM(IF(MONTH([4]EnergyCurve!$D$3:$D$272)&amp;YEAR([4]EnergyCurve!$D$3:$D$272)=MONTH($A110)&amp;$J$98,[4]EnergyCurve!$P$3:$P$272))+SUM(IF(MONTH([4]EnergyCurve!$D$3:$D$272)&amp;YEAR([4]EnergyCurve!$D$3:$D$272)=MONTH($A110)&amp;$J$98,[4]EnergyCurve!$R$3:$R$272))+SUM(IF(MONTH($CB$56:$CB$91)&amp;YEAR($CB$56:$CB$91)=MONTH($A110)&amp;$J$98,$CH$56:$CH$91))</f>
        <v>125166.8828125</v>
      </c>
      <c r="L110" s="162">
        <f t="array" ref="L110">SUM(IF(MONTH([4]EnergyCurve!$D$3:$D$272)&amp;YEAR([4]EnergyCurve!$D$3:$D$272)=MONTH($A110)&amp;$L$98,[4]EnergyCurve!$O$3:$O$272))+SUM(IF(MONTH([4]EnergyCurve!$D$3:$D$272)&amp;YEAR([4]EnergyCurve!$D$3:$D$272)=MONTH($A110)&amp;$L$98,[4]EnergyCurve!$Q$3:$Q$272))+SUM(IF(MONTH($CB$12:$CB$47)&amp;YEAR($CB$12:$CB$47)=MONTH($A110)&amp;$L$98,$CH$12:$CH$47))</f>
        <v>147631</v>
      </c>
      <c r="M110" s="162">
        <f t="array" ref="M110">SUM(IF(MONTH([4]EnergyCurve!$D$3:$D$272)&amp;YEAR([4]EnergyCurve!$D$3:$D$272)=MONTH($A110)&amp;$L$98,[4]EnergyCurve!$P$3:$P$272))+SUM(IF(MONTH([4]EnergyCurve!$D$3:$D$272)&amp;YEAR([4]EnergyCurve!$D$3:$D$272)=MONTH($A110)&amp;$L$98,[4]EnergyCurve!$R$3:$R$272))+SUM(IF(MONTH($CB$56:$CB$91)&amp;YEAR($CB$56:$CB$91)=MONTH($A110)&amp;$L$98,$CH$56:$CH$91))</f>
        <v>118104.802734375</v>
      </c>
      <c r="N110" s="162">
        <f t="array" ref="N110">SUM(IF(MONTH([4]EnergyCurve!$D$3:$D$272)&amp;YEAR([4]EnergyCurve!$D$3:$D$272)=MONTH($A110)&amp;$N$98,[4]EnergyCurve!$O$3:$O$272))+SUM(IF(MONTH([4]EnergyCurve!$D$3:$D$272)&amp;YEAR([4]EnergyCurve!$D$3:$D$272)=MONTH($A110)&amp;$N$98,[4]EnergyCurve!$Q$3:$Q$272))+SUM(IF(MONTH($CB$12:$CB$47)&amp;YEAR($CB$12:$CB$47)=MONTH($A110)&amp;$N$98,$CH$12:$CH$47))</f>
        <v>136798.90625</v>
      </c>
      <c r="O110" s="286">
        <f t="array" ref="O110">SUM(IF(MONTH([4]EnergyCurve!$D$3:$D$272)&amp;YEAR([4]EnergyCurve!$D$3:$D$272)=MONTH($A110)&amp;$N$98,[4]EnergyCurve!$P$3:$P$272))+SUM(IF(MONTH([4]EnergyCurve!$D$3:$D$272)&amp;YEAR([4]EnergyCurve!$D$3:$D$272)=MONTH($A110)&amp;$N$98,[4]EnergyCurve!$R$3:$R$272))+SUM(IF(MONTH($CB$56:$CB$91)&amp;YEAR($CB$56:$CB$91)=MONTH($A110)&amp;$N$98,$CH$56:$CH$91))</f>
        <v>119699.046875</v>
      </c>
      <c r="P110" s="162">
        <f t="array" ref="P110">SUM(IF(MONTH([4]EnergyCurve!$D$3:$D$272)=MONTH($A110),[4]EnergyCurve!$O$3:$O$272))+SUM(IF(MONTH([4]EnergyCurve!$D$3:$D$272)=MONTH($A110),[4]EnergyCurve!$Q$3:$Q$272))+SUM(IF(MONTH($CB$12:$CB$47)=MONTH($A110),$CH$12:$CH$47))</f>
        <v>2222718.3965632766</v>
      </c>
      <c r="Q110" s="162">
        <f t="array" ref="Q110">SUM(IF(MONTH([4]EnergyCurve!$D$3:$D$272)=MONTH($A110),[4]EnergyCurve!$P$3:$P$272))+SUM(IF(MONTH([4]EnergyCurve!$D$3:$D$272)=MONTH($A110),[4]EnergyCurve!$R$3:$R$272))+SUM(IF(MONTH($CB$56:$CB$91)=MONTH($A110),$CH$56:$CH$91))</f>
        <v>1925915.1763916016</v>
      </c>
      <c r="R110" s="284"/>
      <c r="S110" s="284"/>
      <c r="T110" s="284"/>
      <c r="U110" s="71"/>
      <c r="W110" s="71"/>
      <c r="X110" s="312"/>
      <c r="Y110" s="284"/>
      <c r="Z110" s="276"/>
      <c r="AA110" s="290"/>
      <c r="AB110" s="290"/>
      <c r="AC110" s="71"/>
      <c r="AD110" s="69"/>
      <c r="AE110" s="69"/>
      <c r="AF110" s="69"/>
      <c r="AG110" s="69"/>
      <c r="AH110" s="69"/>
      <c r="AI110" s="69"/>
      <c r="AL110" s="29"/>
      <c r="AR110" s="29"/>
      <c r="DJ110" s="54">
        <f t="shared" si="77"/>
        <v>38108</v>
      </c>
      <c r="DK110" s="30">
        <f t="shared" si="75"/>
        <v>31</v>
      </c>
      <c r="DL110" s="30">
        <f t="shared" si="76"/>
        <v>6</v>
      </c>
      <c r="DM110" s="233">
        <v>39845</v>
      </c>
      <c r="DN110" s="154">
        <v>19</v>
      </c>
      <c r="DO110" s="155">
        <v>4</v>
      </c>
      <c r="DP110" s="155">
        <v>4</v>
      </c>
      <c r="DQ110" s="155">
        <v>1</v>
      </c>
      <c r="DR110" s="154">
        <v>28</v>
      </c>
      <c r="DS110" s="55"/>
      <c r="DT110" s="55"/>
      <c r="DU110" s="233">
        <v>39845</v>
      </c>
      <c r="DV110" s="154">
        <v>20</v>
      </c>
      <c r="DW110" s="155">
        <v>4</v>
      </c>
      <c r="DX110" s="155">
        <v>4</v>
      </c>
      <c r="DY110" s="155">
        <v>0</v>
      </c>
      <c r="DZ110" s="154">
        <v>28</v>
      </c>
      <c r="EA110" s="55"/>
      <c r="EB110" s="55"/>
    </row>
    <row r="111" spans="1:132" ht="15.75" thickBot="1" x14ac:dyDescent="0.25">
      <c r="A111" s="145">
        <v>36861</v>
      </c>
      <c r="B111" s="162">
        <f t="array" ref="B111">SUM(IF(MONTH([4]EnergyCurve!$D$3:$D$272)&amp;YEAR([4]EnergyCurve!$D$3:$D$272)=MONTH($A111)&amp;$B$98,[4]EnergyCurve!$O$3:$O$272))+SUM(IF(MONTH([4]EnergyCurve!$D$3:$D$272)&amp;YEAR([4]EnergyCurve!$D$3:$D$272)=MONTH($A111)&amp;$B$98,[4]EnergyCurve!$Q$3:$Q$272))+SUM(IF(MONTH($CB$12:$CB$47)&amp;YEAR($CB$12:$CB$47)=MONTH($A111)&amp;$B$98,$CH$12:$CH$47))</f>
        <v>39137.703490688415</v>
      </c>
      <c r="C111" s="162">
        <f t="array" ref="C111">SUM(IF(MONTH([4]EnergyCurve!$D$3:$D$272)&amp;YEAR([4]EnergyCurve!$D$3:$D$272)=MONTH($A111)&amp;$B$98,[4]EnergyCurve!$P$3:$P$272))+SUM(IF(MONTH([4]EnergyCurve!$D$3:$D$272)&amp;YEAR([4]EnergyCurve!$D$3:$D$272)=MONTH($A111)&amp;$B$98,[4]EnergyCurve!$R$3:$R$272))+SUM(IF(MONTH($CB$56:$CB$91)&amp;YEAR($CB$56:$CB$91)=MONTH($A111)&amp;$B$98,$CH$56:$CH$91))</f>
        <v>111279.060546875</v>
      </c>
      <c r="D111" s="162">
        <f t="array" ref="D111">SUM(IF(MONTH([4]EnergyCurve!$D$3:$D$272)&amp;YEAR([4]EnergyCurve!$D$3:$D$272)=MONTH($A111)&amp;$D$98,[4]EnergyCurve!$O$3:$O$272))+SUM(IF(MONTH([4]EnergyCurve!$D$3:$D$272)&amp;YEAR([4]EnergyCurve!$D$3:$D$272)=MONTH($A111)&amp;$D$98,[4]EnergyCurve!$Q$3:$Q$272))+SUM(IF(MONTH($CB$12:$CB$47)&amp;YEAR($CB$12:$CB$47)=MONTH($A111)&amp;$D$98,$CH$12:$CH$47))</f>
        <v>234211.484375</v>
      </c>
      <c r="E111" s="162">
        <f t="array" ref="E111">SUM(IF(MONTH([4]EnergyCurve!$D$3:$D$272)&amp;YEAR([4]EnergyCurve!$D$3:$D$272)=MONTH($A111)&amp;$D$98,[4]EnergyCurve!$P$3:$P$272))+SUM(IF(MONTH([4]EnergyCurve!$D$3:$D$272)&amp;YEAR([4]EnergyCurve!$D$3:$D$272)=MONTH($A111)&amp;$D$98,[4]EnergyCurve!$R$3:$R$272))+SUM(IF(MONTH($CB$56:$CB$91)&amp;YEAR($CB$56:$CB$91)=MONTH($A111)&amp;$D$98,$CH$56:$CH$91))</f>
        <v>185068.765625</v>
      </c>
      <c r="F111" s="162">
        <f t="array" ref="F111">SUM(IF(MONTH([4]EnergyCurve!$D$3:$D$272)&amp;YEAR([4]EnergyCurve!$D$3:$D$272)=MONTH($A111)&amp;$F$98,[4]EnergyCurve!$O$3:$O$272))+SUM(IF(MONTH([4]EnergyCurve!$D$3:$D$272)&amp;YEAR([4]EnergyCurve!$D$3:$D$272)=MONTH($A111)&amp;$F$98,[4]EnergyCurve!$Q$3:$Q$272))+SUM(IF(MONTH($CB$12:$CB$47)&amp;YEAR($CB$12:$CB$47)=MONTH($A111)&amp;$F$98,$CH$12:$CH$47))</f>
        <v>151648.408203125</v>
      </c>
      <c r="G111" s="162">
        <f t="array" ref="G111">SUM(IF(MONTH([4]EnergyCurve!$D$3:$D$272)&amp;YEAR([4]EnergyCurve!$D$3:$D$272)=MONTH($A111)&amp;$F$98,[4]EnergyCurve!$P$3:$P$272))+SUM(IF(MONTH([4]EnergyCurve!$D$3:$D$272)&amp;YEAR([4]EnergyCurve!$D$3:$D$272)=MONTH($A111)&amp;$F$98,[4]EnergyCurve!$R$3:$R$272))+SUM(IF(MONTH($CB$56:$CB$91)&amp;YEAR($CB$56:$CB$91)=MONTH($A111)&amp;$F$98,$CH$56:$CH$91))</f>
        <v>119782.67578125</v>
      </c>
      <c r="H111" s="162">
        <f t="array" ref="H111">SUM(IF(MONTH([4]EnergyCurve!$D$3:$D$272)&amp;YEAR([4]EnergyCurve!$D$3:$D$272)=MONTH($A111)&amp;$H$98,[4]EnergyCurve!$O$3:$O$272))+SUM(IF(MONTH([4]EnergyCurve!$D$3:$D$272)&amp;YEAR([4]EnergyCurve!$D$3:$D$272)=MONTH($A111)&amp;$H$98,[4]EnergyCurve!$Q$3:$Q$272))+SUM(IF(MONTH($CB$12:$CB$47)&amp;YEAR($CB$12:$CB$47)=MONTH($A111)&amp;$H$98,$CH$12:$CH$47))</f>
        <v>145540.431640625</v>
      </c>
      <c r="I111" s="162">
        <f t="array" ref="I111">SUM(IF(MONTH([4]EnergyCurve!$D$3:$D$272)&amp;YEAR([4]EnergyCurve!$D$3:$D$272)=MONTH($A111)&amp;$H$98,[4]EnergyCurve!$P$3:$P$272))+SUM(IF(MONTH([4]EnergyCurve!$D$3:$D$272)&amp;YEAR([4]EnergyCurve!$D$3:$D$272)=MONTH($A111)&amp;$H$98,[4]EnergyCurve!$R$3:$R$272))+SUM(IF(MONTH($CB$56:$CB$91)&amp;YEAR($CB$56:$CB$91)=MONTH($A111)&amp;$H$98,$CH$56:$CH$91))</f>
        <v>114932.00390625</v>
      </c>
      <c r="J111" s="162">
        <f t="array" ref="J111">SUM(IF(MONTH([4]EnergyCurve!$D$3:$D$272)&amp;YEAR([4]EnergyCurve!$D$3:$D$272)=MONTH($A111)&amp;$J$98,[4]EnergyCurve!$O$3:$O$272))+SUM(IF(MONTH([4]EnergyCurve!$D$3:$D$272)&amp;YEAR([4]EnergyCurve!$D$3:$D$272)=MONTH($A111)&amp;$J$98,[4]EnergyCurve!$Q$3:$Q$272))+SUM(IF(MONTH($CB$12:$CB$47)&amp;YEAR($CB$12:$CB$47)=MONTH($A111)&amp;$J$98,$CH$12:$CH$47))</f>
        <v>155703.619140625</v>
      </c>
      <c r="K111" s="162">
        <f t="array" ref="K111">SUM(IF(MONTH([4]EnergyCurve!$D$3:$D$272)&amp;YEAR([4]EnergyCurve!$D$3:$D$272)=MONTH($A111)&amp;$J$98,[4]EnergyCurve!$P$3:$P$272))+SUM(IF(MONTH([4]EnergyCurve!$D$3:$D$272)&amp;YEAR([4]EnergyCurve!$D$3:$D$272)=MONTH($A111)&amp;$J$98,[4]EnergyCurve!$R$3:$R$272))+SUM(IF(MONTH($CB$56:$CB$91)&amp;YEAR($CB$56:$CB$91)=MONTH($A111)&amp;$J$98,$CH$56:$CH$91))</f>
        <v>133909.296875</v>
      </c>
      <c r="L111" s="162">
        <f t="array" ref="L111">SUM(IF(MONTH([4]EnergyCurve!$D$3:$D$272)&amp;YEAR([4]EnergyCurve!$D$3:$D$272)=MONTH($A111)&amp;$L$98,[4]EnergyCurve!$O$3:$O$272))+SUM(IF(MONTH([4]EnergyCurve!$D$3:$D$272)&amp;YEAR([4]EnergyCurve!$D$3:$D$272)=MONTH($A111)&amp;$L$98,[4]EnergyCurve!$Q$3:$Q$272))+SUM(IF(MONTH($CB$12:$CB$47)&amp;YEAR($CB$12:$CB$47)=MONTH($A111)&amp;$L$98,$CH$12:$CH$47))</f>
        <v>146867.470703125</v>
      </c>
      <c r="M111" s="162">
        <f t="array" ref="M111">SUM(IF(MONTH([4]EnergyCurve!$D$3:$D$272)&amp;YEAR([4]EnergyCurve!$D$3:$D$272)=MONTH($A111)&amp;$L$98,[4]EnergyCurve!$P$3:$P$272))+SUM(IF(MONTH([4]EnergyCurve!$D$3:$D$272)&amp;YEAR([4]EnergyCurve!$D$3:$D$272)=MONTH($A111)&amp;$L$98,[4]EnergyCurve!$R$3:$R$272))+SUM(IF(MONTH($CB$56:$CB$91)&amp;YEAR($CB$56:$CB$91)=MONTH($A111)&amp;$L$98,$CH$56:$CH$91))</f>
        <v>126306.03125</v>
      </c>
      <c r="N111" s="162">
        <f t="array" ref="N111">SUM(IF(MONTH([4]EnergyCurve!$D$3:$D$272)&amp;YEAR([4]EnergyCurve!$D$3:$D$272)=MONTH($A111)&amp;$N$98,[4]EnergyCurve!$O$3:$O$272))+SUM(IF(MONTH([4]EnergyCurve!$D$3:$D$272)&amp;YEAR([4]EnergyCurve!$D$3:$D$272)=MONTH($A111)&amp;$N$98,[4]EnergyCurve!$Q$3:$Q$272))+SUM(IF(MONTH($CB$12:$CB$47)&amp;YEAR($CB$12:$CB$47)=MONTH($A111)&amp;$N$98,$CH$12:$CH$47))</f>
        <v>147388.69140625</v>
      </c>
      <c r="O111" s="286">
        <f t="array" ref="O111">SUM(IF(MONTH([4]EnergyCurve!$D$3:$D$272)&amp;YEAR([4]EnergyCurve!$D$3:$D$272)=MONTH($A111)&amp;$N$98,[4]EnergyCurve!$P$3:$P$272))+SUM(IF(MONTH([4]EnergyCurve!$D$3:$D$272)&amp;YEAR([4]EnergyCurve!$D$3:$D$272)=MONTH($A111)&amp;$N$98,[4]EnergyCurve!$R$3:$R$272))+SUM(IF(MONTH($CB$56:$CB$91)&amp;YEAR($CB$56:$CB$91)=MONTH($A111)&amp;$N$98,$CH$56:$CH$91))</f>
        <v>116210.32421875</v>
      </c>
      <c r="P111" s="162">
        <f t="array" ref="P111">SUM(IF(MONTH([4]EnergyCurve!$D$3:$D$272)=MONTH($A111),[4]EnergyCurve!$O$3:$O$272))+SUM(IF(MONTH([4]EnergyCurve!$D$3:$D$272)=MONTH($A111),[4]EnergyCurve!$Q$3:$Q$272))+SUM(IF(MONTH($CB$12:$CB$47)=MONTH($A111),$CH$12:$CH$47))</f>
        <v>2146513.0843500635</v>
      </c>
      <c r="Q111" s="162">
        <f t="array" ref="Q111">SUM(IF(MONTH([4]EnergyCurve!$D$3:$D$272)=MONTH($A111),[4]EnergyCurve!$P$3:$P$272))+SUM(IF(MONTH([4]EnergyCurve!$D$3:$D$272)=MONTH($A111),[4]EnergyCurve!$R$3:$R$272))+SUM(IF(MONTH($CB$56:$CB$91)=MONTH($A111),$CH$56:$CH$91))</f>
        <v>1813531.4375</v>
      </c>
      <c r="R111" s="284"/>
      <c r="S111" s="284"/>
      <c r="T111" s="284"/>
      <c r="U111" s="71"/>
      <c r="W111" s="71"/>
      <c r="X111" s="312"/>
      <c r="Y111" s="284"/>
      <c r="Z111" s="311"/>
      <c r="AA111" s="315"/>
      <c r="AB111" s="315"/>
      <c r="AC111" s="71"/>
      <c r="AD111" s="69"/>
      <c r="AE111" s="69"/>
      <c r="AF111" s="69"/>
      <c r="AG111" s="69"/>
      <c r="AH111" s="69"/>
      <c r="AI111" s="69"/>
      <c r="AR111" s="29"/>
      <c r="DJ111" s="54">
        <f t="shared" si="77"/>
        <v>38139</v>
      </c>
      <c r="DK111" s="30">
        <f t="shared" si="75"/>
        <v>30</v>
      </c>
      <c r="DL111" s="30">
        <f t="shared" si="76"/>
        <v>4</v>
      </c>
      <c r="DM111" s="233">
        <v>39873</v>
      </c>
      <c r="DN111" s="154">
        <v>22</v>
      </c>
      <c r="DO111" s="155">
        <v>4</v>
      </c>
      <c r="DP111" s="155">
        <v>5</v>
      </c>
      <c r="DQ111" s="155">
        <v>0</v>
      </c>
      <c r="DR111" s="154">
        <v>31</v>
      </c>
      <c r="DS111" s="55"/>
      <c r="DT111" s="55"/>
      <c r="DU111" s="233">
        <v>39873</v>
      </c>
      <c r="DV111" s="154">
        <v>22</v>
      </c>
      <c r="DW111" s="155">
        <v>4</v>
      </c>
      <c r="DX111" s="155">
        <v>5</v>
      </c>
      <c r="DY111" s="155">
        <v>0</v>
      </c>
      <c r="DZ111" s="154">
        <v>31</v>
      </c>
      <c r="EA111" s="55"/>
      <c r="EB111" s="55"/>
    </row>
    <row r="112" spans="1:132" ht="16.5" thickBot="1" x14ac:dyDescent="0.3">
      <c r="A112" s="146" t="s">
        <v>46</v>
      </c>
      <c r="B112" s="165">
        <f t="shared" ref="B112:Q112" si="78">SUM(B100:B111)</f>
        <v>673930.10506088298</v>
      </c>
      <c r="C112" s="165">
        <f t="shared" si="78"/>
        <v>1474408.5390625</v>
      </c>
      <c r="D112" s="165">
        <f t="shared" si="78"/>
        <v>2815724.03515625</v>
      </c>
      <c r="E112" s="165">
        <f t="shared" si="78"/>
        <v>2211319.203125</v>
      </c>
      <c r="F112" s="165">
        <f t="shared" si="78"/>
        <v>1831288.91015625</v>
      </c>
      <c r="G112" s="165">
        <f t="shared" si="78"/>
        <v>1436837.357421875</v>
      </c>
      <c r="H112" s="165">
        <f t="shared" si="78"/>
        <v>1763830.49609375</v>
      </c>
      <c r="I112" s="165">
        <f t="shared" si="78"/>
        <v>1383898.345703125</v>
      </c>
      <c r="J112" s="165">
        <f t="shared" si="78"/>
        <v>1956599.599609375</v>
      </c>
      <c r="K112" s="165">
        <f t="shared" si="78"/>
        <v>1544949.525390625</v>
      </c>
      <c r="L112" s="165">
        <f t="shared" si="78"/>
        <v>1854615.8359375</v>
      </c>
      <c r="M112" s="165">
        <f t="shared" si="78"/>
        <v>1452306.69140625</v>
      </c>
      <c r="N112" s="165">
        <f t="shared" si="78"/>
        <v>1799045.8515625</v>
      </c>
      <c r="O112" s="287">
        <f t="shared" si="78"/>
        <v>1407280.900390625</v>
      </c>
      <c r="P112" s="287">
        <f t="shared" si="78"/>
        <v>27273077.521076508</v>
      </c>
      <c r="Q112" s="166">
        <f t="shared" si="78"/>
        <v>22483359.56262207</v>
      </c>
      <c r="R112" s="290"/>
      <c r="S112" s="290"/>
      <c r="T112" s="290"/>
      <c r="U112" s="71"/>
      <c r="W112" s="71"/>
      <c r="X112" s="310"/>
      <c r="Y112" s="290"/>
      <c r="Z112" s="71"/>
      <c r="AA112" s="311"/>
      <c r="AB112" s="311"/>
      <c r="AC112" s="71"/>
      <c r="AD112" s="69"/>
      <c r="AE112" s="69"/>
      <c r="AF112" s="69"/>
      <c r="AG112" s="69"/>
      <c r="AH112" s="69"/>
      <c r="AI112" s="69"/>
      <c r="AR112" s="29"/>
      <c r="DJ112" s="54">
        <f t="shared" si="77"/>
        <v>38169</v>
      </c>
      <c r="DK112" s="30">
        <f t="shared" si="75"/>
        <v>31</v>
      </c>
      <c r="DL112" s="30">
        <f t="shared" si="76"/>
        <v>5</v>
      </c>
      <c r="DM112" s="233">
        <v>39904</v>
      </c>
      <c r="DN112" s="154">
        <v>21</v>
      </c>
      <c r="DO112" s="155">
        <v>4</v>
      </c>
      <c r="DP112" s="155">
        <v>4</v>
      </c>
      <c r="DQ112" s="155">
        <v>1</v>
      </c>
      <c r="DR112" s="154">
        <v>30</v>
      </c>
      <c r="DS112" s="55"/>
      <c r="DT112" s="55"/>
      <c r="DU112" s="233">
        <v>39904</v>
      </c>
      <c r="DV112" s="154">
        <v>22</v>
      </c>
      <c r="DW112" s="155">
        <v>4</v>
      </c>
      <c r="DX112" s="155">
        <v>4</v>
      </c>
      <c r="DY112" s="155">
        <v>0</v>
      </c>
      <c r="DZ112" s="154">
        <v>30</v>
      </c>
      <c r="EA112" s="55"/>
      <c r="EB112" s="55"/>
    </row>
    <row r="113" spans="1:132" ht="13.5" thickBot="1" x14ac:dyDescent="0.25">
      <c r="A113" s="69"/>
      <c r="B113" s="69"/>
      <c r="C113" s="69"/>
      <c r="D113" s="69"/>
      <c r="E113" s="69"/>
      <c r="F113" s="69"/>
      <c r="G113" s="69"/>
      <c r="H113" s="69"/>
      <c r="I113" s="69"/>
      <c r="J113" s="69"/>
      <c r="K113" s="69"/>
      <c r="L113" s="69"/>
      <c r="M113" s="69"/>
      <c r="N113" s="69"/>
      <c r="O113" s="69"/>
      <c r="P113" s="69"/>
      <c r="Q113" s="69"/>
      <c r="R113" s="71"/>
      <c r="S113" s="71"/>
      <c r="T113" s="71"/>
      <c r="U113" s="71"/>
      <c r="V113" s="69"/>
      <c r="W113" s="71"/>
      <c r="X113" s="71"/>
      <c r="Y113" s="71"/>
      <c r="Z113" s="71"/>
      <c r="AA113" s="311"/>
      <c r="AB113" s="311"/>
      <c r="AC113" s="71"/>
      <c r="AD113" s="69"/>
      <c r="AE113" s="69"/>
      <c r="AF113" s="69"/>
      <c r="AG113" s="69"/>
      <c r="AH113" s="69"/>
      <c r="AI113" s="69"/>
      <c r="AR113" s="29"/>
      <c r="DJ113" s="54">
        <f t="shared" si="77"/>
        <v>38200</v>
      </c>
      <c r="DK113" s="30">
        <f t="shared" si="75"/>
        <v>31</v>
      </c>
      <c r="DL113" s="30">
        <f t="shared" si="76"/>
        <v>5</v>
      </c>
      <c r="DM113" s="233">
        <v>39934</v>
      </c>
      <c r="DN113" s="154">
        <v>20</v>
      </c>
      <c r="DO113" s="155">
        <v>5</v>
      </c>
      <c r="DP113" s="155">
        <v>5</v>
      </c>
      <c r="DQ113" s="155">
        <v>1</v>
      </c>
      <c r="DR113" s="154">
        <v>31</v>
      </c>
      <c r="DS113" s="55"/>
      <c r="DT113" s="55"/>
      <c r="DU113" s="233">
        <v>39934</v>
      </c>
      <c r="DV113" s="154">
        <v>20</v>
      </c>
      <c r="DW113" s="155">
        <v>5</v>
      </c>
      <c r="DX113" s="155">
        <v>5</v>
      </c>
      <c r="DY113" s="155">
        <v>1</v>
      </c>
      <c r="DZ113" s="154">
        <v>31</v>
      </c>
      <c r="EA113" s="55"/>
      <c r="EB113" s="55"/>
    </row>
    <row r="114" spans="1:132" ht="16.5" thickBot="1" x14ac:dyDescent="0.3">
      <c r="A114" s="146" t="s">
        <v>128</v>
      </c>
      <c r="B114" s="322"/>
      <c r="C114" s="165">
        <f>C112+B112</f>
        <v>2148338.6441233829</v>
      </c>
      <c r="D114" s="322"/>
      <c r="E114" s="165">
        <f>E112+D112</f>
        <v>5027043.23828125</v>
      </c>
      <c r="F114" s="322"/>
      <c r="G114" s="165">
        <f>G112+F112</f>
        <v>3268126.267578125</v>
      </c>
      <c r="H114" s="322"/>
      <c r="I114" s="165">
        <f>I112+H112</f>
        <v>3147728.841796875</v>
      </c>
      <c r="J114" s="322"/>
      <c r="K114" s="165">
        <f>K112+J112</f>
        <v>3501549.125</v>
      </c>
      <c r="L114" s="322"/>
      <c r="M114" s="165">
        <f>M112+L112</f>
        <v>3306922.52734375</v>
      </c>
      <c r="N114" s="322"/>
      <c r="O114" s="287">
        <f>O112+N112</f>
        <v>3206326.751953125</v>
      </c>
      <c r="P114" s="322"/>
      <c r="Q114" s="166">
        <f>Q112+P112</f>
        <v>49756437.083698578</v>
      </c>
      <c r="R114" s="71"/>
      <c r="S114" s="71"/>
      <c r="T114" s="71"/>
      <c r="U114" s="71"/>
      <c r="V114" s="71"/>
      <c r="W114" s="71"/>
      <c r="X114" s="71"/>
      <c r="Y114" s="290"/>
      <c r="Z114" s="276"/>
      <c r="AA114" s="311"/>
      <c r="AB114" s="311"/>
      <c r="AC114" s="71"/>
      <c r="AD114" s="71"/>
      <c r="AE114" s="71"/>
      <c r="AF114" s="71"/>
      <c r="AG114" s="71"/>
      <c r="AH114" s="71"/>
      <c r="AI114" s="71"/>
      <c r="AJ114" s="71"/>
      <c r="AK114" s="316"/>
      <c r="AL114" s="316"/>
      <c r="AM114" s="316"/>
      <c r="AN114" s="316"/>
      <c r="AO114" s="316"/>
      <c r="AP114" s="316"/>
      <c r="AQ114" s="316"/>
      <c r="AR114" s="316"/>
      <c r="AS114" s="316"/>
      <c r="AT114" s="71"/>
      <c r="AU114" s="71"/>
      <c r="AV114" s="71"/>
      <c r="AW114" s="71"/>
      <c r="AX114" s="71"/>
      <c r="AY114" s="71"/>
      <c r="AZ114" s="71"/>
      <c r="BA114" s="71"/>
      <c r="BB114" s="71"/>
      <c r="BC114" s="71"/>
      <c r="BD114" s="71"/>
      <c r="BE114" s="71"/>
      <c r="BF114" s="71"/>
      <c r="BG114" s="71"/>
      <c r="BH114" s="71"/>
      <c r="BI114" s="71"/>
      <c r="BJ114" s="71"/>
      <c r="BK114" s="71"/>
      <c r="BL114" s="71"/>
      <c r="BM114" s="71"/>
      <c r="BN114" s="71"/>
      <c r="BO114" s="71"/>
      <c r="BP114" s="71"/>
      <c r="BQ114" s="71"/>
      <c r="BR114" s="71"/>
      <c r="BS114" s="71"/>
      <c r="BT114" s="71"/>
      <c r="BU114" s="71"/>
      <c r="BV114" s="71"/>
      <c r="BW114" s="71"/>
      <c r="BX114" s="71"/>
      <c r="BY114" s="71"/>
      <c r="BZ114" s="71"/>
      <c r="CA114" s="71"/>
      <c r="CB114" s="71"/>
      <c r="CC114" s="71"/>
      <c r="CD114" s="71"/>
      <c r="CE114" s="71"/>
      <c r="DJ114" s="54">
        <f t="shared" si="77"/>
        <v>38231</v>
      </c>
      <c r="DK114" s="30">
        <f t="shared" si="75"/>
        <v>30</v>
      </c>
      <c r="DL114" s="30">
        <f t="shared" si="76"/>
        <v>5</v>
      </c>
      <c r="DM114" s="233">
        <v>39965</v>
      </c>
      <c r="DN114" s="154">
        <v>22</v>
      </c>
      <c r="DO114" s="155">
        <v>4</v>
      </c>
      <c r="DP114" s="155">
        <v>4</v>
      </c>
      <c r="DQ114" s="155">
        <v>0</v>
      </c>
      <c r="DR114" s="154">
        <v>30</v>
      </c>
      <c r="DS114" s="55"/>
      <c r="DT114" s="55"/>
      <c r="DU114" s="233">
        <v>39965</v>
      </c>
      <c r="DV114" s="154">
        <v>22</v>
      </c>
      <c r="DW114" s="155">
        <v>4</v>
      </c>
      <c r="DX114" s="155">
        <v>4</v>
      </c>
      <c r="DY114" s="155">
        <v>0</v>
      </c>
      <c r="DZ114" s="154">
        <v>30</v>
      </c>
      <c r="EA114" s="55"/>
      <c r="EB114" s="55"/>
    </row>
    <row r="115" spans="1:132" ht="12.75" x14ac:dyDescent="0.2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71"/>
      <c r="Q115" s="71"/>
      <c r="R115" s="71"/>
      <c r="S115" s="71"/>
      <c r="T115" s="71"/>
      <c r="U115" s="71"/>
      <c r="V115" s="71"/>
      <c r="W115" s="71"/>
      <c r="X115" s="71"/>
      <c r="Y115" s="71"/>
      <c r="Z115" s="71"/>
      <c r="AA115" s="311"/>
      <c r="AB115" s="311"/>
      <c r="AC115" s="71"/>
      <c r="AD115" s="71"/>
      <c r="AE115" s="71"/>
      <c r="AF115" s="71"/>
      <c r="AG115" s="71"/>
      <c r="AH115" s="71"/>
      <c r="AI115" s="71"/>
      <c r="AJ115" s="71"/>
      <c r="AK115" s="316"/>
      <c r="AL115" s="316"/>
      <c r="AM115" s="316"/>
      <c r="AN115" s="316"/>
      <c r="AO115" s="316"/>
      <c r="AP115" s="316"/>
      <c r="AQ115" s="316"/>
      <c r="AR115" s="316"/>
      <c r="AS115" s="316"/>
      <c r="AT115" s="71"/>
      <c r="AU115" s="71"/>
      <c r="AV115" s="71"/>
      <c r="AW115" s="71"/>
      <c r="AX115" s="71"/>
      <c r="AY115" s="71"/>
      <c r="AZ115" s="71"/>
      <c r="BA115" s="71"/>
      <c r="BB115" s="71"/>
      <c r="BC115" s="71"/>
      <c r="BD115" s="71"/>
      <c r="BE115" s="71"/>
      <c r="BF115" s="71"/>
      <c r="BG115" s="71"/>
      <c r="BH115" s="71"/>
      <c r="BI115" s="71"/>
      <c r="BJ115" s="71"/>
      <c r="BK115" s="71"/>
      <c r="BL115" s="71"/>
      <c r="BM115" s="71"/>
      <c r="BN115" s="71"/>
      <c r="BO115" s="71"/>
      <c r="BP115" s="71"/>
      <c r="BQ115" s="71"/>
      <c r="BR115" s="71"/>
      <c r="BS115" s="71"/>
      <c r="BT115" s="71"/>
      <c r="BU115" s="71"/>
      <c r="BV115" s="71"/>
      <c r="BW115" s="71"/>
      <c r="BX115" s="71"/>
      <c r="BY115" s="71"/>
      <c r="BZ115" s="71"/>
      <c r="CA115" s="71"/>
      <c r="CB115" s="71"/>
      <c r="CC115" s="71"/>
      <c r="CD115" s="71"/>
      <c r="CE115" s="71"/>
      <c r="DJ115" s="54">
        <f t="shared" si="77"/>
        <v>38261</v>
      </c>
      <c r="DK115" s="30">
        <f t="shared" si="75"/>
        <v>31</v>
      </c>
      <c r="DL115" s="30">
        <f t="shared" si="76"/>
        <v>5</v>
      </c>
      <c r="DM115" s="233">
        <v>39995</v>
      </c>
      <c r="DN115" s="154">
        <v>22</v>
      </c>
      <c r="DO115" s="155">
        <v>4</v>
      </c>
      <c r="DP115" s="155">
        <v>4</v>
      </c>
      <c r="DQ115" s="155">
        <v>1</v>
      </c>
      <c r="DR115" s="154">
        <v>31</v>
      </c>
      <c r="DS115" s="55"/>
      <c r="DT115" s="55"/>
      <c r="DU115" s="233">
        <v>39995</v>
      </c>
      <c r="DV115" s="154">
        <v>23</v>
      </c>
      <c r="DW115" s="155">
        <v>3</v>
      </c>
      <c r="DX115" s="155">
        <v>4</v>
      </c>
      <c r="DY115" s="155">
        <v>1</v>
      </c>
      <c r="DZ115" s="154">
        <v>31</v>
      </c>
      <c r="EA115" s="55"/>
      <c r="EB115" s="55"/>
    </row>
    <row r="116" spans="1:132" ht="20.25" x14ac:dyDescent="0.3">
      <c r="A116" s="317"/>
      <c r="B116" s="71"/>
      <c r="C116" s="71"/>
      <c r="D116" s="71"/>
      <c r="E116" s="318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71"/>
      <c r="Q116" s="71"/>
      <c r="R116" s="71"/>
      <c r="S116" s="71"/>
      <c r="T116" s="71"/>
      <c r="U116" s="71"/>
      <c r="V116" s="71"/>
      <c r="W116" s="71"/>
      <c r="X116" s="71"/>
      <c r="Y116" s="71"/>
      <c r="Z116" s="71"/>
      <c r="AA116" s="311"/>
      <c r="AB116" s="311"/>
      <c r="AC116" s="71"/>
      <c r="AD116" s="71"/>
      <c r="AE116" s="71"/>
      <c r="AF116" s="71"/>
      <c r="AG116" s="71"/>
      <c r="AH116" s="71"/>
      <c r="AI116" s="71"/>
      <c r="AJ116" s="71"/>
      <c r="AK116" s="71"/>
      <c r="AL116" s="71"/>
      <c r="AM116" s="71"/>
      <c r="AN116" s="71"/>
      <c r="AO116" s="71"/>
      <c r="AP116" s="71"/>
      <c r="AQ116" s="71"/>
      <c r="AR116" s="71"/>
      <c r="AS116" s="71"/>
      <c r="AT116" s="71"/>
      <c r="AU116" s="71"/>
      <c r="AV116" s="71"/>
      <c r="AW116" s="71"/>
      <c r="AX116" s="71"/>
      <c r="AY116" s="71"/>
      <c r="AZ116" s="71"/>
      <c r="BA116" s="71"/>
      <c r="BB116" s="71"/>
      <c r="BC116" s="71"/>
      <c r="BD116" s="71"/>
      <c r="BE116" s="71"/>
      <c r="BF116" s="71"/>
      <c r="BG116" s="71"/>
      <c r="BH116" s="71"/>
      <c r="BI116" s="71"/>
      <c r="BJ116" s="71"/>
      <c r="BK116" s="71"/>
      <c r="BL116" s="71"/>
      <c r="BM116" s="71"/>
      <c r="BN116" s="71"/>
      <c r="BO116" s="71"/>
      <c r="BP116" s="71"/>
      <c r="BQ116" s="71"/>
      <c r="BR116" s="71"/>
      <c r="BS116" s="71"/>
      <c r="BT116" s="71"/>
      <c r="BU116" s="71"/>
      <c r="BV116" s="71"/>
      <c r="BW116" s="71"/>
      <c r="BX116" s="71"/>
      <c r="BY116" s="71"/>
      <c r="BZ116" s="71"/>
      <c r="CA116" s="71"/>
      <c r="CB116" s="71"/>
      <c r="CC116" s="71"/>
      <c r="CD116" s="71"/>
      <c r="CE116" s="71"/>
      <c r="DJ116" s="54">
        <f t="shared" si="77"/>
        <v>38292</v>
      </c>
      <c r="DK116" s="30">
        <f t="shared" si="75"/>
        <v>30</v>
      </c>
      <c r="DL116" s="30">
        <f t="shared" si="76"/>
        <v>5</v>
      </c>
      <c r="DM116" s="233">
        <v>40026</v>
      </c>
      <c r="DN116" s="154">
        <v>20</v>
      </c>
      <c r="DO116" s="155">
        <v>5</v>
      </c>
      <c r="DP116" s="155">
        <v>5</v>
      </c>
      <c r="DQ116" s="155">
        <v>1</v>
      </c>
      <c r="DR116" s="154">
        <v>31</v>
      </c>
      <c r="DS116" s="55"/>
      <c r="DT116" s="55"/>
      <c r="DU116" s="233">
        <v>40026</v>
      </c>
      <c r="DV116" s="154">
        <v>21</v>
      </c>
      <c r="DW116" s="155">
        <v>5</v>
      </c>
      <c r="DX116" s="155">
        <v>5</v>
      </c>
      <c r="DY116" s="155">
        <v>0</v>
      </c>
      <c r="DZ116" s="154">
        <v>31</v>
      </c>
      <c r="EA116" s="55"/>
      <c r="EB116" s="55"/>
    </row>
    <row r="117" spans="1:132" ht="12.75" x14ac:dyDescent="0.2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71"/>
      <c r="Q117" s="71"/>
      <c r="R117" s="71"/>
      <c r="S117" s="71"/>
      <c r="T117" s="71"/>
      <c r="U117" s="71"/>
      <c r="V117" s="71"/>
      <c r="W117" s="71"/>
      <c r="X117" s="71"/>
      <c r="Y117" s="71"/>
      <c r="Z117" s="71"/>
      <c r="AA117" s="311"/>
      <c r="AB117" s="311"/>
      <c r="AC117" s="71"/>
      <c r="AD117" s="71"/>
      <c r="AE117" s="71"/>
      <c r="AF117" s="71"/>
      <c r="AG117" s="71"/>
      <c r="AH117" s="71"/>
      <c r="AI117" s="71"/>
      <c r="AJ117" s="71"/>
      <c r="AK117" s="71"/>
      <c r="AL117" s="71"/>
      <c r="AM117" s="71"/>
      <c r="AN117" s="71"/>
      <c r="AO117" s="71"/>
      <c r="AP117" s="71"/>
      <c r="AQ117" s="71"/>
      <c r="AR117" s="71"/>
      <c r="AS117" s="71"/>
      <c r="AT117" s="71"/>
      <c r="AU117" s="71"/>
      <c r="AV117" s="71"/>
      <c r="AW117" s="71"/>
      <c r="AX117" s="71"/>
      <c r="AY117" s="71"/>
      <c r="AZ117" s="71"/>
      <c r="BA117" s="71"/>
      <c r="BB117" s="71"/>
      <c r="BC117" s="71"/>
      <c r="BD117" s="71"/>
      <c r="BE117" s="71"/>
      <c r="BF117" s="71"/>
      <c r="BG117" s="71"/>
      <c r="BH117" s="71"/>
      <c r="BI117" s="71"/>
      <c r="BJ117" s="71"/>
      <c r="BK117" s="71"/>
      <c r="BL117" s="71"/>
      <c r="BM117" s="71"/>
      <c r="BN117" s="71"/>
      <c r="BO117" s="71"/>
      <c r="BP117" s="71"/>
      <c r="BQ117" s="71"/>
      <c r="BR117" s="71"/>
      <c r="BS117" s="71"/>
      <c r="BT117" s="71"/>
      <c r="BU117" s="71"/>
      <c r="BV117" s="71"/>
      <c r="BW117" s="71"/>
      <c r="BX117" s="71"/>
      <c r="BY117" s="71"/>
      <c r="BZ117" s="71"/>
      <c r="CA117" s="71"/>
      <c r="CB117" s="71"/>
      <c r="CC117" s="71"/>
      <c r="CD117" s="71"/>
      <c r="CE117" s="71"/>
      <c r="DJ117" s="54">
        <f t="shared" si="77"/>
        <v>38322</v>
      </c>
      <c r="DK117" s="30">
        <f t="shared" si="75"/>
        <v>31</v>
      </c>
      <c r="DL117" s="30">
        <f t="shared" si="76"/>
        <v>5</v>
      </c>
      <c r="DM117" s="233">
        <v>40057</v>
      </c>
      <c r="DN117" s="154">
        <v>21</v>
      </c>
      <c r="DO117" s="155">
        <v>4</v>
      </c>
      <c r="DP117" s="155">
        <v>4</v>
      </c>
      <c r="DQ117" s="155">
        <v>1</v>
      </c>
      <c r="DR117" s="154">
        <v>30</v>
      </c>
      <c r="DS117" s="55"/>
      <c r="DT117" s="55"/>
      <c r="DU117" s="233">
        <v>40057</v>
      </c>
      <c r="DV117" s="154">
        <v>21</v>
      </c>
      <c r="DW117" s="155">
        <v>4</v>
      </c>
      <c r="DX117" s="155">
        <v>4</v>
      </c>
      <c r="DY117" s="155">
        <v>1</v>
      </c>
      <c r="DZ117" s="154">
        <v>30</v>
      </c>
      <c r="EA117" s="55"/>
      <c r="EB117" s="55"/>
    </row>
    <row r="118" spans="1:132" ht="20.25" x14ac:dyDescent="0.3">
      <c r="A118" s="319"/>
      <c r="B118" s="288"/>
      <c r="C118" s="320"/>
      <c r="D118" s="320"/>
      <c r="E118" s="320"/>
      <c r="F118" s="320"/>
      <c r="G118" s="288"/>
      <c r="H118" s="289"/>
      <c r="I118" s="289"/>
      <c r="J118" s="288"/>
      <c r="K118" s="289"/>
      <c r="L118" s="288"/>
      <c r="M118" s="289"/>
      <c r="N118" s="289"/>
      <c r="O118" s="289"/>
      <c r="P118" s="289"/>
      <c r="Q118" s="320"/>
      <c r="R118" s="289"/>
      <c r="S118" s="289"/>
      <c r="T118" s="71"/>
      <c r="U118" s="71"/>
      <c r="V118" s="289"/>
      <c r="W118" s="289"/>
      <c r="X118" s="71"/>
      <c r="Y118" s="71"/>
      <c r="Z118" s="282"/>
      <c r="AA118" s="276"/>
      <c r="AB118" s="276"/>
      <c r="AC118" s="277"/>
      <c r="AD118" s="71"/>
      <c r="AE118" s="71"/>
      <c r="AF118" s="71"/>
      <c r="AG118" s="71"/>
      <c r="AH118" s="71"/>
      <c r="AI118" s="71"/>
      <c r="AJ118" s="71"/>
      <c r="AK118" s="71"/>
      <c r="AL118" s="71"/>
      <c r="AM118" s="71"/>
      <c r="AN118" s="71"/>
      <c r="AO118" s="71"/>
      <c r="AP118" s="71"/>
      <c r="AQ118" s="71"/>
      <c r="AR118" s="71"/>
      <c r="AS118" s="71"/>
      <c r="AT118" s="71"/>
      <c r="AU118" s="71"/>
      <c r="AV118" s="71"/>
      <c r="AW118" s="71"/>
      <c r="AX118" s="71"/>
      <c r="AY118" s="71"/>
      <c r="AZ118" s="71"/>
      <c r="BA118" s="71"/>
      <c r="BB118" s="71"/>
      <c r="BC118" s="71"/>
      <c r="BD118" s="71"/>
      <c r="BE118" s="71"/>
      <c r="BF118" s="71"/>
      <c r="BG118" s="71"/>
      <c r="BH118" s="71"/>
      <c r="BI118" s="71"/>
      <c r="BJ118" s="71"/>
      <c r="BK118" s="71"/>
      <c r="BL118" s="71"/>
      <c r="BM118" s="71"/>
      <c r="BN118" s="71"/>
      <c r="BO118" s="71"/>
      <c r="BP118" s="71"/>
      <c r="BQ118" s="71"/>
      <c r="BR118" s="71"/>
      <c r="BS118" s="71"/>
      <c r="BT118" s="71"/>
      <c r="BU118" s="71"/>
      <c r="BV118" s="71"/>
      <c r="BW118" s="71"/>
      <c r="BX118" s="71"/>
      <c r="BY118" s="71"/>
      <c r="BZ118" s="71"/>
      <c r="CA118" s="71"/>
      <c r="CB118" s="71"/>
      <c r="CC118" s="71"/>
      <c r="CD118" s="71"/>
      <c r="CE118" s="71"/>
      <c r="DJ118" s="54">
        <f t="shared" si="77"/>
        <v>38353</v>
      </c>
      <c r="DK118" s="30">
        <f t="shared" si="75"/>
        <v>31</v>
      </c>
      <c r="DL118" s="30">
        <f t="shared" si="76"/>
        <v>6</v>
      </c>
      <c r="DM118" s="233">
        <v>40087</v>
      </c>
      <c r="DN118" s="154">
        <v>21</v>
      </c>
      <c r="DO118" s="155">
        <v>5</v>
      </c>
      <c r="DP118" s="155">
        <v>4</v>
      </c>
      <c r="DQ118" s="155">
        <v>1</v>
      </c>
      <c r="DR118" s="154">
        <v>31</v>
      </c>
      <c r="DS118" s="55"/>
      <c r="DT118" s="55"/>
      <c r="DU118" s="233">
        <v>40087</v>
      </c>
      <c r="DV118" s="154">
        <v>22</v>
      </c>
      <c r="DW118" s="155">
        <v>5</v>
      </c>
      <c r="DX118" s="155">
        <v>4</v>
      </c>
      <c r="DY118" s="155">
        <v>0</v>
      </c>
      <c r="DZ118" s="154">
        <v>31</v>
      </c>
      <c r="EA118" s="55"/>
      <c r="EB118" s="55"/>
    </row>
    <row r="119" spans="1:132" ht="12.75" x14ac:dyDescent="0.2">
      <c r="A119" s="71"/>
      <c r="B119" s="276"/>
      <c r="C119" s="276"/>
      <c r="D119" s="276"/>
      <c r="E119" s="276"/>
      <c r="F119" s="276"/>
      <c r="G119" s="276"/>
      <c r="H119" s="276"/>
      <c r="I119" s="276"/>
      <c r="J119" s="276"/>
      <c r="K119" s="276"/>
      <c r="L119" s="276"/>
      <c r="M119" s="276"/>
      <c r="N119" s="276"/>
      <c r="O119" s="276"/>
      <c r="P119" s="276"/>
      <c r="Q119" s="276"/>
      <c r="R119" s="276"/>
      <c r="S119" s="276"/>
      <c r="T119" s="71"/>
      <c r="U119" s="71"/>
      <c r="V119" s="276"/>
      <c r="W119" s="276"/>
      <c r="X119" s="71"/>
      <c r="Y119" s="71"/>
      <c r="Z119" s="282"/>
      <c r="AA119" s="276"/>
      <c r="AB119" s="276"/>
      <c r="AC119" s="277"/>
      <c r="AD119" s="71"/>
      <c r="AE119" s="71"/>
      <c r="AF119" s="71"/>
      <c r="AG119" s="71"/>
      <c r="AH119" s="71"/>
      <c r="AI119" s="71"/>
      <c r="AJ119" s="71"/>
      <c r="AK119" s="71"/>
      <c r="AL119" s="71"/>
      <c r="AM119" s="71"/>
      <c r="AN119" s="71"/>
      <c r="AO119" s="71"/>
      <c r="AP119" s="71"/>
      <c r="AQ119" s="71"/>
      <c r="AR119" s="71"/>
      <c r="AS119" s="71"/>
      <c r="AT119" s="71"/>
      <c r="AU119" s="71"/>
      <c r="AV119" s="71"/>
      <c r="AW119" s="71"/>
      <c r="AX119" s="71"/>
      <c r="AY119" s="71"/>
      <c r="AZ119" s="71"/>
      <c r="BA119" s="71"/>
      <c r="BB119" s="71"/>
      <c r="BC119" s="71"/>
      <c r="BD119" s="71"/>
      <c r="BE119" s="71"/>
      <c r="BF119" s="71"/>
      <c r="BG119" s="71"/>
      <c r="BH119" s="71"/>
      <c r="BI119" s="71"/>
      <c r="BJ119" s="71"/>
      <c r="BK119" s="71"/>
      <c r="BL119" s="71"/>
      <c r="BM119" s="71"/>
      <c r="BN119" s="71"/>
      <c r="BO119" s="71"/>
      <c r="BP119" s="71"/>
      <c r="BQ119" s="71"/>
      <c r="BR119" s="71"/>
      <c r="BS119" s="71"/>
      <c r="BT119" s="71"/>
      <c r="BU119" s="71"/>
      <c r="BV119" s="71"/>
      <c r="BW119" s="71"/>
      <c r="BX119" s="71"/>
      <c r="BY119" s="71"/>
      <c r="BZ119" s="71"/>
      <c r="CA119" s="71"/>
      <c r="CB119" s="71"/>
      <c r="CC119" s="71"/>
      <c r="CD119" s="71"/>
      <c r="CE119" s="71"/>
      <c r="DJ119" s="54"/>
      <c r="DM119" s="233">
        <v>40118</v>
      </c>
      <c r="DN119" s="154">
        <v>20</v>
      </c>
      <c r="DO119" s="155">
        <v>4</v>
      </c>
      <c r="DP119" s="155">
        <v>5</v>
      </c>
      <c r="DQ119" s="155">
        <v>1</v>
      </c>
      <c r="DR119" s="154">
        <v>30</v>
      </c>
      <c r="DS119" s="55"/>
      <c r="DT119" s="55"/>
      <c r="DU119" s="233">
        <v>40118</v>
      </c>
      <c r="DV119" s="154">
        <v>20</v>
      </c>
      <c r="DW119" s="155">
        <v>4</v>
      </c>
      <c r="DX119" s="155">
        <v>5</v>
      </c>
      <c r="DY119" s="155">
        <v>1</v>
      </c>
      <c r="DZ119" s="154">
        <v>30</v>
      </c>
      <c r="EA119" s="55"/>
      <c r="EB119" s="55"/>
    </row>
    <row r="120" spans="1:132" ht="15" x14ac:dyDescent="0.2">
      <c r="A120" s="312"/>
      <c r="B120" s="284"/>
      <c r="C120" s="284"/>
      <c r="D120" s="284"/>
      <c r="E120" s="284"/>
      <c r="F120" s="284"/>
      <c r="G120" s="284"/>
      <c r="H120" s="284"/>
      <c r="I120" s="284"/>
      <c r="J120" s="284"/>
      <c r="K120" s="284"/>
      <c r="L120" s="284"/>
      <c r="M120" s="284"/>
      <c r="N120" s="284"/>
      <c r="O120" s="284"/>
      <c r="P120" s="284"/>
      <c r="Q120" s="284"/>
      <c r="R120" s="284"/>
      <c r="S120" s="284"/>
      <c r="T120" s="310"/>
      <c r="U120" s="310"/>
      <c r="V120" s="284"/>
      <c r="W120" s="284"/>
      <c r="X120" s="312"/>
      <c r="Y120" s="71"/>
      <c r="Z120" s="313"/>
      <c r="AA120" s="314"/>
      <c r="AB120" s="314"/>
      <c r="AC120" s="277"/>
      <c r="AD120" s="71"/>
      <c r="AE120" s="71"/>
      <c r="AF120" s="71"/>
      <c r="AG120" s="71"/>
      <c r="AH120" s="71"/>
      <c r="AI120" s="71"/>
      <c r="AJ120" s="71"/>
      <c r="AK120" s="71"/>
      <c r="AL120" s="71"/>
      <c r="AM120" s="71"/>
      <c r="AN120" s="71"/>
      <c r="AO120" s="71"/>
      <c r="AP120" s="71"/>
      <c r="AQ120" s="71"/>
      <c r="AR120" s="71"/>
      <c r="AS120" s="71"/>
      <c r="AT120" s="71"/>
      <c r="AU120" s="71"/>
      <c r="AV120" s="71"/>
      <c r="AW120" s="71"/>
      <c r="AX120" s="71"/>
      <c r="AY120" s="71"/>
      <c r="AZ120" s="71"/>
      <c r="BA120" s="71"/>
      <c r="BB120" s="71"/>
      <c r="BC120" s="71"/>
      <c r="BD120" s="71"/>
      <c r="BE120" s="71"/>
      <c r="BF120" s="71"/>
      <c r="BG120" s="71"/>
      <c r="BH120" s="71"/>
      <c r="BI120" s="71"/>
      <c r="BJ120" s="71"/>
      <c r="BK120" s="71"/>
      <c r="BL120" s="71"/>
      <c r="BM120" s="71"/>
      <c r="BN120" s="71"/>
      <c r="BO120" s="71"/>
      <c r="BP120" s="71"/>
      <c r="BQ120" s="71"/>
      <c r="BR120" s="71"/>
      <c r="BS120" s="71"/>
      <c r="BT120" s="71"/>
      <c r="BU120" s="71"/>
      <c r="BV120" s="71"/>
      <c r="BW120" s="71"/>
      <c r="BX120" s="71"/>
      <c r="BY120" s="71"/>
      <c r="BZ120" s="71"/>
      <c r="CA120" s="71"/>
      <c r="CB120" s="71"/>
      <c r="CC120" s="71"/>
      <c r="CD120" s="71"/>
      <c r="CE120" s="71"/>
      <c r="DJ120" s="54"/>
      <c r="DM120" s="233">
        <v>40148</v>
      </c>
      <c r="DN120" s="154">
        <v>21</v>
      </c>
      <c r="DO120" s="155">
        <v>4</v>
      </c>
      <c r="DP120" s="155">
        <v>4</v>
      </c>
      <c r="DQ120" s="155">
        <v>2</v>
      </c>
      <c r="DR120" s="154">
        <v>31</v>
      </c>
      <c r="DS120" s="55"/>
      <c r="DT120" s="55"/>
      <c r="DU120" s="233">
        <v>40148</v>
      </c>
      <c r="DV120" s="154">
        <v>22</v>
      </c>
      <c r="DW120" s="155">
        <v>4</v>
      </c>
      <c r="DX120" s="155">
        <v>4</v>
      </c>
      <c r="DY120" s="155">
        <v>1</v>
      </c>
      <c r="DZ120" s="154">
        <v>31</v>
      </c>
    </row>
    <row r="121" spans="1:132" ht="15.75" x14ac:dyDescent="0.25">
      <c r="A121" s="312"/>
      <c r="B121" s="284"/>
      <c r="C121" s="284"/>
      <c r="D121" s="284"/>
      <c r="E121" s="284"/>
      <c r="F121" s="284"/>
      <c r="G121" s="284"/>
      <c r="H121" s="284"/>
      <c r="I121" s="284"/>
      <c r="J121" s="284"/>
      <c r="K121" s="284"/>
      <c r="L121" s="284"/>
      <c r="M121" s="284"/>
      <c r="N121" s="284"/>
      <c r="O121" s="284"/>
      <c r="P121" s="284"/>
      <c r="Q121" s="284"/>
      <c r="R121" s="284"/>
      <c r="S121" s="284"/>
      <c r="T121" s="310"/>
      <c r="U121" s="310"/>
      <c r="V121" s="284"/>
      <c r="W121" s="284"/>
      <c r="X121" s="312"/>
      <c r="Y121" s="71"/>
      <c r="Z121" s="276"/>
      <c r="AA121" s="290"/>
      <c r="AB121" s="290"/>
      <c r="AC121" s="277"/>
      <c r="AD121" s="71"/>
      <c r="AE121" s="71"/>
      <c r="AF121" s="71"/>
      <c r="AG121" s="71"/>
      <c r="AH121" s="71"/>
      <c r="AI121" s="71"/>
      <c r="AJ121" s="71"/>
      <c r="AK121" s="71"/>
      <c r="AL121" s="71"/>
      <c r="AM121" s="71"/>
      <c r="AN121" s="71"/>
      <c r="AO121" s="71"/>
      <c r="AP121" s="71"/>
      <c r="AQ121" s="71"/>
      <c r="AR121" s="71"/>
      <c r="AS121" s="71"/>
      <c r="AT121" s="71"/>
      <c r="AU121" s="71"/>
      <c r="AV121" s="71"/>
      <c r="AW121" s="71"/>
      <c r="AX121" s="71"/>
      <c r="AY121" s="71"/>
      <c r="AZ121" s="71"/>
      <c r="BA121" s="71"/>
      <c r="BB121" s="71"/>
      <c r="BC121" s="71"/>
      <c r="BD121" s="71"/>
      <c r="BE121" s="71"/>
      <c r="BF121" s="71"/>
      <c r="BG121" s="71"/>
      <c r="BH121" s="71"/>
      <c r="BI121" s="71"/>
      <c r="BJ121" s="71"/>
      <c r="BK121" s="71"/>
      <c r="BL121" s="71"/>
      <c r="BM121" s="71"/>
      <c r="BN121" s="71"/>
      <c r="BO121" s="71"/>
      <c r="BP121" s="71"/>
      <c r="BQ121" s="71"/>
      <c r="BR121" s="71"/>
      <c r="BS121" s="71"/>
      <c r="BT121" s="71"/>
      <c r="BU121" s="71"/>
      <c r="BV121" s="71"/>
      <c r="BW121" s="71"/>
      <c r="BX121" s="71"/>
      <c r="BY121" s="71"/>
      <c r="BZ121" s="71"/>
      <c r="CA121" s="71"/>
      <c r="CB121" s="71"/>
      <c r="CC121" s="71"/>
      <c r="CD121" s="71"/>
      <c r="CE121" s="71"/>
      <c r="DJ121" s="54"/>
      <c r="DM121" s="233">
        <v>40179</v>
      </c>
      <c r="DN121" s="154">
        <v>20</v>
      </c>
      <c r="DO121" s="155">
        <v>5</v>
      </c>
      <c r="DP121" s="155">
        <v>5</v>
      </c>
      <c r="DQ121" s="155">
        <v>1</v>
      </c>
      <c r="DR121" s="154">
        <v>31</v>
      </c>
      <c r="DS121" s="55"/>
      <c r="DT121" s="55"/>
      <c r="DU121" s="233">
        <v>40179</v>
      </c>
      <c r="DV121" s="154">
        <v>20</v>
      </c>
      <c r="DW121" s="155">
        <v>5</v>
      </c>
      <c r="DX121" s="155">
        <v>5</v>
      </c>
      <c r="DY121" s="155">
        <v>1</v>
      </c>
      <c r="DZ121" s="154">
        <v>31</v>
      </c>
    </row>
    <row r="122" spans="1:132" ht="15.75" x14ac:dyDescent="0.25">
      <c r="A122" s="312"/>
      <c r="B122" s="284"/>
      <c r="C122" s="284"/>
      <c r="D122" s="284"/>
      <c r="E122" s="284"/>
      <c r="F122" s="284"/>
      <c r="G122" s="284"/>
      <c r="H122" s="284"/>
      <c r="I122" s="284"/>
      <c r="J122" s="284"/>
      <c r="K122" s="284"/>
      <c r="L122" s="284"/>
      <c r="M122" s="284"/>
      <c r="N122" s="284"/>
      <c r="O122" s="284"/>
      <c r="P122" s="284"/>
      <c r="Q122" s="284"/>
      <c r="R122" s="284"/>
      <c r="S122" s="284"/>
      <c r="T122" s="310"/>
      <c r="U122" s="310"/>
      <c r="V122" s="284"/>
      <c r="W122" s="284"/>
      <c r="X122" s="312"/>
      <c r="Y122" s="71"/>
      <c r="Z122" s="276"/>
      <c r="AA122" s="248"/>
      <c r="AB122" s="248"/>
      <c r="AC122" s="277"/>
      <c r="AD122" s="71"/>
      <c r="AE122" s="71"/>
      <c r="AF122" s="71"/>
      <c r="AG122" s="71"/>
      <c r="AH122" s="71"/>
      <c r="AI122" s="71"/>
      <c r="AJ122" s="71"/>
      <c r="AK122" s="71"/>
      <c r="AL122" s="71"/>
      <c r="AM122" s="71"/>
      <c r="AN122" s="71"/>
      <c r="AO122" s="71"/>
      <c r="AP122" s="71"/>
      <c r="AQ122" s="71"/>
      <c r="AR122" s="71"/>
      <c r="AS122" s="71"/>
      <c r="AT122" s="71"/>
      <c r="AU122" s="71"/>
      <c r="AV122" s="71"/>
      <c r="AW122" s="71"/>
      <c r="AX122" s="71"/>
      <c r="AY122" s="71"/>
      <c r="AZ122" s="71"/>
      <c r="BA122" s="71"/>
      <c r="BB122" s="71"/>
      <c r="BC122" s="71"/>
      <c r="BD122" s="71"/>
      <c r="BE122" s="71"/>
      <c r="BF122" s="71"/>
      <c r="BG122" s="71"/>
      <c r="BH122" s="71"/>
      <c r="BI122" s="71"/>
      <c r="BJ122" s="71"/>
      <c r="BK122" s="71"/>
      <c r="BL122" s="71"/>
      <c r="BM122" s="71"/>
      <c r="BN122" s="71"/>
      <c r="BO122" s="71"/>
      <c r="BP122" s="71"/>
      <c r="BQ122" s="71"/>
      <c r="BR122" s="71"/>
      <c r="BS122" s="71"/>
      <c r="BT122" s="71"/>
      <c r="BU122" s="71"/>
      <c r="BV122" s="71"/>
      <c r="BW122" s="71"/>
      <c r="BX122" s="71"/>
      <c r="BY122" s="71"/>
      <c r="BZ122" s="71"/>
      <c r="CA122" s="71"/>
      <c r="CB122" s="71"/>
      <c r="CC122" s="71"/>
      <c r="CD122" s="71"/>
      <c r="CE122" s="71"/>
      <c r="DJ122" s="54"/>
      <c r="DM122" s="233">
        <v>40210</v>
      </c>
      <c r="DN122" s="154">
        <v>19</v>
      </c>
      <c r="DO122" s="155">
        <v>4</v>
      </c>
      <c r="DP122" s="155">
        <v>4</v>
      </c>
      <c r="DQ122" s="155">
        <v>1</v>
      </c>
      <c r="DR122" s="154">
        <v>28</v>
      </c>
      <c r="DS122" s="55"/>
      <c r="DT122" s="55"/>
      <c r="DU122" s="233">
        <v>40210</v>
      </c>
      <c r="DV122" s="154">
        <v>20</v>
      </c>
      <c r="DW122" s="155">
        <v>4</v>
      </c>
      <c r="DX122" s="155">
        <v>4</v>
      </c>
      <c r="DY122" s="155">
        <v>0</v>
      </c>
      <c r="DZ122" s="154">
        <v>28</v>
      </c>
    </row>
    <row r="123" spans="1:132" ht="15" x14ac:dyDescent="0.2">
      <c r="A123" s="312"/>
      <c r="B123" s="284"/>
      <c r="C123" s="284"/>
      <c r="D123" s="284"/>
      <c r="E123" s="284"/>
      <c r="F123" s="284"/>
      <c r="G123" s="284"/>
      <c r="H123" s="284"/>
      <c r="I123" s="284"/>
      <c r="J123" s="284"/>
      <c r="K123" s="284"/>
      <c r="L123" s="284"/>
      <c r="M123" s="284"/>
      <c r="N123" s="284"/>
      <c r="O123" s="284"/>
      <c r="P123" s="284"/>
      <c r="Q123" s="284"/>
      <c r="R123" s="284"/>
      <c r="S123" s="284"/>
      <c r="T123" s="310"/>
      <c r="U123" s="310"/>
      <c r="V123" s="284"/>
      <c r="W123" s="284"/>
      <c r="X123" s="312"/>
      <c r="Y123" s="71"/>
      <c r="Z123" s="313"/>
      <c r="AA123" s="314"/>
      <c r="AB123" s="314"/>
      <c r="AC123" s="277"/>
      <c r="AD123" s="71"/>
      <c r="AE123" s="71"/>
      <c r="AF123" s="71"/>
      <c r="AG123" s="71"/>
      <c r="AH123" s="71"/>
      <c r="AI123" s="71"/>
      <c r="AJ123" s="71"/>
      <c r="AK123" s="71"/>
      <c r="AL123" s="71"/>
      <c r="AM123" s="71"/>
      <c r="AN123" s="71"/>
      <c r="AO123" s="71"/>
      <c r="AP123" s="71"/>
      <c r="AQ123" s="71"/>
      <c r="AR123" s="71"/>
      <c r="AS123" s="71"/>
      <c r="AT123" s="71"/>
      <c r="AU123" s="71"/>
      <c r="AV123" s="71"/>
      <c r="AW123" s="71"/>
      <c r="AX123" s="71"/>
      <c r="AY123" s="71"/>
      <c r="AZ123" s="71"/>
      <c r="BA123" s="71"/>
      <c r="BB123" s="71"/>
      <c r="BC123" s="71"/>
      <c r="BD123" s="71"/>
      <c r="BE123" s="71"/>
      <c r="BF123" s="71"/>
      <c r="BG123" s="71"/>
      <c r="BH123" s="71"/>
      <c r="BI123" s="71"/>
      <c r="BJ123" s="71"/>
      <c r="BK123" s="71"/>
      <c r="BL123" s="71"/>
      <c r="BM123" s="71"/>
      <c r="BN123" s="71"/>
      <c r="BO123" s="71"/>
      <c r="BP123" s="71"/>
      <c r="BQ123" s="71"/>
      <c r="BR123" s="71"/>
      <c r="BS123" s="71"/>
      <c r="BT123" s="71"/>
      <c r="BU123" s="71"/>
      <c r="BV123" s="71"/>
      <c r="BW123" s="71"/>
      <c r="BX123" s="71"/>
      <c r="BY123" s="71"/>
      <c r="BZ123" s="71"/>
      <c r="CA123" s="71"/>
      <c r="CB123" s="71"/>
      <c r="CC123" s="71"/>
      <c r="CD123" s="71"/>
      <c r="CE123" s="71"/>
      <c r="DJ123" s="54"/>
      <c r="DM123" s="233">
        <v>40238</v>
      </c>
      <c r="DN123" s="154">
        <v>23</v>
      </c>
      <c r="DO123" s="155">
        <v>4</v>
      </c>
      <c r="DP123" s="155">
        <v>4</v>
      </c>
      <c r="DQ123" s="155">
        <v>0</v>
      </c>
      <c r="DR123" s="154">
        <v>31</v>
      </c>
      <c r="DS123" s="55"/>
      <c r="DT123" s="55"/>
      <c r="DU123" s="233">
        <v>40238</v>
      </c>
      <c r="DV123" s="154">
        <v>23</v>
      </c>
      <c r="DW123" s="155">
        <v>4</v>
      </c>
      <c r="DX123" s="155">
        <v>4</v>
      </c>
      <c r="DY123" s="155">
        <v>0</v>
      </c>
      <c r="DZ123" s="154">
        <v>31</v>
      </c>
    </row>
    <row r="124" spans="1:132" ht="15.75" x14ac:dyDescent="0.25">
      <c r="A124" s="312"/>
      <c r="B124" s="284"/>
      <c r="C124" s="284"/>
      <c r="D124" s="284"/>
      <c r="E124" s="284"/>
      <c r="F124" s="284"/>
      <c r="G124" s="284"/>
      <c r="H124" s="284"/>
      <c r="I124" s="284"/>
      <c r="J124" s="284"/>
      <c r="K124" s="284"/>
      <c r="L124" s="284"/>
      <c r="M124" s="284"/>
      <c r="N124" s="284"/>
      <c r="O124" s="284"/>
      <c r="P124" s="284"/>
      <c r="Q124" s="284"/>
      <c r="R124" s="284"/>
      <c r="S124" s="284"/>
      <c r="T124" s="310"/>
      <c r="U124" s="310"/>
      <c r="V124" s="284"/>
      <c r="W124" s="284"/>
      <c r="X124" s="312"/>
      <c r="Y124" s="71"/>
      <c r="Z124" s="276"/>
      <c r="AA124" s="290"/>
      <c r="AB124" s="290"/>
      <c r="AC124" s="277"/>
      <c r="AD124" s="71"/>
      <c r="AE124" s="71"/>
      <c r="AF124" s="71"/>
      <c r="AG124" s="71"/>
      <c r="AH124" s="71"/>
      <c r="AI124" s="71"/>
      <c r="AJ124" s="71"/>
      <c r="AK124" s="71"/>
      <c r="AL124" s="71"/>
      <c r="AM124" s="71"/>
      <c r="AN124" s="71"/>
      <c r="AO124" s="71"/>
      <c r="AP124" s="71"/>
      <c r="AQ124" s="71"/>
      <c r="AR124" s="71"/>
      <c r="AS124" s="71"/>
      <c r="AT124" s="71"/>
      <c r="AU124" s="71"/>
      <c r="AV124" s="71"/>
      <c r="AW124" s="71"/>
      <c r="AX124" s="71"/>
      <c r="AY124" s="71"/>
      <c r="AZ124" s="71"/>
      <c r="BA124" s="71"/>
      <c r="BB124" s="71"/>
      <c r="BC124" s="71"/>
      <c r="BD124" s="71"/>
      <c r="BE124" s="71"/>
      <c r="BF124" s="71"/>
      <c r="BG124" s="71"/>
      <c r="BH124" s="71"/>
      <c r="BI124" s="71"/>
      <c r="BJ124" s="71"/>
      <c r="BK124" s="71"/>
      <c r="BL124" s="71"/>
      <c r="BM124" s="71"/>
      <c r="BN124" s="71"/>
      <c r="BO124" s="71"/>
      <c r="BP124" s="71"/>
      <c r="BQ124" s="71"/>
      <c r="BR124" s="71"/>
      <c r="BS124" s="71"/>
      <c r="BT124" s="71"/>
      <c r="BU124" s="71"/>
      <c r="BV124" s="71"/>
      <c r="BW124" s="71"/>
      <c r="BX124" s="71"/>
      <c r="BY124" s="71"/>
      <c r="BZ124" s="71"/>
      <c r="CA124" s="71"/>
      <c r="CB124" s="71"/>
      <c r="CC124" s="71"/>
      <c r="CD124" s="71"/>
      <c r="CE124" s="71"/>
      <c r="DJ124" s="54"/>
      <c r="DM124" s="233">
        <v>40269</v>
      </c>
      <c r="DN124" s="154">
        <v>21</v>
      </c>
      <c r="DO124" s="155">
        <v>4</v>
      </c>
      <c r="DP124" s="155">
        <v>4</v>
      </c>
      <c r="DQ124" s="155">
        <v>1</v>
      </c>
      <c r="DR124" s="154">
        <v>30</v>
      </c>
      <c r="DS124" s="55"/>
      <c r="DT124" s="55"/>
      <c r="DU124" s="233">
        <v>40269</v>
      </c>
      <c r="DV124" s="154">
        <v>22</v>
      </c>
      <c r="DW124" s="155">
        <v>4</v>
      </c>
      <c r="DX124" s="155">
        <v>4</v>
      </c>
      <c r="DY124" s="155">
        <v>0</v>
      </c>
      <c r="DZ124" s="154">
        <v>30</v>
      </c>
    </row>
    <row r="125" spans="1:132" ht="15.75" x14ac:dyDescent="0.25">
      <c r="A125" s="312"/>
      <c r="B125" s="284"/>
      <c r="C125" s="284"/>
      <c r="D125" s="284"/>
      <c r="E125" s="284"/>
      <c r="F125" s="284"/>
      <c r="G125" s="284"/>
      <c r="H125" s="284"/>
      <c r="I125" s="284"/>
      <c r="J125" s="284"/>
      <c r="K125" s="284"/>
      <c r="L125" s="284"/>
      <c r="M125" s="284"/>
      <c r="N125" s="284"/>
      <c r="O125" s="284"/>
      <c r="P125" s="284"/>
      <c r="Q125" s="284"/>
      <c r="R125" s="284"/>
      <c r="S125" s="284"/>
      <c r="T125" s="310"/>
      <c r="U125" s="310"/>
      <c r="V125" s="284"/>
      <c r="W125" s="284"/>
      <c r="X125" s="312"/>
      <c r="Y125" s="71"/>
      <c r="Z125" s="276"/>
      <c r="AA125" s="248"/>
      <c r="AB125" s="248"/>
      <c r="AC125" s="277"/>
      <c r="AD125" s="71"/>
      <c r="AE125" s="71"/>
      <c r="AF125" s="71"/>
      <c r="AG125" s="71"/>
      <c r="AH125" s="71"/>
      <c r="AI125" s="71"/>
      <c r="AJ125" s="71"/>
      <c r="AK125" s="71"/>
      <c r="AL125" s="71"/>
      <c r="AM125" s="71"/>
      <c r="AN125" s="71"/>
      <c r="AO125" s="71"/>
      <c r="AP125" s="71"/>
      <c r="AQ125" s="71"/>
      <c r="AR125" s="71"/>
      <c r="AS125" s="71"/>
      <c r="AT125" s="71"/>
      <c r="AU125" s="71"/>
      <c r="AV125" s="71"/>
      <c r="AW125" s="71"/>
      <c r="AX125" s="71"/>
      <c r="AY125" s="71"/>
      <c r="AZ125" s="71"/>
      <c r="BA125" s="71"/>
      <c r="BB125" s="71"/>
      <c r="BC125" s="71"/>
      <c r="BD125" s="71"/>
      <c r="BE125" s="71"/>
      <c r="BF125" s="71"/>
      <c r="BG125" s="71"/>
      <c r="BH125" s="71"/>
      <c r="BI125" s="71"/>
      <c r="BJ125" s="71"/>
      <c r="BK125" s="71"/>
      <c r="BL125" s="71"/>
      <c r="BM125" s="71"/>
      <c r="BN125" s="71"/>
      <c r="BO125" s="71"/>
      <c r="BP125" s="71"/>
      <c r="BQ125" s="71"/>
      <c r="BR125" s="71"/>
      <c r="BS125" s="71"/>
      <c r="BT125" s="71"/>
      <c r="BU125" s="71"/>
      <c r="BV125" s="71"/>
      <c r="BW125" s="71"/>
      <c r="BX125" s="71"/>
      <c r="BY125" s="71"/>
      <c r="BZ125" s="71"/>
      <c r="CA125" s="71"/>
      <c r="CB125" s="71"/>
      <c r="CC125" s="71"/>
      <c r="CD125" s="71"/>
      <c r="CE125" s="71"/>
      <c r="DJ125" s="54"/>
      <c r="DM125" s="233">
        <v>40299</v>
      </c>
      <c r="DN125" s="154">
        <v>20</v>
      </c>
      <c r="DO125" s="155">
        <v>5</v>
      </c>
      <c r="DP125" s="155">
        <v>5</v>
      </c>
      <c r="DQ125" s="155">
        <v>1</v>
      </c>
      <c r="DR125" s="154">
        <v>31</v>
      </c>
      <c r="DS125" s="55"/>
      <c r="DT125" s="55"/>
      <c r="DU125" s="233">
        <v>40299</v>
      </c>
      <c r="DV125" s="154">
        <v>20</v>
      </c>
      <c r="DW125" s="155">
        <v>5</v>
      </c>
      <c r="DX125" s="155">
        <v>5</v>
      </c>
      <c r="DY125" s="155">
        <v>1</v>
      </c>
      <c r="DZ125" s="154">
        <v>31</v>
      </c>
    </row>
    <row r="126" spans="1:132" ht="15" x14ac:dyDescent="0.2">
      <c r="A126" s="312"/>
      <c r="B126" s="284"/>
      <c r="C126" s="284"/>
      <c r="D126" s="284"/>
      <c r="E126" s="284"/>
      <c r="F126" s="284"/>
      <c r="G126" s="284"/>
      <c r="H126" s="284"/>
      <c r="I126" s="284"/>
      <c r="J126" s="284"/>
      <c r="K126" s="284"/>
      <c r="L126" s="284"/>
      <c r="M126" s="284"/>
      <c r="N126" s="284"/>
      <c r="O126" s="284"/>
      <c r="P126" s="284"/>
      <c r="Q126" s="284"/>
      <c r="R126" s="284"/>
      <c r="S126" s="284"/>
      <c r="T126" s="310"/>
      <c r="U126" s="310"/>
      <c r="V126" s="284"/>
      <c r="W126" s="284"/>
      <c r="X126" s="312"/>
      <c r="Y126" s="71"/>
      <c r="Z126" s="313"/>
      <c r="AA126" s="314"/>
      <c r="AB126" s="314"/>
      <c r="AC126" s="277"/>
      <c r="AD126" s="71"/>
      <c r="AE126" s="71"/>
      <c r="AF126" s="71"/>
      <c r="AG126" s="71"/>
      <c r="AH126" s="71"/>
      <c r="AI126" s="71"/>
      <c r="AJ126" s="71"/>
      <c r="AK126" s="71"/>
      <c r="AL126" s="71"/>
      <c r="AM126" s="71"/>
      <c r="AN126" s="71"/>
      <c r="AO126" s="71"/>
      <c r="AP126" s="71"/>
      <c r="AQ126" s="71"/>
      <c r="AR126" s="71"/>
      <c r="AS126" s="71"/>
      <c r="AT126" s="71"/>
      <c r="AU126" s="71"/>
      <c r="AV126" s="71"/>
      <c r="AW126" s="71"/>
      <c r="AX126" s="71"/>
      <c r="AY126" s="71"/>
      <c r="AZ126" s="71"/>
      <c r="BA126" s="71"/>
      <c r="BB126" s="71"/>
      <c r="BC126" s="71"/>
      <c r="BD126" s="71"/>
      <c r="BE126" s="71"/>
      <c r="BF126" s="71"/>
      <c r="BG126" s="71"/>
      <c r="BH126" s="71"/>
      <c r="BI126" s="71"/>
      <c r="BJ126" s="71"/>
      <c r="BK126" s="71"/>
      <c r="BL126" s="71"/>
      <c r="BM126" s="71"/>
      <c r="BN126" s="71"/>
      <c r="BO126" s="71"/>
      <c r="BP126" s="71"/>
      <c r="BQ126" s="71"/>
      <c r="BR126" s="71"/>
      <c r="BS126" s="71"/>
      <c r="BT126" s="71"/>
      <c r="BU126" s="71"/>
      <c r="BV126" s="71"/>
      <c r="BW126" s="71"/>
      <c r="BX126" s="71"/>
      <c r="BY126" s="71"/>
      <c r="BZ126" s="71"/>
      <c r="CA126" s="71"/>
      <c r="CB126" s="71"/>
      <c r="CC126" s="71"/>
      <c r="CD126" s="71"/>
      <c r="CE126" s="71"/>
      <c r="DJ126" s="54"/>
      <c r="DM126" s="233">
        <v>40330</v>
      </c>
      <c r="DN126" s="154">
        <v>22</v>
      </c>
      <c r="DO126" s="155">
        <v>4</v>
      </c>
      <c r="DP126" s="155">
        <v>4</v>
      </c>
      <c r="DQ126" s="155">
        <v>0</v>
      </c>
      <c r="DR126" s="154">
        <v>30</v>
      </c>
      <c r="DS126" s="55"/>
      <c r="DT126" s="55"/>
      <c r="DU126" s="233">
        <v>40330</v>
      </c>
      <c r="DV126" s="154">
        <v>22</v>
      </c>
      <c r="DW126" s="155">
        <v>4</v>
      </c>
      <c r="DX126" s="155">
        <v>4</v>
      </c>
      <c r="DY126" s="155">
        <v>0</v>
      </c>
      <c r="DZ126" s="154">
        <v>30</v>
      </c>
    </row>
    <row r="127" spans="1:132" ht="15.75" x14ac:dyDescent="0.25">
      <c r="A127" s="312"/>
      <c r="B127" s="284"/>
      <c r="C127" s="284"/>
      <c r="D127" s="284"/>
      <c r="E127" s="284"/>
      <c r="F127" s="284"/>
      <c r="G127" s="284"/>
      <c r="H127" s="284"/>
      <c r="I127" s="284"/>
      <c r="J127" s="284"/>
      <c r="K127" s="284"/>
      <c r="L127" s="284"/>
      <c r="M127" s="284"/>
      <c r="N127" s="284"/>
      <c r="O127" s="284"/>
      <c r="P127" s="284"/>
      <c r="Q127" s="284"/>
      <c r="R127" s="284"/>
      <c r="S127" s="284"/>
      <c r="T127" s="310"/>
      <c r="U127" s="310"/>
      <c r="V127" s="284"/>
      <c r="W127" s="284"/>
      <c r="X127" s="312"/>
      <c r="Y127" s="71"/>
      <c r="Z127" s="276"/>
      <c r="AA127" s="290"/>
      <c r="AB127" s="290"/>
      <c r="AC127" s="277"/>
      <c r="AD127" s="71"/>
      <c r="AE127" s="71"/>
      <c r="AF127" s="71"/>
      <c r="AG127" s="71"/>
      <c r="AH127" s="71"/>
      <c r="AI127" s="71"/>
      <c r="AJ127" s="71"/>
      <c r="AK127" s="71"/>
      <c r="AL127" s="71"/>
      <c r="AM127" s="71"/>
      <c r="AN127" s="71"/>
      <c r="AO127" s="71"/>
      <c r="AP127" s="71"/>
      <c r="AQ127" s="71"/>
      <c r="AR127" s="71"/>
      <c r="AS127" s="71"/>
      <c r="AT127" s="71"/>
      <c r="AU127" s="71"/>
      <c r="AV127" s="71"/>
      <c r="AW127" s="71"/>
      <c r="AX127" s="71"/>
      <c r="AY127" s="71"/>
      <c r="AZ127" s="71"/>
      <c r="BA127" s="71"/>
      <c r="BB127" s="71"/>
      <c r="BC127" s="71"/>
      <c r="BD127" s="71"/>
      <c r="BE127" s="71"/>
      <c r="BF127" s="71"/>
      <c r="BG127" s="71"/>
      <c r="BH127" s="71"/>
      <c r="BI127" s="71"/>
      <c r="BJ127" s="71"/>
      <c r="BK127" s="71"/>
      <c r="BL127" s="71"/>
      <c r="BM127" s="71"/>
      <c r="BN127" s="71"/>
      <c r="BO127" s="71"/>
      <c r="BP127" s="71"/>
      <c r="BQ127" s="71"/>
      <c r="BR127" s="71"/>
      <c r="BS127" s="71"/>
      <c r="BT127" s="71"/>
      <c r="BU127" s="71"/>
      <c r="BV127" s="71"/>
      <c r="BW127" s="71"/>
      <c r="BX127" s="71"/>
      <c r="BY127" s="71"/>
      <c r="BZ127" s="71"/>
      <c r="CA127" s="71"/>
      <c r="CB127" s="71"/>
      <c r="CC127" s="71"/>
      <c r="CD127" s="71"/>
      <c r="CE127" s="71"/>
      <c r="DJ127" s="54"/>
      <c r="DM127" s="233">
        <v>40360</v>
      </c>
      <c r="DN127" s="154">
        <v>21</v>
      </c>
      <c r="DO127" s="155">
        <v>5</v>
      </c>
      <c r="DP127" s="155">
        <v>4</v>
      </c>
      <c r="DQ127" s="155">
        <v>1</v>
      </c>
      <c r="DR127" s="154">
        <v>31</v>
      </c>
      <c r="DS127" s="55"/>
      <c r="DT127" s="55"/>
      <c r="DU127" s="233">
        <v>40360</v>
      </c>
      <c r="DV127" s="154">
        <v>21</v>
      </c>
      <c r="DW127" s="155">
        <v>5</v>
      </c>
      <c r="DX127" s="155">
        <v>4</v>
      </c>
      <c r="DY127" s="155">
        <v>1</v>
      </c>
      <c r="DZ127" s="154">
        <v>31</v>
      </c>
    </row>
    <row r="128" spans="1:132" ht="15.75" x14ac:dyDescent="0.25">
      <c r="A128" s="312"/>
      <c r="B128" s="284"/>
      <c r="C128" s="284"/>
      <c r="D128" s="284"/>
      <c r="E128" s="284"/>
      <c r="F128" s="284"/>
      <c r="G128" s="284"/>
      <c r="H128" s="284"/>
      <c r="I128" s="284"/>
      <c r="J128" s="284"/>
      <c r="K128" s="284"/>
      <c r="L128" s="284"/>
      <c r="M128" s="284"/>
      <c r="N128" s="284"/>
      <c r="O128" s="284"/>
      <c r="P128" s="284"/>
      <c r="Q128" s="284"/>
      <c r="R128" s="284"/>
      <c r="S128" s="284"/>
      <c r="T128" s="310"/>
      <c r="U128" s="310"/>
      <c r="V128" s="284"/>
      <c r="W128" s="284"/>
      <c r="X128" s="312"/>
      <c r="Y128" s="71"/>
      <c r="Z128" s="276"/>
      <c r="AA128" s="248"/>
      <c r="AB128" s="248"/>
      <c r="AC128" s="277"/>
      <c r="AD128" s="71"/>
      <c r="AE128" s="71"/>
      <c r="AF128" s="71"/>
      <c r="AG128" s="71"/>
      <c r="AH128" s="71"/>
      <c r="AI128" s="71"/>
      <c r="AJ128" s="71"/>
      <c r="AK128" s="71"/>
      <c r="AL128" s="71"/>
      <c r="AM128" s="71"/>
      <c r="AN128" s="71"/>
      <c r="AO128" s="71"/>
      <c r="AP128" s="71"/>
      <c r="AQ128" s="71"/>
      <c r="AR128" s="71"/>
      <c r="AS128" s="71"/>
      <c r="AT128" s="71"/>
      <c r="AU128" s="71"/>
      <c r="AV128" s="71"/>
      <c r="AW128" s="71"/>
      <c r="AX128" s="71"/>
      <c r="AY128" s="71"/>
      <c r="AZ128" s="71"/>
      <c r="BA128" s="71"/>
      <c r="BB128" s="71"/>
      <c r="BC128" s="71"/>
      <c r="BD128" s="71"/>
      <c r="BE128" s="71"/>
      <c r="BF128" s="71"/>
      <c r="BG128" s="71"/>
      <c r="BH128" s="71"/>
      <c r="BI128" s="71"/>
      <c r="BJ128" s="71"/>
      <c r="BK128" s="71"/>
      <c r="BL128" s="71"/>
      <c r="BM128" s="71"/>
      <c r="BN128" s="71"/>
      <c r="BO128" s="71"/>
      <c r="BP128" s="71"/>
      <c r="BQ128" s="71"/>
      <c r="BR128" s="71"/>
      <c r="BS128" s="71"/>
      <c r="BT128" s="71"/>
      <c r="BU128" s="71"/>
      <c r="BV128" s="71"/>
      <c r="BW128" s="71"/>
      <c r="BX128" s="71"/>
      <c r="BY128" s="71"/>
      <c r="BZ128" s="71"/>
      <c r="CA128" s="71"/>
      <c r="CB128" s="71"/>
      <c r="CC128" s="71"/>
      <c r="CD128" s="71"/>
      <c r="CE128" s="71"/>
      <c r="DJ128" s="54"/>
      <c r="DM128" s="233">
        <v>40391</v>
      </c>
      <c r="DN128" s="154">
        <v>21</v>
      </c>
      <c r="DO128" s="155">
        <v>4</v>
      </c>
      <c r="DP128" s="155">
        <v>5</v>
      </c>
      <c r="DQ128" s="155">
        <v>1</v>
      </c>
      <c r="DR128" s="154">
        <v>31</v>
      </c>
      <c r="DS128" s="55"/>
      <c r="DT128" s="55"/>
      <c r="DU128" s="233">
        <v>40391</v>
      </c>
      <c r="DV128" s="154">
        <v>22</v>
      </c>
      <c r="DW128" s="155">
        <v>4</v>
      </c>
      <c r="DX128" s="155">
        <v>5</v>
      </c>
      <c r="DY128" s="155">
        <v>0</v>
      </c>
      <c r="DZ128" s="154">
        <v>31</v>
      </c>
    </row>
    <row r="129" spans="1:132" ht="15" x14ac:dyDescent="0.2">
      <c r="A129" s="312"/>
      <c r="B129" s="284"/>
      <c r="C129" s="284"/>
      <c r="D129" s="284"/>
      <c r="E129" s="284"/>
      <c r="F129" s="284"/>
      <c r="G129" s="284"/>
      <c r="H129" s="284"/>
      <c r="I129" s="284"/>
      <c r="J129" s="284"/>
      <c r="K129" s="284"/>
      <c r="L129" s="284"/>
      <c r="M129" s="284"/>
      <c r="N129" s="284"/>
      <c r="O129" s="284"/>
      <c r="P129" s="284"/>
      <c r="Q129" s="284"/>
      <c r="R129" s="284"/>
      <c r="S129" s="284"/>
      <c r="T129" s="310"/>
      <c r="U129" s="310"/>
      <c r="V129" s="284"/>
      <c r="W129" s="284"/>
      <c r="X129" s="312"/>
      <c r="Y129" s="71"/>
      <c r="Z129" s="313"/>
      <c r="AA129" s="314"/>
      <c r="AB129" s="314"/>
      <c r="AC129" s="277"/>
      <c r="AD129" s="71"/>
      <c r="AE129" s="71"/>
      <c r="AF129" s="71"/>
      <c r="AG129" s="71"/>
      <c r="AH129" s="71"/>
      <c r="AI129" s="71"/>
      <c r="AJ129" s="71"/>
      <c r="AK129" s="71"/>
      <c r="AL129" s="71"/>
      <c r="AM129" s="71"/>
      <c r="AN129" s="71"/>
      <c r="AO129" s="71"/>
      <c r="AP129" s="71"/>
      <c r="AQ129" s="71"/>
      <c r="AR129" s="71"/>
      <c r="AS129" s="71"/>
      <c r="AT129" s="71"/>
      <c r="AU129" s="71"/>
      <c r="AV129" s="71"/>
      <c r="AW129" s="71"/>
      <c r="AX129" s="71"/>
      <c r="AY129" s="71"/>
      <c r="AZ129" s="71"/>
      <c r="BA129" s="71"/>
      <c r="BB129" s="71"/>
      <c r="BC129" s="71"/>
      <c r="BD129" s="71"/>
      <c r="BE129" s="71"/>
      <c r="BF129" s="71"/>
      <c r="BG129" s="71"/>
      <c r="BH129" s="71"/>
      <c r="BI129" s="71"/>
      <c r="BJ129" s="71"/>
      <c r="BK129" s="71"/>
      <c r="BL129" s="71"/>
      <c r="BM129" s="71"/>
      <c r="BN129" s="71"/>
      <c r="BO129" s="71"/>
      <c r="BP129" s="71"/>
      <c r="BQ129" s="71"/>
      <c r="BR129" s="71"/>
      <c r="BS129" s="71"/>
      <c r="BT129" s="71"/>
      <c r="BU129" s="71"/>
      <c r="BV129" s="71"/>
      <c r="BW129" s="71"/>
      <c r="BX129" s="71"/>
      <c r="BY129" s="71"/>
      <c r="BZ129" s="71"/>
      <c r="CA129" s="71"/>
      <c r="CB129" s="71"/>
      <c r="CC129" s="71"/>
      <c r="CD129" s="71"/>
      <c r="CE129" s="71"/>
      <c r="DJ129" s="54"/>
      <c r="DM129" s="233">
        <v>40422</v>
      </c>
      <c r="DN129" s="154">
        <v>21</v>
      </c>
      <c r="DO129" s="155">
        <v>4</v>
      </c>
      <c r="DP129" s="155">
        <v>4</v>
      </c>
      <c r="DQ129" s="155">
        <v>1</v>
      </c>
      <c r="DR129" s="154">
        <v>30</v>
      </c>
      <c r="DS129" s="55"/>
      <c r="DT129" s="55"/>
      <c r="DU129" s="233">
        <v>40422</v>
      </c>
      <c r="DV129" s="154">
        <v>21</v>
      </c>
      <c r="DW129" s="155">
        <v>4</v>
      </c>
      <c r="DX129" s="155">
        <v>4</v>
      </c>
      <c r="DY129" s="155">
        <v>1</v>
      </c>
      <c r="DZ129" s="154">
        <v>30</v>
      </c>
    </row>
    <row r="130" spans="1:132" ht="15.75" x14ac:dyDescent="0.25">
      <c r="A130" s="312"/>
      <c r="B130" s="284"/>
      <c r="C130" s="284"/>
      <c r="D130" s="284"/>
      <c r="E130" s="284"/>
      <c r="F130" s="284"/>
      <c r="G130" s="284"/>
      <c r="H130" s="284"/>
      <c r="I130" s="284"/>
      <c r="J130" s="284"/>
      <c r="K130" s="284"/>
      <c r="L130" s="284"/>
      <c r="M130" s="284"/>
      <c r="N130" s="284"/>
      <c r="O130" s="284"/>
      <c r="P130" s="284"/>
      <c r="Q130" s="284"/>
      <c r="R130" s="284"/>
      <c r="S130" s="284"/>
      <c r="T130" s="310"/>
      <c r="U130" s="310"/>
      <c r="V130" s="284"/>
      <c r="W130" s="284"/>
      <c r="X130" s="312"/>
      <c r="Y130" s="71"/>
      <c r="Z130" s="276"/>
      <c r="AA130" s="290"/>
      <c r="AB130" s="290"/>
      <c r="AC130" s="71"/>
      <c r="AD130" s="71"/>
      <c r="AE130" s="71"/>
      <c r="AF130" s="71"/>
      <c r="AG130" s="71"/>
      <c r="AH130" s="71"/>
      <c r="AI130" s="71"/>
      <c r="AJ130" s="71"/>
      <c r="AK130" s="71"/>
      <c r="AL130" s="71"/>
      <c r="AM130" s="71"/>
      <c r="AN130" s="71"/>
      <c r="AO130" s="71"/>
      <c r="AP130" s="71"/>
      <c r="AQ130" s="71"/>
      <c r="AR130" s="71"/>
      <c r="AS130" s="71"/>
      <c r="AT130" s="71"/>
      <c r="AU130" s="71"/>
      <c r="AV130" s="71"/>
      <c r="AW130" s="71"/>
      <c r="AX130" s="71"/>
      <c r="AY130" s="71"/>
      <c r="AZ130" s="71"/>
      <c r="BA130" s="71"/>
      <c r="BB130" s="71"/>
      <c r="BC130" s="71"/>
      <c r="BD130" s="71"/>
      <c r="BE130" s="71"/>
      <c r="BF130" s="71"/>
      <c r="BG130" s="71"/>
      <c r="BH130" s="71"/>
      <c r="BI130" s="71"/>
      <c r="BJ130" s="71"/>
      <c r="BK130" s="71"/>
      <c r="BL130" s="71"/>
      <c r="BM130" s="71"/>
      <c r="BN130" s="71"/>
      <c r="BO130" s="71"/>
      <c r="BP130" s="71"/>
      <c r="BQ130" s="71"/>
      <c r="BR130" s="71"/>
      <c r="BS130" s="71"/>
      <c r="BT130" s="71"/>
      <c r="BU130" s="71"/>
      <c r="BV130" s="71"/>
      <c r="BW130" s="71"/>
      <c r="BX130" s="71"/>
      <c r="BY130" s="71"/>
      <c r="BZ130" s="71"/>
      <c r="CA130" s="71"/>
      <c r="CB130" s="71"/>
      <c r="CC130" s="71"/>
      <c r="CD130" s="71"/>
      <c r="CE130" s="71"/>
      <c r="DJ130" s="54"/>
      <c r="DM130" s="233">
        <v>40452</v>
      </c>
      <c r="DN130" s="154">
        <v>20</v>
      </c>
      <c r="DO130" s="155">
        <v>5</v>
      </c>
      <c r="DP130" s="155">
        <v>5</v>
      </c>
      <c r="DQ130" s="155">
        <v>1</v>
      </c>
      <c r="DR130" s="154">
        <v>31</v>
      </c>
      <c r="DS130" s="55"/>
      <c r="DT130" s="55"/>
      <c r="DU130" s="233">
        <v>40452</v>
      </c>
      <c r="DV130" s="154">
        <v>21</v>
      </c>
      <c r="DW130" s="155">
        <v>5</v>
      </c>
      <c r="DX130" s="155">
        <v>5</v>
      </c>
      <c r="DY130" s="155">
        <v>0</v>
      </c>
      <c r="DZ130" s="154">
        <v>31</v>
      </c>
    </row>
    <row r="131" spans="1:132" ht="15" x14ac:dyDescent="0.2">
      <c r="A131" s="312"/>
      <c r="B131" s="284"/>
      <c r="C131" s="284"/>
      <c r="D131" s="284"/>
      <c r="E131" s="284"/>
      <c r="F131" s="284"/>
      <c r="G131" s="284"/>
      <c r="H131" s="284"/>
      <c r="I131" s="284"/>
      <c r="J131" s="284"/>
      <c r="K131" s="284"/>
      <c r="L131" s="284"/>
      <c r="M131" s="284"/>
      <c r="N131" s="284"/>
      <c r="O131" s="284"/>
      <c r="P131" s="284"/>
      <c r="Q131" s="284"/>
      <c r="R131" s="284"/>
      <c r="S131" s="284"/>
      <c r="T131" s="310"/>
      <c r="U131" s="310"/>
      <c r="V131" s="284"/>
      <c r="W131" s="284"/>
      <c r="X131" s="312"/>
      <c r="Y131" s="71"/>
      <c r="Z131" s="311"/>
      <c r="AA131" s="315"/>
      <c r="AB131" s="315"/>
      <c r="AC131" s="71"/>
      <c r="AD131" s="71"/>
      <c r="AE131" s="71"/>
      <c r="AF131" s="71"/>
      <c r="AG131" s="71"/>
      <c r="AH131" s="71"/>
      <c r="AI131" s="71"/>
      <c r="AJ131" s="71"/>
      <c r="AK131" s="71"/>
      <c r="AL131" s="71"/>
      <c r="AM131" s="71"/>
      <c r="AN131" s="71"/>
      <c r="AO131" s="71"/>
      <c r="AP131" s="71"/>
      <c r="AQ131" s="71"/>
      <c r="AR131" s="71"/>
      <c r="AS131" s="71"/>
      <c r="AT131" s="71"/>
      <c r="AU131" s="71"/>
      <c r="AV131" s="71"/>
      <c r="AW131" s="71"/>
      <c r="AX131" s="71"/>
      <c r="AY131" s="71"/>
      <c r="AZ131" s="71"/>
      <c r="BA131" s="71"/>
      <c r="BB131" s="71"/>
      <c r="BC131" s="71"/>
      <c r="BD131" s="71"/>
      <c r="BE131" s="71"/>
      <c r="BF131" s="71"/>
      <c r="BG131" s="71"/>
      <c r="BH131" s="71"/>
      <c r="BI131" s="71"/>
      <c r="BJ131" s="71"/>
      <c r="BK131" s="71"/>
      <c r="BL131" s="71"/>
      <c r="BM131" s="71"/>
      <c r="BN131" s="71"/>
      <c r="BO131" s="71"/>
      <c r="BP131" s="71"/>
      <c r="BQ131" s="71"/>
      <c r="BR131" s="71"/>
      <c r="BS131" s="71"/>
      <c r="BT131" s="71"/>
      <c r="BU131" s="71"/>
      <c r="BV131" s="71"/>
      <c r="BW131" s="71"/>
      <c r="BX131" s="71"/>
      <c r="BY131" s="71"/>
      <c r="BZ131" s="71"/>
      <c r="CA131" s="71"/>
      <c r="CB131" s="71"/>
      <c r="CC131" s="71"/>
      <c r="CD131" s="71"/>
      <c r="CE131" s="71"/>
      <c r="DJ131" s="54"/>
      <c r="DM131" s="233">
        <v>40483</v>
      </c>
      <c r="DN131" s="154">
        <v>21</v>
      </c>
      <c r="DO131" s="155">
        <v>4</v>
      </c>
      <c r="DP131" s="155">
        <v>4</v>
      </c>
      <c r="DQ131" s="155">
        <v>1</v>
      </c>
      <c r="DR131" s="154">
        <v>30</v>
      </c>
      <c r="DS131" s="55"/>
      <c r="DT131" s="55"/>
      <c r="DU131" s="233">
        <v>40483</v>
      </c>
      <c r="DV131" s="154">
        <v>21</v>
      </c>
      <c r="DW131" s="155">
        <v>4</v>
      </c>
      <c r="DX131" s="155">
        <v>4</v>
      </c>
      <c r="DY131" s="155">
        <v>1</v>
      </c>
      <c r="DZ131" s="154">
        <v>30</v>
      </c>
    </row>
    <row r="132" spans="1:132" ht="15.75" x14ac:dyDescent="0.25">
      <c r="A132" s="282"/>
      <c r="B132" s="290"/>
      <c r="C132" s="290"/>
      <c r="D132" s="290"/>
      <c r="E132" s="290"/>
      <c r="F132" s="290"/>
      <c r="G132" s="290"/>
      <c r="H132" s="290"/>
      <c r="I132" s="290"/>
      <c r="J132" s="290"/>
      <c r="K132" s="290"/>
      <c r="L132" s="290"/>
      <c r="M132" s="290"/>
      <c r="N132" s="290"/>
      <c r="O132" s="290"/>
      <c r="P132" s="290"/>
      <c r="Q132" s="290"/>
      <c r="R132" s="290"/>
      <c r="S132" s="290"/>
      <c r="T132" s="321"/>
      <c r="U132" s="321"/>
      <c r="V132" s="290"/>
      <c r="W132" s="290"/>
      <c r="X132" s="71"/>
      <c r="Y132" s="71"/>
      <c r="Z132" s="71"/>
      <c r="AA132" s="71"/>
      <c r="AB132" s="71"/>
      <c r="AC132" s="71"/>
      <c r="AD132" s="71"/>
      <c r="AE132" s="71"/>
      <c r="AF132" s="71"/>
      <c r="AG132" s="71"/>
      <c r="AH132" s="71"/>
      <c r="AI132" s="71"/>
      <c r="AJ132" s="71"/>
      <c r="AK132" s="71"/>
      <c r="AL132" s="71"/>
      <c r="AM132" s="71"/>
      <c r="AN132" s="71"/>
      <c r="AO132" s="71"/>
      <c r="AP132" s="71"/>
      <c r="AQ132" s="71"/>
      <c r="AR132" s="71"/>
      <c r="AS132" s="71"/>
      <c r="AT132" s="71"/>
      <c r="AU132" s="71"/>
      <c r="AV132" s="71"/>
      <c r="AW132" s="71"/>
      <c r="AX132" s="71"/>
      <c r="AY132" s="71"/>
      <c r="AZ132" s="71"/>
      <c r="BA132" s="71"/>
      <c r="BB132" s="71"/>
      <c r="BC132" s="71"/>
      <c r="BD132" s="71"/>
      <c r="BE132" s="71"/>
      <c r="BF132" s="71"/>
      <c r="BG132" s="71"/>
      <c r="BH132" s="71"/>
      <c r="BI132" s="71"/>
      <c r="BJ132" s="71"/>
      <c r="BK132" s="71"/>
      <c r="BL132" s="71"/>
      <c r="BM132" s="71"/>
      <c r="BN132" s="71"/>
      <c r="BO132" s="71"/>
      <c r="BP132" s="71"/>
      <c r="BQ132" s="71"/>
      <c r="BR132" s="71"/>
      <c r="BS132" s="71"/>
      <c r="BT132" s="71"/>
      <c r="BU132" s="71"/>
      <c r="BV132" s="71"/>
      <c r="BW132" s="71"/>
      <c r="BX132" s="71"/>
      <c r="BY132" s="71"/>
      <c r="BZ132" s="71"/>
      <c r="CA132" s="71"/>
      <c r="CB132" s="71"/>
      <c r="CC132" s="71"/>
      <c r="CD132" s="71"/>
      <c r="CE132" s="71"/>
      <c r="DJ132" s="54"/>
      <c r="DM132" s="233">
        <v>40513</v>
      </c>
      <c r="DN132" s="154">
        <v>22</v>
      </c>
      <c r="DO132" s="155">
        <v>3</v>
      </c>
      <c r="DP132" s="155">
        <v>4</v>
      </c>
      <c r="DQ132" s="155">
        <v>2</v>
      </c>
      <c r="DR132" s="154">
        <v>31</v>
      </c>
      <c r="DS132" s="55"/>
      <c r="DT132" s="55"/>
      <c r="DU132" s="233">
        <v>40513</v>
      </c>
      <c r="DV132" s="154">
        <v>23</v>
      </c>
      <c r="DW132" s="155">
        <v>3</v>
      </c>
      <c r="DX132" s="155">
        <v>4</v>
      </c>
      <c r="DY132" s="155">
        <v>1</v>
      </c>
      <c r="DZ132" s="154">
        <v>31</v>
      </c>
    </row>
    <row r="133" spans="1:132" ht="12.75" x14ac:dyDescent="0.2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71"/>
      <c r="Q133" s="71"/>
      <c r="R133" s="71"/>
      <c r="S133" s="71"/>
      <c r="T133" s="71"/>
      <c r="U133" s="71"/>
      <c r="V133" s="71"/>
      <c r="W133" s="71"/>
      <c r="X133" s="71"/>
      <c r="Y133" s="71"/>
      <c r="Z133" s="71"/>
      <c r="AA133" s="71"/>
      <c r="AB133" s="71"/>
      <c r="AC133" s="71"/>
      <c r="AD133" s="71"/>
      <c r="AE133" s="71"/>
      <c r="AF133" s="71"/>
      <c r="AG133" s="71"/>
      <c r="AH133" s="71"/>
      <c r="AI133" s="71"/>
      <c r="AJ133" s="71"/>
      <c r="AK133" s="71"/>
      <c r="AL133" s="71"/>
      <c r="AM133" s="71"/>
      <c r="AN133" s="71"/>
      <c r="AO133" s="71"/>
      <c r="AP133" s="71"/>
      <c r="AQ133" s="71"/>
      <c r="AR133" s="71"/>
      <c r="AS133" s="71"/>
      <c r="AT133" s="71"/>
      <c r="AU133" s="71"/>
      <c r="AV133" s="71"/>
      <c r="AW133" s="71"/>
      <c r="AX133" s="71"/>
      <c r="AY133" s="71"/>
      <c r="AZ133" s="71"/>
      <c r="BA133" s="71"/>
      <c r="BB133" s="71"/>
      <c r="BC133" s="71"/>
      <c r="BD133" s="71"/>
      <c r="BE133" s="71"/>
      <c r="BF133" s="71"/>
      <c r="BG133" s="71"/>
      <c r="BH133" s="71"/>
      <c r="BI133" s="71"/>
      <c r="BJ133" s="71"/>
      <c r="BK133" s="71"/>
      <c r="BL133" s="71"/>
      <c r="BM133" s="71"/>
      <c r="BN133" s="71"/>
      <c r="BO133" s="71"/>
      <c r="BP133" s="71"/>
      <c r="BQ133" s="71"/>
      <c r="BR133" s="71"/>
      <c r="BS133" s="71"/>
      <c r="BT133" s="71"/>
      <c r="BU133" s="71"/>
      <c r="BV133" s="71"/>
      <c r="BW133" s="71"/>
      <c r="BX133" s="71"/>
      <c r="BY133" s="71"/>
      <c r="BZ133" s="71"/>
      <c r="CA133" s="71"/>
      <c r="CB133" s="71"/>
      <c r="CC133" s="71"/>
      <c r="CD133" s="71"/>
      <c r="CE133" s="71"/>
      <c r="DJ133" s="54"/>
      <c r="DM133" s="233">
        <v>40544</v>
      </c>
      <c r="DN133" s="154">
        <v>21</v>
      </c>
      <c r="DO133" s="155">
        <v>4</v>
      </c>
      <c r="DP133" s="155">
        <v>5</v>
      </c>
      <c r="DQ133" s="155">
        <v>1</v>
      </c>
      <c r="DR133" s="154">
        <v>31</v>
      </c>
      <c r="DS133" s="55"/>
      <c r="DT133" s="55"/>
      <c r="DU133" s="233">
        <v>40544</v>
      </c>
      <c r="DV133" s="154">
        <v>21</v>
      </c>
      <c r="DW133" s="155">
        <v>4</v>
      </c>
      <c r="DX133" s="155">
        <v>5</v>
      </c>
      <c r="DY133" s="155">
        <v>1</v>
      </c>
      <c r="DZ133" s="154">
        <v>31</v>
      </c>
    </row>
    <row r="134" spans="1:132" ht="12.75" x14ac:dyDescent="0.2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71"/>
      <c r="Q134" s="71"/>
      <c r="R134" s="71"/>
      <c r="S134" s="71"/>
      <c r="T134" s="71"/>
      <c r="U134" s="71"/>
      <c r="V134" s="71"/>
      <c r="W134" s="71"/>
      <c r="X134" s="71"/>
      <c r="Y134" s="71"/>
      <c r="Z134" s="71"/>
      <c r="AA134" s="71"/>
      <c r="AB134" s="71"/>
      <c r="AC134" s="71"/>
      <c r="AD134" s="71"/>
      <c r="AE134" s="71"/>
      <c r="AF134" s="71"/>
      <c r="AG134" s="71"/>
      <c r="AH134" s="71"/>
      <c r="AI134" s="71"/>
      <c r="AJ134" s="71"/>
      <c r="AK134" s="71"/>
      <c r="AL134" s="71"/>
      <c r="AM134" s="71"/>
      <c r="AN134" s="71"/>
      <c r="AO134" s="71"/>
      <c r="AP134" s="71"/>
      <c r="AQ134" s="71"/>
      <c r="AR134" s="71"/>
      <c r="AS134" s="71"/>
      <c r="AT134" s="71"/>
      <c r="AU134" s="71"/>
      <c r="AV134" s="71"/>
      <c r="AW134" s="71"/>
      <c r="AX134" s="71"/>
      <c r="AY134" s="71"/>
      <c r="AZ134" s="71"/>
      <c r="BA134" s="71"/>
      <c r="BB134" s="71"/>
      <c r="BC134" s="71"/>
      <c r="BD134" s="71"/>
      <c r="BE134" s="71"/>
      <c r="BF134" s="71"/>
      <c r="BG134" s="71"/>
      <c r="BH134" s="71"/>
      <c r="BI134" s="71"/>
      <c r="BJ134" s="71"/>
      <c r="BK134" s="71"/>
      <c r="BL134" s="71"/>
      <c r="BM134" s="71"/>
      <c r="BN134" s="71"/>
      <c r="BO134" s="71"/>
      <c r="BP134" s="71"/>
      <c r="BQ134" s="71"/>
      <c r="BR134" s="71"/>
      <c r="BS134" s="71"/>
      <c r="BT134" s="71"/>
      <c r="BU134" s="71"/>
      <c r="BV134" s="71"/>
      <c r="BW134" s="71"/>
      <c r="BX134" s="71"/>
      <c r="BY134" s="71"/>
      <c r="BZ134" s="71"/>
      <c r="CA134" s="71"/>
      <c r="CB134" s="71"/>
      <c r="CC134" s="71"/>
      <c r="CD134" s="71"/>
      <c r="CE134" s="71"/>
      <c r="DJ134" s="54"/>
      <c r="DM134" s="233">
        <v>40575</v>
      </c>
      <c r="DN134" s="154">
        <v>19</v>
      </c>
      <c r="DO134" s="155">
        <v>4</v>
      </c>
      <c r="DP134" s="155">
        <v>4</v>
      </c>
      <c r="DQ134" s="155">
        <v>1</v>
      </c>
      <c r="DR134" s="154">
        <v>28</v>
      </c>
      <c r="DS134" s="55"/>
      <c r="DT134" s="55"/>
      <c r="DU134" s="233">
        <v>40575</v>
      </c>
      <c r="DV134" s="154">
        <v>20</v>
      </c>
      <c r="DW134" s="155">
        <v>4</v>
      </c>
      <c r="DX134" s="155">
        <v>4</v>
      </c>
      <c r="DY134" s="155">
        <v>0</v>
      </c>
      <c r="DZ134" s="154">
        <v>28</v>
      </c>
    </row>
    <row r="135" spans="1:132" ht="12.75" x14ac:dyDescent="0.2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71"/>
      <c r="Q135" s="71"/>
      <c r="R135" s="71"/>
      <c r="S135" s="71"/>
      <c r="T135" s="71"/>
      <c r="U135" s="71"/>
      <c r="V135" s="71"/>
      <c r="W135" s="71"/>
      <c r="X135" s="71"/>
      <c r="Y135" s="71"/>
      <c r="Z135" s="71"/>
      <c r="AA135" s="71"/>
      <c r="AB135" s="71"/>
      <c r="AC135" s="71"/>
      <c r="AD135" s="71"/>
      <c r="AE135" s="71"/>
      <c r="AF135" s="71"/>
      <c r="AG135" s="71"/>
      <c r="AH135" s="71"/>
      <c r="AI135" s="71"/>
      <c r="AJ135" s="71"/>
      <c r="AK135" s="71"/>
      <c r="AL135" s="71"/>
      <c r="AM135" s="71"/>
      <c r="AN135" s="71"/>
      <c r="AO135" s="71"/>
      <c r="AP135" s="71"/>
      <c r="AQ135" s="71"/>
      <c r="AR135" s="71"/>
      <c r="AS135" s="71"/>
      <c r="AT135" s="71"/>
      <c r="AU135" s="71"/>
      <c r="AV135" s="71"/>
      <c r="AW135" s="71"/>
      <c r="AX135" s="71"/>
      <c r="AY135" s="71"/>
      <c r="AZ135" s="71"/>
      <c r="BA135" s="71"/>
      <c r="BB135" s="71"/>
      <c r="BC135" s="71"/>
      <c r="BD135" s="71"/>
      <c r="BE135" s="71"/>
      <c r="BF135" s="71"/>
      <c r="BG135" s="71"/>
      <c r="BH135" s="71"/>
      <c r="BI135" s="71"/>
      <c r="BJ135" s="71"/>
      <c r="BK135" s="71"/>
      <c r="BL135" s="71"/>
      <c r="BM135" s="71"/>
      <c r="BN135" s="71"/>
      <c r="BO135" s="71"/>
      <c r="BP135" s="71"/>
      <c r="BQ135" s="71"/>
      <c r="BR135" s="71"/>
      <c r="BS135" s="71"/>
      <c r="BT135" s="71"/>
      <c r="BU135" s="71"/>
      <c r="BV135" s="71"/>
      <c r="BW135" s="71"/>
      <c r="BX135" s="71"/>
      <c r="BY135" s="71"/>
      <c r="BZ135" s="71"/>
      <c r="CA135" s="71"/>
      <c r="CB135" s="71"/>
      <c r="CC135" s="71"/>
      <c r="CD135" s="71"/>
      <c r="CE135" s="71"/>
      <c r="CF135" s="71"/>
      <c r="CG135" s="71"/>
      <c r="CH135" s="71"/>
      <c r="CI135" s="71"/>
      <c r="CJ135" s="71"/>
      <c r="CK135" s="71"/>
      <c r="CL135" s="71"/>
      <c r="CM135" s="71"/>
      <c r="CN135" s="71"/>
      <c r="CO135" s="71"/>
      <c r="DJ135" s="54"/>
      <c r="DM135" s="233">
        <v>40603</v>
      </c>
      <c r="DN135" s="154">
        <v>23</v>
      </c>
      <c r="DO135" s="155">
        <v>4</v>
      </c>
      <c r="DP135" s="155">
        <v>4</v>
      </c>
      <c r="DQ135" s="155">
        <v>0</v>
      </c>
      <c r="DR135" s="154">
        <v>31</v>
      </c>
      <c r="DS135" s="55"/>
      <c r="DT135" s="55"/>
      <c r="DU135" s="233">
        <v>40603</v>
      </c>
      <c r="DV135" s="154">
        <v>23</v>
      </c>
      <c r="DW135" s="155">
        <v>4</v>
      </c>
      <c r="DX135" s="155">
        <v>4</v>
      </c>
      <c r="DY135" s="155">
        <v>0</v>
      </c>
      <c r="DZ135" s="154">
        <v>31</v>
      </c>
    </row>
    <row r="136" spans="1:132" ht="20.25" x14ac:dyDescent="0.3">
      <c r="A136" s="317"/>
      <c r="B136" s="71"/>
      <c r="C136" s="71"/>
      <c r="D136" s="71"/>
      <c r="E136" s="318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71"/>
      <c r="Q136" s="71"/>
      <c r="R136" s="71"/>
      <c r="S136" s="71"/>
      <c r="T136" s="71"/>
      <c r="U136" s="71"/>
      <c r="V136" s="71"/>
      <c r="W136" s="71"/>
      <c r="X136" s="71"/>
      <c r="Y136" s="71"/>
      <c r="Z136" s="71"/>
      <c r="AA136" s="71"/>
      <c r="AB136" s="71"/>
      <c r="AC136" s="71"/>
      <c r="AD136" s="71"/>
      <c r="AE136" s="71"/>
      <c r="AF136" s="71"/>
      <c r="AG136" s="71"/>
      <c r="AH136" s="71"/>
      <c r="AI136" s="71"/>
      <c r="AJ136" s="71"/>
      <c r="AK136" s="71"/>
      <c r="AL136" s="71"/>
      <c r="AM136" s="71"/>
      <c r="AN136" s="71"/>
      <c r="AO136" s="71"/>
      <c r="AP136" s="71"/>
      <c r="AQ136" s="71"/>
      <c r="AR136" s="71"/>
      <c r="AS136" s="71"/>
      <c r="AT136" s="71"/>
      <c r="AU136" s="71"/>
      <c r="AV136" s="71"/>
      <c r="AW136" s="71"/>
      <c r="AX136" s="71"/>
      <c r="AY136" s="71"/>
      <c r="AZ136" s="71"/>
      <c r="BA136" s="71"/>
      <c r="BB136" s="71"/>
      <c r="BC136" s="71"/>
      <c r="BD136" s="71"/>
      <c r="BE136" s="71"/>
      <c r="BF136" s="71"/>
      <c r="BG136" s="71"/>
      <c r="BH136" s="71"/>
      <c r="BI136" s="71"/>
      <c r="BJ136" s="71"/>
      <c r="BK136" s="71"/>
      <c r="BL136" s="71"/>
      <c r="BM136" s="71"/>
      <c r="BN136" s="71"/>
      <c r="BO136" s="71"/>
      <c r="BP136" s="71"/>
      <c r="BQ136" s="71"/>
      <c r="BR136" s="71"/>
      <c r="BS136" s="71"/>
      <c r="BT136" s="71"/>
      <c r="BU136" s="71"/>
      <c r="BV136" s="71"/>
      <c r="BW136" s="71"/>
      <c r="BX136" s="71"/>
      <c r="BY136" s="71"/>
      <c r="BZ136" s="71"/>
      <c r="CA136" s="71"/>
      <c r="CB136" s="71"/>
      <c r="CC136" s="71"/>
      <c r="CD136" s="71"/>
      <c r="CE136" s="71"/>
      <c r="CF136" s="71"/>
      <c r="CG136" s="71"/>
      <c r="CH136" s="71"/>
      <c r="CI136" s="71"/>
      <c r="CJ136" s="71"/>
      <c r="CK136" s="71"/>
      <c r="CL136" s="71"/>
      <c r="CM136" s="71"/>
      <c r="CN136" s="71"/>
      <c r="CO136" s="71"/>
      <c r="DJ136" s="54"/>
      <c r="DM136" s="233">
        <v>40634</v>
      </c>
      <c r="DN136" s="154">
        <v>20</v>
      </c>
      <c r="DO136" s="155">
        <v>5</v>
      </c>
      <c r="DP136" s="155">
        <v>4</v>
      </c>
      <c r="DQ136" s="155">
        <v>1</v>
      </c>
      <c r="DR136" s="154">
        <v>30</v>
      </c>
      <c r="DS136" s="55"/>
      <c r="DT136" s="55"/>
      <c r="DU136" s="233">
        <v>40634</v>
      </c>
      <c r="DV136" s="154">
        <v>21</v>
      </c>
      <c r="DW136" s="155">
        <v>5</v>
      </c>
      <c r="DX136" s="155">
        <v>4</v>
      </c>
      <c r="DY136" s="155">
        <v>0</v>
      </c>
      <c r="DZ136" s="154">
        <v>30</v>
      </c>
    </row>
    <row r="137" spans="1:132" ht="12.75" x14ac:dyDescent="0.2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71"/>
      <c r="Q137" s="71"/>
      <c r="R137" s="71"/>
      <c r="S137" s="71"/>
      <c r="T137" s="71"/>
      <c r="U137" s="71"/>
      <c r="V137" s="71"/>
      <c r="W137" s="71"/>
      <c r="X137" s="71"/>
      <c r="Y137" s="71"/>
      <c r="Z137" s="71"/>
      <c r="AA137" s="71"/>
      <c r="AB137" s="71"/>
      <c r="AC137" s="71"/>
      <c r="AD137" s="71"/>
      <c r="AE137" s="71"/>
      <c r="AF137" s="71"/>
      <c r="AG137" s="71"/>
      <c r="AH137" s="71"/>
      <c r="AI137" s="71"/>
      <c r="AJ137" s="71"/>
      <c r="AK137" s="71"/>
      <c r="AL137" s="71"/>
      <c r="AM137" s="71"/>
      <c r="AN137" s="71"/>
      <c r="AO137" s="71"/>
      <c r="AP137" s="71"/>
      <c r="AQ137" s="71"/>
      <c r="AR137" s="71"/>
      <c r="AS137" s="71"/>
      <c r="AT137" s="71"/>
      <c r="AU137" s="71"/>
      <c r="AV137" s="71"/>
      <c r="AW137" s="71"/>
      <c r="AX137" s="71"/>
      <c r="AY137" s="71"/>
      <c r="AZ137" s="71"/>
      <c r="BA137" s="71"/>
      <c r="BB137" s="71"/>
      <c r="BC137" s="71"/>
      <c r="BD137" s="71"/>
      <c r="BE137" s="71"/>
      <c r="BF137" s="71"/>
      <c r="BG137" s="71"/>
      <c r="BH137" s="71"/>
      <c r="BI137" s="71"/>
      <c r="BJ137" s="71"/>
      <c r="BK137" s="71"/>
      <c r="BL137" s="71"/>
      <c r="BM137" s="71"/>
      <c r="BN137" s="71"/>
      <c r="BO137" s="71"/>
      <c r="BP137" s="71"/>
      <c r="BQ137" s="71"/>
      <c r="BR137" s="71"/>
      <c r="BS137" s="71"/>
      <c r="BT137" s="71"/>
      <c r="BU137" s="71"/>
      <c r="BV137" s="71"/>
      <c r="BW137" s="71"/>
      <c r="BX137" s="71"/>
      <c r="BY137" s="71"/>
      <c r="BZ137" s="71"/>
      <c r="CA137" s="71"/>
      <c r="CB137" s="71"/>
      <c r="CC137" s="71"/>
      <c r="CD137" s="71"/>
      <c r="CE137" s="71"/>
      <c r="CF137" s="71"/>
      <c r="CG137" s="71"/>
      <c r="CH137" s="71"/>
      <c r="CI137" s="71"/>
      <c r="CJ137" s="71"/>
      <c r="CK137" s="71"/>
      <c r="CL137" s="71"/>
      <c r="CM137" s="71"/>
      <c r="CN137" s="71"/>
      <c r="CO137" s="71"/>
      <c r="DJ137" s="54"/>
      <c r="DM137" s="233">
        <v>40664</v>
      </c>
      <c r="DN137" s="154">
        <v>21</v>
      </c>
      <c r="DO137" s="155">
        <v>4</v>
      </c>
      <c r="DP137" s="155">
        <v>5</v>
      </c>
      <c r="DQ137" s="155">
        <v>1</v>
      </c>
      <c r="DR137" s="154">
        <v>31</v>
      </c>
      <c r="DS137" s="55"/>
      <c r="DT137" s="55"/>
      <c r="DU137" s="233">
        <v>40664</v>
      </c>
      <c r="DV137" s="154">
        <v>21</v>
      </c>
      <c r="DW137" s="155">
        <v>4</v>
      </c>
      <c r="DX137" s="155">
        <v>5</v>
      </c>
      <c r="DY137" s="155">
        <v>1</v>
      </c>
      <c r="DZ137" s="154">
        <v>31</v>
      </c>
    </row>
    <row r="138" spans="1:132" s="69" customFormat="1" ht="31.5" customHeight="1" x14ac:dyDescent="0.3">
      <c r="A138" s="319"/>
      <c r="B138" s="288"/>
      <c r="C138" s="320"/>
      <c r="D138" s="320"/>
      <c r="E138" s="320"/>
      <c r="F138" s="320"/>
      <c r="G138" s="288"/>
      <c r="H138" s="289"/>
      <c r="I138" s="289"/>
      <c r="J138" s="288"/>
      <c r="K138" s="289"/>
      <c r="L138" s="288"/>
      <c r="M138" s="289"/>
      <c r="N138" s="289"/>
      <c r="O138" s="289"/>
      <c r="P138" s="289"/>
      <c r="Q138" s="320"/>
      <c r="R138" s="289"/>
      <c r="S138" s="289"/>
      <c r="T138" s="71"/>
      <c r="U138" s="71"/>
      <c r="V138" s="289"/>
      <c r="W138" s="289"/>
      <c r="X138" s="71"/>
      <c r="Y138" s="71"/>
      <c r="Z138" s="282"/>
      <c r="AA138" s="276"/>
      <c r="AB138" s="276"/>
      <c r="AC138" s="276"/>
      <c r="AD138" s="71"/>
      <c r="AE138" s="71"/>
      <c r="AF138" s="71"/>
      <c r="AG138" s="71"/>
      <c r="AH138" s="71"/>
      <c r="AI138" s="71"/>
      <c r="AJ138" s="71"/>
      <c r="AK138" s="71"/>
      <c r="AL138" s="71"/>
      <c r="AM138" s="71"/>
      <c r="AN138" s="71"/>
      <c r="AO138" s="71"/>
      <c r="AP138" s="71"/>
      <c r="AQ138" s="71"/>
      <c r="AR138" s="71"/>
      <c r="AS138" s="71"/>
      <c r="AT138" s="71"/>
      <c r="AU138" s="71"/>
      <c r="AV138" s="71"/>
      <c r="AW138" s="71"/>
      <c r="AX138" s="71"/>
      <c r="AY138" s="71"/>
      <c r="AZ138" s="71"/>
      <c r="BA138" s="71"/>
      <c r="BB138" s="71"/>
      <c r="BC138" s="71"/>
      <c r="BD138" s="71"/>
      <c r="BE138" s="71"/>
      <c r="BF138" s="71"/>
      <c r="BG138" s="71"/>
      <c r="BH138" s="71"/>
      <c r="BI138" s="71"/>
      <c r="BJ138" s="71"/>
      <c r="BK138" s="71"/>
      <c r="BL138" s="71"/>
      <c r="BM138" s="71"/>
      <c r="BN138" s="71"/>
      <c r="BO138" s="71"/>
      <c r="BP138" s="71"/>
      <c r="BQ138" s="71"/>
      <c r="BR138" s="71"/>
      <c r="BS138" s="71"/>
      <c r="BT138" s="71"/>
      <c r="BU138" s="71"/>
      <c r="BV138" s="71"/>
      <c r="BW138" s="71"/>
      <c r="BX138" s="71"/>
      <c r="BY138" s="71"/>
      <c r="BZ138" s="71"/>
      <c r="CA138" s="71"/>
      <c r="CB138" s="71"/>
      <c r="CC138" s="71"/>
      <c r="CD138" s="71"/>
      <c r="CE138" s="71"/>
      <c r="CF138" s="71"/>
      <c r="CG138" s="71"/>
      <c r="CH138" s="71"/>
      <c r="CI138" s="281"/>
      <c r="CJ138" s="282"/>
      <c r="CK138" s="71"/>
      <c r="CL138" s="71"/>
      <c r="CM138" s="71"/>
      <c r="CN138" s="71"/>
      <c r="CO138" s="71"/>
      <c r="DJ138" s="221"/>
      <c r="DK138" s="71"/>
      <c r="DM138" s="278">
        <v>40695</v>
      </c>
      <c r="DN138" s="277">
        <v>22</v>
      </c>
      <c r="DO138" s="279">
        <v>4</v>
      </c>
      <c r="DP138" s="279">
        <v>4</v>
      </c>
      <c r="DQ138" s="279">
        <v>0</v>
      </c>
      <c r="DR138" s="277">
        <v>30</v>
      </c>
      <c r="DS138" s="280"/>
      <c r="DT138" s="280"/>
      <c r="DU138" s="278">
        <v>40695</v>
      </c>
      <c r="DV138" s="277">
        <v>22</v>
      </c>
      <c r="DW138" s="279">
        <v>4</v>
      </c>
      <c r="DX138" s="279">
        <v>4</v>
      </c>
      <c r="DY138" s="279">
        <v>0</v>
      </c>
      <c r="DZ138" s="277">
        <v>30</v>
      </c>
      <c r="EA138" s="280"/>
      <c r="EB138" s="280"/>
    </row>
    <row r="139" spans="1:132" ht="12.75" x14ac:dyDescent="0.2">
      <c r="A139" s="71"/>
      <c r="B139" s="276"/>
      <c r="C139" s="276"/>
      <c r="D139" s="276"/>
      <c r="E139" s="276"/>
      <c r="F139" s="276"/>
      <c r="G139" s="276"/>
      <c r="H139" s="276"/>
      <c r="I139" s="276"/>
      <c r="J139" s="276"/>
      <c r="K139" s="276"/>
      <c r="L139" s="276"/>
      <c r="M139" s="276"/>
      <c r="N139" s="276"/>
      <c r="O139" s="276"/>
      <c r="P139" s="276"/>
      <c r="Q139" s="276"/>
      <c r="R139" s="276"/>
      <c r="S139" s="276"/>
      <c r="T139" s="71"/>
      <c r="U139" s="71"/>
      <c r="V139" s="276"/>
      <c r="W139" s="276"/>
      <c r="X139" s="71"/>
      <c r="Y139" s="71"/>
      <c r="Z139" s="282"/>
      <c r="AA139" s="276"/>
      <c r="AB139" s="276"/>
      <c r="AC139" s="276"/>
      <c r="AD139" s="71"/>
      <c r="AE139" s="71"/>
      <c r="AF139" s="71"/>
      <c r="AG139" s="71"/>
      <c r="AH139" s="71"/>
      <c r="AI139" s="71"/>
      <c r="AJ139" s="71"/>
      <c r="AK139" s="71"/>
      <c r="AL139" s="71"/>
      <c r="AM139" s="71"/>
      <c r="AN139" s="71"/>
      <c r="AO139" s="71"/>
      <c r="AP139" s="71"/>
      <c r="AQ139" s="71"/>
      <c r="AR139" s="71"/>
      <c r="AS139" s="71"/>
      <c r="AT139" s="71"/>
      <c r="AU139" s="71"/>
      <c r="AV139" s="71"/>
      <c r="AW139" s="71"/>
      <c r="AX139" s="71"/>
      <c r="AY139" s="71"/>
      <c r="AZ139" s="71"/>
      <c r="BA139" s="71"/>
      <c r="BB139" s="71"/>
      <c r="BC139" s="71"/>
      <c r="BD139" s="71"/>
      <c r="BE139" s="71"/>
      <c r="BF139" s="71"/>
      <c r="BG139" s="71"/>
      <c r="BH139" s="71"/>
      <c r="BI139" s="71"/>
      <c r="BJ139" s="71"/>
      <c r="BK139" s="71"/>
      <c r="BL139" s="71"/>
      <c r="BM139" s="71"/>
      <c r="BN139" s="71"/>
      <c r="BO139" s="71"/>
      <c r="BP139" s="71"/>
      <c r="BQ139" s="71"/>
      <c r="BR139" s="71"/>
      <c r="BS139" s="71"/>
      <c r="BT139" s="71"/>
      <c r="BU139" s="71"/>
      <c r="BV139" s="71"/>
      <c r="BW139" s="71"/>
      <c r="BX139" s="71"/>
      <c r="BY139" s="71"/>
      <c r="BZ139" s="71"/>
      <c r="CA139" s="71"/>
      <c r="CB139" s="71"/>
      <c r="CC139" s="71"/>
      <c r="CD139" s="71"/>
      <c r="CE139" s="71"/>
      <c r="DJ139" s="54"/>
      <c r="DM139" s="233">
        <v>40725</v>
      </c>
      <c r="DN139" s="154">
        <v>20</v>
      </c>
      <c r="DO139" s="155">
        <v>5</v>
      </c>
      <c r="DP139" s="155">
        <v>5</v>
      </c>
      <c r="DQ139" s="155">
        <v>1</v>
      </c>
      <c r="DR139" s="154">
        <v>31</v>
      </c>
      <c r="DS139" s="55"/>
      <c r="DT139" s="55"/>
      <c r="DU139" s="233">
        <v>40725</v>
      </c>
      <c r="DV139" s="154">
        <v>20</v>
      </c>
      <c r="DW139" s="155">
        <v>5</v>
      </c>
      <c r="DX139" s="155">
        <v>5</v>
      </c>
      <c r="DY139" s="155">
        <v>1</v>
      </c>
      <c r="DZ139" s="154">
        <v>31</v>
      </c>
    </row>
    <row r="140" spans="1:132" ht="15" x14ac:dyDescent="0.2">
      <c r="A140" s="312"/>
      <c r="B140" s="284"/>
      <c r="C140" s="284"/>
      <c r="D140" s="284"/>
      <c r="E140" s="284"/>
      <c r="F140" s="284"/>
      <c r="G140" s="284"/>
      <c r="H140" s="284"/>
      <c r="I140" s="284"/>
      <c r="J140" s="284"/>
      <c r="K140" s="284"/>
      <c r="L140" s="284"/>
      <c r="M140" s="284"/>
      <c r="N140" s="284"/>
      <c r="O140" s="284"/>
      <c r="P140" s="284"/>
      <c r="Q140" s="284"/>
      <c r="R140" s="284"/>
      <c r="S140" s="284"/>
      <c r="T140" s="310"/>
      <c r="U140" s="310"/>
      <c r="V140" s="284"/>
      <c r="W140" s="284"/>
      <c r="X140" s="312"/>
      <c r="Y140" s="71"/>
      <c r="Z140" s="313"/>
      <c r="AA140" s="314"/>
      <c r="AB140" s="314"/>
      <c r="AC140" s="309"/>
      <c r="AD140" s="71"/>
      <c r="AE140" s="71"/>
      <c r="AF140" s="71"/>
      <c r="AG140" s="71"/>
      <c r="AH140" s="71"/>
      <c r="AI140" s="71"/>
      <c r="AJ140" s="71"/>
      <c r="AK140" s="71"/>
      <c r="AL140" s="71"/>
      <c r="AM140" s="71"/>
      <c r="AN140" s="71"/>
      <c r="AO140" s="71"/>
      <c r="AP140" s="71"/>
      <c r="AQ140" s="71"/>
      <c r="AR140" s="71"/>
      <c r="AS140" s="71"/>
      <c r="AT140" s="71"/>
      <c r="AU140" s="71"/>
      <c r="AV140" s="71"/>
      <c r="AW140" s="71"/>
      <c r="AX140" s="71"/>
      <c r="AY140" s="71"/>
      <c r="AZ140" s="71"/>
      <c r="BA140" s="71"/>
      <c r="BB140" s="71"/>
      <c r="BC140" s="71"/>
      <c r="BD140" s="71"/>
      <c r="BE140" s="71"/>
      <c r="BF140" s="71"/>
      <c r="BG140" s="71"/>
      <c r="BH140" s="71"/>
      <c r="BI140" s="71"/>
      <c r="BJ140" s="71"/>
      <c r="BK140" s="71"/>
      <c r="BL140" s="71"/>
      <c r="BM140" s="71"/>
      <c r="BN140" s="71"/>
      <c r="BO140" s="71"/>
      <c r="BP140" s="71"/>
      <c r="BQ140" s="71"/>
      <c r="BR140" s="71"/>
      <c r="BS140" s="71"/>
      <c r="BT140" s="71"/>
      <c r="BU140" s="71"/>
      <c r="BV140" s="71"/>
      <c r="BW140" s="71"/>
      <c r="BX140" s="71"/>
      <c r="BY140" s="71"/>
      <c r="BZ140" s="71"/>
      <c r="CA140" s="71"/>
      <c r="CB140" s="71"/>
      <c r="CC140" s="71"/>
      <c r="CD140" s="71"/>
      <c r="CE140" s="71"/>
      <c r="DJ140" s="54"/>
      <c r="DM140" s="233">
        <v>40756</v>
      </c>
      <c r="DN140" s="154">
        <v>22</v>
      </c>
      <c r="DO140" s="155">
        <v>4</v>
      </c>
      <c r="DP140" s="155">
        <v>4</v>
      </c>
      <c r="DQ140" s="155">
        <v>1</v>
      </c>
      <c r="DR140" s="154">
        <v>31</v>
      </c>
      <c r="DS140" s="55"/>
      <c r="DT140" s="55"/>
      <c r="DU140" s="233">
        <v>40756</v>
      </c>
      <c r="DV140" s="154">
        <v>23</v>
      </c>
      <c r="DW140" s="155">
        <v>4</v>
      </c>
      <c r="DX140" s="155">
        <v>4</v>
      </c>
      <c r="DY140" s="155">
        <v>0</v>
      </c>
      <c r="DZ140" s="154">
        <v>31</v>
      </c>
    </row>
    <row r="141" spans="1:132" ht="15.75" x14ac:dyDescent="0.25">
      <c r="A141" s="312"/>
      <c r="B141" s="284"/>
      <c r="C141" s="284"/>
      <c r="D141" s="284"/>
      <c r="E141" s="284"/>
      <c r="F141" s="284"/>
      <c r="G141" s="284"/>
      <c r="H141" s="284"/>
      <c r="I141" s="284"/>
      <c r="J141" s="284"/>
      <c r="K141" s="284"/>
      <c r="L141" s="284"/>
      <c r="M141" s="284"/>
      <c r="N141" s="284"/>
      <c r="O141" s="284"/>
      <c r="P141" s="284"/>
      <c r="Q141" s="284"/>
      <c r="R141" s="284"/>
      <c r="S141" s="284"/>
      <c r="T141" s="310"/>
      <c r="U141" s="310"/>
      <c r="V141" s="284"/>
      <c r="W141" s="284"/>
      <c r="X141" s="312"/>
      <c r="Y141" s="71"/>
      <c r="Z141" s="276"/>
      <c r="AA141" s="290"/>
      <c r="AB141" s="290"/>
      <c r="AC141" s="282"/>
      <c r="AD141" s="71"/>
      <c r="AE141" s="71"/>
      <c r="AF141" s="71"/>
      <c r="AG141" s="71"/>
      <c r="AH141" s="71"/>
      <c r="AI141" s="71"/>
      <c r="AJ141" s="71"/>
      <c r="AK141" s="71"/>
      <c r="AL141" s="71"/>
      <c r="AM141" s="71"/>
      <c r="AN141" s="71"/>
      <c r="AO141" s="71"/>
      <c r="AP141" s="71"/>
      <c r="AQ141" s="71"/>
      <c r="AR141" s="71"/>
      <c r="AS141" s="71"/>
      <c r="AT141" s="71"/>
      <c r="AU141" s="71"/>
      <c r="AV141" s="71"/>
      <c r="AW141" s="71"/>
      <c r="AX141" s="71"/>
      <c r="AY141" s="71"/>
      <c r="AZ141" s="71"/>
      <c r="BA141" s="71"/>
      <c r="BB141" s="71"/>
      <c r="BC141" s="71"/>
      <c r="BD141" s="71"/>
      <c r="BE141" s="71"/>
      <c r="BF141" s="71"/>
      <c r="BG141" s="71"/>
      <c r="BH141" s="71"/>
      <c r="BI141" s="71"/>
      <c r="BJ141" s="71"/>
      <c r="BK141" s="71"/>
      <c r="BL141" s="71"/>
      <c r="BM141" s="71"/>
      <c r="BN141" s="71"/>
      <c r="BO141" s="71"/>
      <c r="BP141" s="71"/>
      <c r="BQ141" s="71"/>
      <c r="BR141" s="71"/>
      <c r="BS141" s="71"/>
      <c r="BT141" s="71"/>
      <c r="BU141" s="71"/>
      <c r="BV141" s="71"/>
      <c r="BW141" s="71"/>
      <c r="BX141" s="71"/>
      <c r="BY141" s="71"/>
      <c r="BZ141" s="71"/>
      <c r="CA141" s="71"/>
      <c r="CB141" s="71"/>
      <c r="CC141" s="71"/>
      <c r="CD141" s="71"/>
      <c r="CE141" s="71"/>
      <c r="DJ141" s="54"/>
      <c r="DM141" s="233">
        <v>40787</v>
      </c>
      <c r="DN141" s="154">
        <v>21</v>
      </c>
      <c r="DO141" s="155">
        <v>4</v>
      </c>
      <c r="DP141" s="155">
        <v>4</v>
      </c>
      <c r="DQ141" s="155">
        <v>1</v>
      </c>
      <c r="DR141" s="154">
        <v>30</v>
      </c>
      <c r="DS141" s="55"/>
      <c r="DT141" s="55"/>
      <c r="DU141" s="233">
        <v>40787</v>
      </c>
      <c r="DV141" s="154">
        <v>21</v>
      </c>
      <c r="DW141" s="155">
        <v>4</v>
      </c>
      <c r="DX141" s="155">
        <v>4</v>
      </c>
      <c r="DY141" s="155">
        <v>1</v>
      </c>
      <c r="DZ141" s="154">
        <v>30</v>
      </c>
    </row>
    <row r="142" spans="1:132" ht="15.75" x14ac:dyDescent="0.25">
      <c r="A142" s="312"/>
      <c r="B142" s="284"/>
      <c r="C142" s="284"/>
      <c r="D142" s="284"/>
      <c r="E142" s="284"/>
      <c r="F142" s="284"/>
      <c r="G142" s="284"/>
      <c r="H142" s="284"/>
      <c r="I142" s="284"/>
      <c r="J142" s="284"/>
      <c r="K142" s="284"/>
      <c r="L142" s="284"/>
      <c r="M142" s="284"/>
      <c r="N142" s="284"/>
      <c r="O142" s="284"/>
      <c r="P142" s="284"/>
      <c r="Q142" s="284"/>
      <c r="R142" s="284"/>
      <c r="S142" s="284"/>
      <c r="T142" s="310"/>
      <c r="U142" s="310"/>
      <c r="V142" s="284"/>
      <c r="W142" s="284"/>
      <c r="X142" s="312"/>
      <c r="Y142" s="71"/>
      <c r="Z142" s="276"/>
      <c r="AA142" s="248"/>
      <c r="AB142" s="248"/>
      <c r="AC142" s="282"/>
      <c r="AD142" s="71"/>
      <c r="AE142" s="71"/>
      <c r="AF142" s="71"/>
      <c r="AG142" s="71"/>
      <c r="AH142" s="71"/>
      <c r="AI142" s="71"/>
      <c r="AJ142" s="71"/>
      <c r="AK142" s="71"/>
      <c r="AL142" s="71"/>
      <c r="AM142" s="71"/>
      <c r="AN142" s="71"/>
      <c r="AO142" s="71"/>
      <c r="AP142" s="71"/>
      <c r="AQ142" s="71"/>
      <c r="AR142" s="71"/>
      <c r="AS142" s="71"/>
      <c r="AT142" s="71"/>
      <c r="AU142" s="71"/>
      <c r="AV142" s="71"/>
      <c r="AW142" s="71"/>
      <c r="AX142" s="71"/>
      <c r="AY142" s="71"/>
      <c r="AZ142" s="71"/>
      <c r="BA142" s="71"/>
      <c r="BB142" s="71"/>
      <c r="BC142" s="71"/>
      <c r="BD142" s="71"/>
      <c r="BE142" s="71"/>
      <c r="BF142" s="71"/>
      <c r="BG142" s="71"/>
      <c r="BH142" s="71"/>
      <c r="BI142" s="71"/>
      <c r="BJ142" s="71"/>
      <c r="BK142" s="71"/>
      <c r="BL142" s="71"/>
      <c r="BM142" s="71"/>
      <c r="BN142" s="71"/>
      <c r="BO142" s="71"/>
      <c r="BP142" s="71"/>
      <c r="BQ142" s="71"/>
      <c r="BR142" s="71"/>
      <c r="BS142" s="71"/>
      <c r="BT142" s="71"/>
      <c r="BU142" s="71"/>
      <c r="BV142" s="71"/>
      <c r="BW142" s="71"/>
      <c r="BX142" s="71"/>
      <c r="BY142" s="71"/>
      <c r="BZ142" s="71"/>
      <c r="CA142" s="71"/>
      <c r="CB142" s="71"/>
      <c r="CC142" s="71"/>
      <c r="CD142" s="71"/>
      <c r="CE142" s="71"/>
      <c r="DJ142" s="54"/>
      <c r="DM142" s="233">
        <v>40817</v>
      </c>
      <c r="DN142" s="154">
        <v>20</v>
      </c>
      <c r="DO142" s="155">
        <v>5</v>
      </c>
      <c r="DP142" s="155">
        <v>5</v>
      </c>
      <c r="DQ142" s="155">
        <v>1</v>
      </c>
      <c r="DR142" s="154">
        <v>31</v>
      </c>
      <c r="DS142" s="55"/>
      <c r="DT142" s="55"/>
      <c r="DU142" s="233">
        <v>40817</v>
      </c>
      <c r="DV142" s="154">
        <v>21</v>
      </c>
      <c r="DW142" s="155">
        <v>5</v>
      </c>
      <c r="DX142" s="155">
        <v>5</v>
      </c>
      <c r="DY142" s="155">
        <v>0</v>
      </c>
      <c r="DZ142" s="154">
        <v>31</v>
      </c>
    </row>
    <row r="143" spans="1:132" ht="15" x14ac:dyDescent="0.2">
      <c r="A143" s="312"/>
      <c r="B143" s="284"/>
      <c r="C143" s="284"/>
      <c r="D143" s="284"/>
      <c r="E143" s="284"/>
      <c r="F143" s="284"/>
      <c r="G143" s="284"/>
      <c r="H143" s="284"/>
      <c r="I143" s="284"/>
      <c r="J143" s="284"/>
      <c r="K143" s="284"/>
      <c r="L143" s="284"/>
      <c r="M143" s="284"/>
      <c r="N143" s="284"/>
      <c r="O143" s="284"/>
      <c r="P143" s="284"/>
      <c r="Q143" s="284"/>
      <c r="R143" s="284"/>
      <c r="S143" s="284"/>
      <c r="T143" s="310"/>
      <c r="U143" s="310"/>
      <c r="V143" s="284"/>
      <c r="W143" s="284"/>
      <c r="X143" s="312"/>
      <c r="Y143" s="71"/>
      <c r="Z143" s="313"/>
      <c r="AA143" s="314"/>
      <c r="AB143" s="314"/>
      <c r="AC143" s="309"/>
      <c r="AD143" s="71"/>
      <c r="AE143" s="71"/>
      <c r="AF143" s="71"/>
      <c r="AG143" s="71"/>
      <c r="AH143" s="71"/>
      <c r="AI143" s="71"/>
      <c r="AJ143" s="71"/>
      <c r="AK143" s="71"/>
      <c r="AL143" s="71"/>
      <c r="AM143" s="71"/>
      <c r="AN143" s="71"/>
      <c r="AO143" s="71"/>
      <c r="AP143" s="71"/>
      <c r="AQ143" s="71"/>
      <c r="AR143" s="71"/>
      <c r="AS143" s="71"/>
      <c r="AT143" s="71"/>
      <c r="AU143" s="71"/>
      <c r="AV143" s="71"/>
      <c r="AW143" s="71"/>
      <c r="AX143" s="71"/>
      <c r="AY143" s="71"/>
      <c r="AZ143" s="71"/>
      <c r="BA143" s="71"/>
      <c r="BB143" s="71"/>
      <c r="BC143" s="71"/>
      <c r="BD143" s="71"/>
      <c r="BE143" s="71"/>
      <c r="BF143" s="71"/>
      <c r="BG143" s="71"/>
      <c r="BH143" s="71"/>
      <c r="BI143" s="71"/>
      <c r="BJ143" s="71"/>
      <c r="BK143" s="71"/>
      <c r="BL143" s="71"/>
      <c r="BM143" s="71"/>
      <c r="BN143" s="71"/>
      <c r="BO143" s="71"/>
      <c r="BP143" s="71"/>
      <c r="BQ143" s="71"/>
      <c r="BR143" s="71"/>
      <c r="BS143" s="71"/>
      <c r="BT143" s="71"/>
      <c r="BU143" s="71"/>
      <c r="BV143" s="71"/>
      <c r="BW143" s="71"/>
      <c r="BX143" s="71"/>
      <c r="BY143" s="71"/>
      <c r="BZ143" s="71"/>
      <c r="CA143" s="71"/>
      <c r="CB143" s="71"/>
      <c r="CC143" s="71"/>
      <c r="CD143" s="71"/>
      <c r="CE143" s="71"/>
      <c r="DJ143" s="54"/>
      <c r="DM143" s="233">
        <v>40848</v>
      </c>
      <c r="DN143" s="154">
        <v>21</v>
      </c>
      <c r="DO143" s="155">
        <v>4</v>
      </c>
      <c r="DP143" s="155">
        <v>4</v>
      </c>
      <c r="DQ143" s="155">
        <v>1</v>
      </c>
      <c r="DR143" s="154">
        <v>30</v>
      </c>
      <c r="DS143" s="55"/>
      <c r="DT143" s="55"/>
      <c r="DU143" s="233">
        <v>40848</v>
      </c>
      <c r="DV143" s="154">
        <v>21</v>
      </c>
      <c r="DW143" s="155">
        <v>4</v>
      </c>
      <c r="DX143" s="155">
        <v>4</v>
      </c>
      <c r="DY143" s="155">
        <v>1</v>
      </c>
      <c r="DZ143" s="154">
        <v>30</v>
      </c>
    </row>
    <row r="144" spans="1:132" ht="15.75" x14ac:dyDescent="0.25">
      <c r="A144" s="312"/>
      <c r="B144" s="284"/>
      <c r="C144" s="284"/>
      <c r="D144" s="284"/>
      <c r="E144" s="284"/>
      <c r="F144" s="284"/>
      <c r="G144" s="284"/>
      <c r="H144" s="284"/>
      <c r="I144" s="284"/>
      <c r="J144" s="284"/>
      <c r="K144" s="284"/>
      <c r="L144" s="284"/>
      <c r="M144" s="284"/>
      <c r="N144" s="284"/>
      <c r="O144" s="284"/>
      <c r="P144" s="284"/>
      <c r="Q144" s="284"/>
      <c r="R144" s="284"/>
      <c r="S144" s="284"/>
      <c r="T144" s="310"/>
      <c r="U144" s="310"/>
      <c r="V144" s="284"/>
      <c r="W144" s="284"/>
      <c r="X144" s="312"/>
      <c r="Y144" s="71"/>
      <c r="Z144" s="276"/>
      <c r="AA144" s="290"/>
      <c r="AB144" s="290"/>
      <c r="AC144" s="282"/>
      <c r="AD144" s="71"/>
      <c r="AE144" s="71"/>
      <c r="AF144" s="71"/>
      <c r="AG144" s="71"/>
      <c r="AH144" s="71"/>
      <c r="AI144" s="71"/>
      <c r="AJ144" s="71"/>
      <c r="AK144" s="71"/>
      <c r="AL144" s="71"/>
      <c r="AM144" s="71"/>
      <c r="AN144" s="71"/>
      <c r="AO144" s="71"/>
      <c r="AP144" s="71"/>
      <c r="AQ144" s="71"/>
      <c r="AR144" s="71"/>
      <c r="AS144" s="71"/>
      <c r="AT144" s="71"/>
      <c r="AU144" s="71"/>
      <c r="AV144" s="71"/>
      <c r="AW144" s="71"/>
      <c r="AX144" s="71"/>
      <c r="AY144" s="71"/>
      <c r="AZ144" s="71"/>
      <c r="BA144" s="71"/>
      <c r="BB144" s="71"/>
      <c r="BC144" s="71"/>
      <c r="BD144" s="71"/>
      <c r="BE144" s="71"/>
      <c r="BF144" s="71"/>
      <c r="BG144" s="71"/>
      <c r="BH144" s="71"/>
      <c r="BI144" s="71"/>
      <c r="BJ144" s="71"/>
      <c r="BK144" s="71"/>
      <c r="BL144" s="71"/>
      <c r="BM144" s="71"/>
      <c r="BN144" s="71"/>
      <c r="BO144" s="71"/>
      <c r="BP144" s="71"/>
      <c r="BQ144" s="71"/>
      <c r="BR144" s="71"/>
      <c r="BS144" s="71"/>
      <c r="BT144" s="71"/>
      <c r="BU144" s="71"/>
      <c r="BV144" s="71"/>
      <c r="BW144" s="71"/>
      <c r="BX144" s="71"/>
      <c r="BY144" s="71"/>
      <c r="BZ144" s="71"/>
      <c r="CA144" s="71"/>
      <c r="CB144" s="71"/>
      <c r="CC144" s="71"/>
      <c r="CD144" s="71"/>
      <c r="CE144" s="71"/>
      <c r="DJ144" s="54"/>
      <c r="DM144" s="233">
        <v>40878</v>
      </c>
      <c r="DN144" s="154">
        <v>20</v>
      </c>
      <c r="DO144" s="155">
        <v>5</v>
      </c>
      <c r="DP144" s="155">
        <v>4</v>
      </c>
      <c r="DQ144" s="155">
        <v>2</v>
      </c>
      <c r="DR144" s="154">
        <v>31</v>
      </c>
      <c r="DS144" s="55"/>
      <c r="DT144" s="55"/>
      <c r="DU144" s="233">
        <v>40878</v>
      </c>
      <c r="DV144" s="154">
        <v>21</v>
      </c>
      <c r="DW144" s="155">
        <v>5</v>
      </c>
      <c r="DX144" s="155">
        <v>4</v>
      </c>
      <c r="DY144" s="155">
        <v>1</v>
      </c>
      <c r="DZ144" s="154">
        <v>31</v>
      </c>
    </row>
    <row r="145" spans="1:130" ht="15.75" x14ac:dyDescent="0.25">
      <c r="A145" s="312"/>
      <c r="B145" s="284"/>
      <c r="C145" s="284"/>
      <c r="D145" s="284"/>
      <c r="E145" s="284"/>
      <c r="F145" s="284"/>
      <c r="G145" s="284"/>
      <c r="H145" s="284"/>
      <c r="I145" s="284"/>
      <c r="J145" s="284"/>
      <c r="K145" s="284"/>
      <c r="L145" s="284"/>
      <c r="M145" s="284"/>
      <c r="N145" s="284"/>
      <c r="O145" s="284"/>
      <c r="P145" s="284"/>
      <c r="Q145" s="284"/>
      <c r="R145" s="284"/>
      <c r="S145" s="284"/>
      <c r="T145" s="310"/>
      <c r="U145" s="310"/>
      <c r="V145" s="284"/>
      <c r="W145" s="284"/>
      <c r="X145" s="312"/>
      <c r="Y145" s="71"/>
      <c r="Z145" s="276"/>
      <c r="AA145" s="248"/>
      <c r="AB145" s="248"/>
      <c r="AC145" s="282"/>
      <c r="AD145" s="71"/>
      <c r="AE145" s="71"/>
      <c r="AF145" s="71"/>
      <c r="AG145" s="71"/>
      <c r="AH145" s="71"/>
      <c r="AI145" s="71"/>
      <c r="AJ145" s="71"/>
      <c r="AK145" s="71"/>
      <c r="AL145" s="71"/>
      <c r="AM145" s="71"/>
      <c r="AN145" s="71"/>
      <c r="AO145" s="71"/>
      <c r="AP145" s="71"/>
      <c r="AQ145" s="71"/>
      <c r="AR145" s="71"/>
      <c r="AS145" s="71"/>
      <c r="AT145" s="71"/>
      <c r="AU145" s="71"/>
      <c r="AV145" s="71"/>
      <c r="AW145" s="71"/>
      <c r="AX145" s="71"/>
      <c r="AY145" s="71"/>
      <c r="AZ145" s="71"/>
      <c r="BA145" s="71"/>
      <c r="BB145" s="71"/>
      <c r="BC145" s="71"/>
      <c r="BD145" s="71"/>
      <c r="BE145" s="71"/>
      <c r="BF145" s="71"/>
      <c r="BG145" s="71"/>
      <c r="BH145" s="71"/>
      <c r="BI145" s="71"/>
      <c r="BJ145" s="71"/>
      <c r="BK145" s="71"/>
      <c r="BL145" s="71"/>
      <c r="BM145" s="71"/>
      <c r="BN145" s="71"/>
      <c r="BO145" s="71"/>
      <c r="BP145" s="71"/>
      <c r="BQ145" s="71"/>
      <c r="BR145" s="71"/>
      <c r="BS145" s="71"/>
      <c r="BT145" s="71"/>
      <c r="BU145" s="71"/>
      <c r="BV145" s="71"/>
      <c r="BW145" s="71"/>
      <c r="BX145" s="71"/>
      <c r="BY145" s="71"/>
      <c r="BZ145" s="71"/>
      <c r="CA145" s="71"/>
      <c r="CB145" s="71"/>
      <c r="CC145" s="71"/>
      <c r="CD145" s="71"/>
      <c r="CE145" s="71"/>
      <c r="DJ145" s="54"/>
      <c r="DM145" s="233">
        <v>40909</v>
      </c>
      <c r="DN145" s="154">
        <v>21</v>
      </c>
      <c r="DO145" s="155">
        <v>4</v>
      </c>
      <c r="DP145" s="155">
        <v>5</v>
      </c>
      <c r="DQ145" s="155">
        <v>1</v>
      </c>
      <c r="DR145" s="154">
        <v>31</v>
      </c>
      <c r="DS145" s="55"/>
      <c r="DT145" s="55"/>
      <c r="DU145" s="233">
        <v>40909</v>
      </c>
      <c r="DV145" s="154">
        <v>21</v>
      </c>
      <c r="DW145" s="155">
        <v>4</v>
      </c>
      <c r="DX145" s="155">
        <v>5</v>
      </c>
      <c r="DY145" s="155">
        <v>1</v>
      </c>
      <c r="DZ145" s="154">
        <v>31</v>
      </c>
    </row>
    <row r="146" spans="1:130" ht="15" x14ac:dyDescent="0.2">
      <c r="A146" s="312"/>
      <c r="B146" s="284"/>
      <c r="C146" s="284"/>
      <c r="D146" s="284"/>
      <c r="E146" s="284"/>
      <c r="F146" s="284"/>
      <c r="G146" s="284"/>
      <c r="H146" s="284"/>
      <c r="I146" s="284"/>
      <c r="J146" s="284"/>
      <c r="K146" s="284"/>
      <c r="L146" s="284"/>
      <c r="M146" s="284"/>
      <c r="N146" s="284"/>
      <c r="O146" s="284"/>
      <c r="P146" s="284"/>
      <c r="Q146" s="284"/>
      <c r="R146" s="284"/>
      <c r="S146" s="284"/>
      <c r="T146" s="310"/>
      <c r="U146" s="310"/>
      <c r="V146" s="284"/>
      <c r="W146" s="284"/>
      <c r="X146" s="312"/>
      <c r="Y146" s="71"/>
      <c r="Z146" s="313"/>
      <c r="AA146" s="314"/>
      <c r="AB146" s="314"/>
      <c r="AC146" s="309"/>
      <c r="AD146" s="71"/>
      <c r="AE146" s="71"/>
      <c r="AF146" s="71"/>
      <c r="AG146" s="71"/>
      <c r="AH146" s="71"/>
      <c r="AI146" s="71"/>
      <c r="AJ146" s="71"/>
      <c r="AK146" s="71"/>
      <c r="AL146" s="71"/>
      <c r="AM146" s="71"/>
      <c r="AN146" s="71"/>
      <c r="AO146" s="71"/>
      <c r="AP146" s="71"/>
      <c r="AQ146" s="71"/>
      <c r="AR146" s="71"/>
      <c r="AS146" s="71"/>
      <c r="AT146" s="71"/>
      <c r="AU146" s="71"/>
      <c r="AV146" s="71"/>
      <c r="AW146" s="71"/>
      <c r="AX146" s="71"/>
      <c r="AY146" s="71"/>
      <c r="AZ146" s="71"/>
      <c r="BA146" s="71"/>
      <c r="BB146" s="71"/>
      <c r="BC146" s="71"/>
      <c r="BD146" s="71"/>
      <c r="BE146" s="71"/>
      <c r="BF146" s="71"/>
      <c r="BG146" s="71"/>
      <c r="BH146" s="71"/>
      <c r="BI146" s="71"/>
      <c r="BJ146" s="71"/>
      <c r="BK146" s="71"/>
      <c r="BL146" s="71"/>
      <c r="BM146" s="71"/>
      <c r="BN146" s="71"/>
      <c r="BO146" s="71"/>
      <c r="BP146" s="71"/>
      <c r="BQ146" s="71"/>
      <c r="BR146" s="71"/>
      <c r="BS146" s="71"/>
      <c r="BT146" s="71"/>
      <c r="BU146" s="71"/>
      <c r="BV146" s="71"/>
      <c r="BW146" s="71"/>
      <c r="BX146" s="71"/>
      <c r="BY146" s="71"/>
      <c r="BZ146" s="71"/>
      <c r="CA146" s="71"/>
      <c r="CB146" s="71"/>
      <c r="CC146" s="71"/>
      <c r="CD146" s="71"/>
      <c r="CE146" s="71"/>
      <c r="DJ146" s="54"/>
      <c r="DM146" s="233">
        <v>40940</v>
      </c>
      <c r="DN146" s="154">
        <v>20</v>
      </c>
      <c r="DO146" s="155">
        <v>4</v>
      </c>
      <c r="DP146" s="155">
        <v>4</v>
      </c>
      <c r="DQ146" s="155">
        <v>1</v>
      </c>
      <c r="DR146" s="154">
        <v>29</v>
      </c>
      <c r="DS146" s="55"/>
      <c r="DT146" s="55"/>
      <c r="DU146" s="233">
        <v>40940</v>
      </c>
      <c r="DV146" s="154">
        <v>21</v>
      </c>
      <c r="DW146" s="155">
        <v>4</v>
      </c>
      <c r="DX146" s="155">
        <v>4</v>
      </c>
      <c r="DY146" s="155">
        <v>0</v>
      </c>
      <c r="DZ146" s="154">
        <v>29</v>
      </c>
    </row>
    <row r="147" spans="1:130" ht="15.75" x14ac:dyDescent="0.25">
      <c r="A147" s="312"/>
      <c r="B147" s="284"/>
      <c r="C147" s="284"/>
      <c r="D147" s="284"/>
      <c r="E147" s="284"/>
      <c r="F147" s="284"/>
      <c r="G147" s="284"/>
      <c r="H147" s="284"/>
      <c r="I147" s="284"/>
      <c r="J147" s="284"/>
      <c r="K147" s="284"/>
      <c r="L147" s="284"/>
      <c r="M147" s="284"/>
      <c r="N147" s="284"/>
      <c r="O147" s="284"/>
      <c r="P147" s="284"/>
      <c r="Q147" s="284"/>
      <c r="R147" s="284"/>
      <c r="S147" s="284"/>
      <c r="T147" s="310"/>
      <c r="U147" s="310"/>
      <c r="V147" s="284"/>
      <c r="W147" s="284"/>
      <c r="X147" s="312"/>
      <c r="Y147" s="71"/>
      <c r="Z147" s="276"/>
      <c r="AA147" s="290"/>
      <c r="AB147" s="290"/>
      <c r="AC147" s="282"/>
      <c r="AD147" s="71"/>
      <c r="AE147" s="71"/>
      <c r="AF147" s="71"/>
      <c r="AG147" s="71"/>
      <c r="AH147" s="71"/>
      <c r="AI147" s="71"/>
      <c r="AJ147" s="71"/>
      <c r="AK147" s="71"/>
      <c r="AL147" s="71"/>
      <c r="AM147" s="71"/>
      <c r="AN147" s="71"/>
      <c r="AO147" s="71"/>
      <c r="AP147" s="71"/>
      <c r="AQ147" s="71"/>
      <c r="AR147" s="71"/>
      <c r="AS147" s="71"/>
      <c r="AT147" s="71"/>
      <c r="AU147" s="71"/>
      <c r="AV147" s="71"/>
      <c r="AW147" s="71"/>
      <c r="AX147" s="71"/>
      <c r="AY147" s="71"/>
      <c r="AZ147" s="71"/>
      <c r="BA147" s="71"/>
      <c r="BB147" s="71"/>
      <c r="BC147" s="71"/>
      <c r="BD147" s="71"/>
      <c r="BE147" s="71"/>
      <c r="BF147" s="71"/>
      <c r="BG147" s="71"/>
      <c r="BH147" s="71"/>
      <c r="BI147" s="71"/>
      <c r="BJ147" s="71"/>
      <c r="BK147" s="71"/>
      <c r="BL147" s="71"/>
      <c r="BM147" s="71"/>
      <c r="BN147" s="71"/>
      <c r="BO147" s="71"/>
      <c r="BP147" s="71"/>
      <c r="BQ147" s="71"/>
      <c r="BR147" s="71"/>
      <c r="BS147" s="71"/>
      <c r="BT147" s="71"/>
      <c r="BU147" s="71"/>
      <c r="BV147" s="71"/>
      <c r="BW147" s="71"/>
      <c r="BX147" s="71"/>
      <c r="BY147" s="71"/>
      <c r="BZ147" s="71"/>
      <c r="CA147" s="71"/>
      <c r="CB147" s="71"/>
      <c r="CC147" s="71"/>
      <c r="CD147" s="71"/>
      <c r="CE147" s="71"/>
      <c r="DJ147" s="54"/>
      <c r="DM147" s="233">
        <v>40969</v>
      </c>
      <c r="DN147" s="154">
        <v>22</v>
      </c>
      <c r="DO147" s="155">
        <v>5</v>
      </c>
      <c r="DP147" s="155">
        <v>4</v>
      </c>
      <c r="DQ147" s="155">
        <v>0</v>
      </c>
      <c r="DR147" s="154">
        <v>31</v>
      </c>
      <c r="DS147" s="55"/>
      <c r="DT147" s="55"/>
      <c r="DU147" s="233">
        <v>40969</v>
      </c>
      <c r="DV147" s="154">
        <v>22</v>
      </c>
      <c r="DW147" s="155">
        <v>5</v>
      </c>
      <c r="DX147" s="155">
        <v>4</v>
      </c>
      <c r="DY147" s="155">
        <v>0</v>
      </c>
      <c r="DZ147" s="154">
        <v>31</v>
      </c>
    </row>
    <row r="148" spans="1:130" ht="15.75" x14ac:dyDescent="0.25">
      <c r="A148" s="312"/>
      <c r="B148" s="284"/>
      <c r="C148" s="284"/>
      <c r="D148" s="284"/>
      <c r="E148" s="284"/>
      <c r="F148" s="284"/>
      <c r="G148" s="284"/>
      <c r="H148" s="284"/>
      <c r="I148" s="284"/>
      <c r="J148" s="284"/>
      <c r="K148" s="284"/>
      <c r="L148" s="284"/>
      <c r="M148" s="284"/>
      <c r="N148" s="284"/>
      <c r="O148" s="284"/>
      <c r="P148" s="284"/>
      <c r="Q148" s="284"/>
      <c r="R148" s="284"/>
      <c r="S148" s="284"/>
      <c r="T148" s="310"/>
      <c r="U148" s="310"/>
      <c r="V148" s="284"/>
      <c r="W148" s="284"/>
      <c r="X148" s="312"/>
      <c r="Y148" s="71"/>
      <c r="Z148" s="276"/>
      <c r="AA148" s="248"/>
      <c r="AB148" s="248"/>
      <c r="AC148" s="282"/>
      <c r="AD148" s="71"/>
      <c r="AE148" s="71"/>
      <c r="AF148" s="71"/>
      <c r="AG148" s="71"/>
      <c r="AH148" s="71"/>
      <c r="AI148" s="71"/>
      <c r="AJ148" s="71"/>
      <c r="AK148" s="71"/>
      <c r="AL148" s="71"/>
      <c r="AM148" s="71"/>
      <c r="AN148" s="71"/>
      <c r="AO148" s="71"/>
      <c r="AP148" s="71"/>
      <c r="AQ148" s="71"/>
      <c r="AR148" s="71"/>
      <c r="AS148" s="71"/>
      <c r="AT148" s="71"/>
      <c r="AU148" s="71"/>
      <c r="AV148" s="71"/>
      <c r="AW148" s="71"/>
      <c r="AX148" s="71"/>
      <c r="AY148" s="71"/>
      <c r="AZ148" s="71"/>
      <c r="BA148" s="71"/>
      <c r="BB148" s="71"/>
      <c r="BC148" s="71"/>
      <c r="BD148" s="71"/>
      <c r="BE148" s="71"/>
      <c r="BF148" s="71"/>
      <c r="BG148" s="71"/>
      <c r="BH148" s="71"/>
      <c r="BI148" s="71"/>
      <c r="BJ148" s="71"/>
      <c r="BK148" s="71"/>
      <c r="BL148" s="71"/>
      <c r="BM148" s="71"/>
      <c r="BN148" s="71"/>
      <c r="BO148" s="71"/>
      <c r="BP148" s="71"/>
      <c r="BQ148" s="71"/>
      <c r="BR148" s="71"/>
      <c r="BS148" s="71"/>
      <c r="BT148" s="71"/>
      <c r="BU148" s="71"/>
      <c r="BV148" s="71"/>
      <c r="BW148" s="71"/>
      <c r="BX148" s="71"/>
      <c r="BY148" s="71"/>
      <c r="BZ148" s="71"/>
      <c r="CA148" s="71"/>
      <c r="CB148" s="71"/>
      <c r="CC148" s="71"/>
      <c r="CD148" s="71"/>
      <c r="CE148" s="71"/>
      <c r="DJ148" s="54"/>
      <c r="DM148" s="233">
        <v>41000</v>
      </c>
      <c r="DN148" s="154">
        <v>20</v>
      </c>
      <c r="DO148" s="155">
        <v>4</v>
      </c>
      <c r="DP148" s="155">
        <v>5</v>
      </c>
      <c r="DQ148" s="155">
        <v>1</v>
      </c>
      <c r="DR148" s="154">
        <v>30</v>
      </c>
      <c r="DS148" s="55"/>
      <c r="DT148" s="55"/>
      <c r="DU148" s="233">
        <v>41000</v>
      </c>
      <c r="DV148" s="154">
        <v>21</v>
      </c>
      <c r="DW148" s="155">
        <v>4</v>
      </c>
      <c r="DX148" s="155">
        <v>5</v>
      </c>
      <c r="DY148" s="155">
        <v>0</v>
      </c>
      <c r="DZ148" s="154">
        <v>30</v>
      </c>
    </row>
    <row r="149" spans="1:130" ht="15" x14ac:dyDescent="0.2">
      <c r="A149" s="312"/>
      <c r="B149" s="284"/>
      <c r="C149" s="284"/>
      <c r="D149" s="284"/>
      <c r="E149" s="284"/>
      <c r="F149" s="284"/>
      <c r="G149" s="284"/>
      <c r="H149" s="284"/>
      <c r="I149" s="284"/>
      <c r="J149" s="284"/>
      <c r="K149" s="284"/>
      <c r="L149" s="284"/>
      <c r="M149" s="284"/>
      <c r="N149" s="284"/>
      <c r="O149" s="284"/>
      <c r="P149" s="284"/>
      <c r="Q149" s="284"/>
      <c r="R149" s="284"/>
      <c r="S149" s="284"/>
      <c r="T149" s="310"/>
      <c r="U149" s="310"/>
      <c r="V149" s="284"/>
      <c r="W149" s="284"/>
      <c r="X149" s="312"/>
      <c r="Y149" s="71"/>
      <c r="Z149" s="313"/>
      <c r="AA149" s="314"/>
      <c r="AB149" s="314"/>
      <c r="AC149" s="309"/>
      <c r="AD149" s="71"/>
      <c r="AE149" s="71"/>
      <c r="AF149" s="71"/>
      <c r="AG149" s="71"/>
      <c r="AH149" s="71"/>
      <c r="AI149" s="71"/>
      <c r="AJ149" s="71"/>
      <c r="AK149" s="71"/>
      <c r="AL149" s="71"/>
      <c r="AM149" s="71"/>
      <c r="AN149" s="71"/>
      <c r="AO149" s="71"/>
      <c r="AP149" s="71"/>
      <c r="AQ149" s="71"/>
      <c r="AR149" s="71"/>
      <c r="AS149" s="71"/>
      <c r="AT149" s="71"/>
      <c r="AU149" s="71"/>
      <c r="AV149" s="71"/>
      <c r="AW149" s="71"/>
      <c r="AX149" s="71"/>
      <c r="AY149" s="71"/>
      <c r="AZ149" s="71"/>
      <c r="BA149" s="71"/>
      <c r="BB149" s="71"/>
      <c r="BC149" s="71"/>
      <c r="BD149" s="71"/>
      <c r="BE149" s="71"/>
      <c r="BF149" s="71"/>
      <c r="BG149" s="71"/>
      <c r="BH149" s="71"/>
      <c r="BI149" s="71"/>
      <c r="BJ149" s="71"/>
      <c r="BK149" s="71"/>
      <c r="BL149" s="71"/>
      <c r="BM149" s="71"/>
      <c r="BN149" s="71"/>
      <c r="BO149" s="71"/>
      <c r="BP149" s="71"/>
      <c r="BQ149" s="71"/>
      <c r="BR149" s="71"/>
      <c r="BS149" s="71"/>
      <c r="BT149" s="71"/>
      <c r="BU149" s="71"/>
      <c r="BV149" s="71"/>
      <c r="BW149" s="71"/>
      <c r="BX149" s="71"/>
      <c r="BY149" s="71"/>
      <c r="BZ149" s="71"/>
      <c r="CA149" s="71"/>
      <c r="CB149" s="71"/>
      <c r="CC149" s="71"/>
      <c r="CD149" s="71"/>
      <c r="CE149" s="71"/>
      <c r="DJ149" s="54"/>
      <c r="DM149" s="233">
        <v>41030</v>
      </c>
      <c r="DN149" s="154">
        <v>22</v>
      </c>
      <c r="DO149" s="155">
        <v>4</v>
      </c>
      <c r="DP149" s="155">
        <v>4</v>
      </c>
      <c r="DQ149" s="155">
        <v>1</v>
      </c>
      <c r="DR149" s="154">
        <v>31</v>
      </c>
      <c r="DS149" s="55"/>
      <c r="DT149" s="55"/>
      <c r="DU149" s="233">
        <v>41030</v>
      </c>
      <c r="DV149" s="154">
        <v>22</v>
      </c>
      <c r="DW149" s="155">
        <v>4</v>
      </c>
      <c r="DX149" s="155">
        <v>4</v>
      </c>
      <c r="DY149" s="155">
        <v>1</v>
      </c>
      <c r="DZ149" s="154">
        <v>31</v>
      </c>
    </row>
    <row r="150" spans="1:130" ht="15.75" x14ac:dyDescent="0.25">
      <c r="A150" s="312"/>
      <c r="B150" s="284"/>
      <c r="C150" s="284"/>
      <c r="D150" s="284"/>
      <c r="E150" s="284"/>
      <c r="F150" s="284"/>
      <c r="G150" s="284"/>
      <c r="H150" s="284"/>
      <c r="I150" s="284"/>
      <c r="J150" s="284"/>
      <c r="K150" s="284"/>
      <c r="L150" s="284"/>
      <c r="M150" s="284"/>
      <c r="N150" s="284"/>
      <c r="O150" s="284"/>
      <c r="P150" s="284"/>
      <c r="Q150" s="284"/>
      <c r="R150" s="284"/>
      <c r="S150" s="284"/>
      <c r="T150" s="310"/>
      <c r="U150" s="310"/>
      <c r="V150" s="284"/>
      <c r="W150" s="284"/>
      <c r="X150" s="312"/>
      <c r="Y150" s="71"/>
      <c r="Z150" s="276"/>
      <c r="AA150" s="290"/>
      <c r="AB150" s="290"/>
      <c r="AC150" s="71"/>
      <c r="AD150" s="71"/>
      <c r="AE150" s="71"/>
      <c r="AF150" s="71"/>
      <c r="AG150" s="71"/>
      <c r="AH150" s="71"/>
      <c r="AI150" s="71"/>
      <c r="AJ150" s="71"/>
      <c r="AK150" s="71"/>
      <c r="AL150" s="71"/>
      <c r="AM150" s="71"/>
      <c r="AN150" s="71"/>
      <c r="AO150" s="71"/>
      <c r="AP150" s="71"/>
      <c r="AQ150" s="71"/>
      <c r="AR150" s="71"/>
      <c r="AS150" s="71"/>
      <c r="AT150" s="71"/>
      <c r="AU150" s="71"/>
      <c r="AV150" s="71"/>
      <c r="AW150" s="71"/>
      <c r="AX150" s="71"/>
      <c r="AY150" s="71"/>
      <c r="AZ150" s="71"/>
      <c r="BA150" s="71"/>
      <c r="BB150" s="71"/>
      <c r="BC150" s="71"/>
      <c r="BD150" s="71"/>
      <c r="BE150" s="71"/>
      <c r="BF150" s="71"/>
      <c r="BG150" s="71"/>
      <c r="BH150" s="71"/>
      <c r="BI150" s="71"/>
      <c r="BJ150" s="71"/>
      <c r="BK150" s="71"/>
      <c r="BL150" s="71"/>
      <c r="BM150" s="71"/>
      <c r="BN150" s="71"/>
      <c r="BO150" s="71"/>
      <c r="BP150" s="71"/>
      <c r="BQ150" s="71"/>
      <c r="BR150" s="71"/>
      <c r="BS150" s="71"/>
      <c r="BT150" s="71"/>
      <c r="BU150" s="71"/>
      <c r="BV150" s="71"/>
      <c r="BW150" s="71"/>
      <c r="BX150" s="71"/>
      <c r="BY150" s="71"/>
      <c r="BZ150" s="71"/>
      <c r="CA150" s="71"/>
      <c r="CB150" s="71"/>
      <c r="CC150" s="71"/>
      <c r="CD150" s="71"/>
      <c r="CE150" s="71"/>
      <c r="DJ150" s="54"/>
      <c r="DM150" s="233">
        <v>41061</v>
      </c>
      <c r="DN150" s="154">
        <v>21</v>
      </c>
      <c r="DO150" s="155">
        <v>5</v>
      </c>
      <c r="DP150" s="155">
        <v>4</v>
      </c>
      <c r="DQ150" s="155">
        <v>0</v>
      </c>
      <c r="DR150" s="154">
        <v>30</v>
      </c>
      <c r="DS150" s="55"/>
      <c r="DT150" s="55"/>
      <c r="DU150" s="233">
        <v>41061</v>
      </c>
      <c r="DV150" s="154">
        <v>21</v>
      </c>
      <c r="DW150" s="155">
        <v>5</v>
      </c>
      <c r="DX150" s="155">
        <v>4</v>
      </c>
      <c r="DY150" s="155">
        <v>0</v>
      </c>
      <c r="DZ150" s="154">
        <v>30</v>
      </c>
    </row>
    <row r="151" spans="1:130" ht="15" x14ac:dyDescent="0.2">
      <c r="A151" s="312"/>
      <c r="B151" s="284"/>
      <c r="C151" s="284"/>
      <c r="D151" s="284"/>
      <c r="E151" s="284"/>
      <c r="F151" s="284"/>
      <c r="G151" s="284"/>
      <c r="H151" s="284"/>
      <c r="I151" s="284"/>
      <c r="J151" s="284"/>
      <c r="K151" s="284"/>
      <c r="L151" s="284"/>
      <c r="M151" s="284"/>
      <c r="N151" s="284"/>
      <c r="O151" s="284"/>
      <c r="P151" s="284"/>
      <c r="Q151" s="284"/>
      <c r="R151" s="284"/>
      <c r="S151" s="284"/>
      <c r="T151" s="310"/>
      <c r="U151" s="310"/>
      <c r="V151" s="284"/>
      <c r="W151" s="284"/>
      <c r="X151" s="312"/>
      <c r="Y151" s="71"/>
      <c r="Z151" s="311"/>
      <c r="AA151" s="315"/>
      <c r="AB151" s="315"/>
      <c r="AC151" s="71"/>
      <c r="AD151" s="71"/>
      <c r="AE151" s="71"/>
      <c r="AF151" s="71"/>
      <c r="AG151" s="71"/>
      <c r="AH151" s="71"/>
      <c r="AI151" s="71"/>
      <c r="AJ151" s="71"/>
      <c r="AK151" s="71"/>
      <c r="AL151" s="71"/>
      <c r="AM151" s="71"/>
      <c r="AN151" s="71"/>
      <c r="AO151" s="71"/>
      <c r="AP151" s="71"/>
      <c r="AQ151" s="71"/>
      <c r="AR151" s="71"/>
      <c r="AS151" s="71"/>
      <c r="AT151" s="71"/>
      <c r="AU151" s="71"/>
      <c r="AV151" s="71"/>
      <c r="AW151" s="71"/>
      <c r="AX151" s="71"/>
      <c r="AY151" s="71"/>
      <c r="AZ151" s="71"/>
      <c r="BA151" s="71"/>
      <c r="BB151" s="71"/>
      <c r="BC151" s="71"/>
      <c r="BD151" s="71"/>
      <c r="BE151" s="71"/>
      <c r="BF151" s="71"/>
      <c r="BG151" s="71"/>
      <c r="BH151" s="71"/>
      <c r="BI151" s="71"/>
      <c r="BJ151" s="71"/>
      <c r="BK151" s="71"/>
      <c r="BL151" s="71"/>
      <c r="BM151" s="71"/>
      <c r="BN151" s="71"/>
      <c r="BO151" s="71"/>
      <c r="BP151" s="71"/>
      <c r="BQ151" s="71"/>
      <c r="BR151" s="71"/>
      <c r="BS151" s="71"/>
      <c r="BT151" s="71"/>
      <c r="BU151" s="71"/>
      <c r="BV151" s="71"/>
      <c r="BW151" s="71"/>
      <c r="BX151" s="71"/>
      <c r="BY151" s="71"/>
      <c r="BZ151" s="71"/>
      <c r="CA151" s="71"/>
      <c r="CB151" s="71"/>
      <c r="CC151" s="71"/>
      <c r="CD151" s="71"/>
      <c r="CE151" s="71"/>
      <c r="DJ151" s="54"/>
      <c r="DM151" s="233">
        <v>41091</v>
      </c>
      <c r="DN151" s="154">
        <v>21</v>
      </c>
      <c r="DO151" s="155">
        <v>4</v>
      </c>
      <c r="DP151" s="155">
        <v>5</v>
      </c>
      <c r="DQ151" s="155">
        <v>1</v>
      </c>
      <c r="DR151" s="154">
        <v>31</v>
      </c>
      <c r="DS151" s="55"/>
      <c r="DT151" s="55"/>
      <c r="DU151" s="233">
        <v>41091</v>
      </c>
      <c r="DV151" s="154">
        <v>21</v>
      </c>
      <c r="DW151" s="155">
        <v>4</v>
      </c>
      <c r="DX151" s="155">
        <v>5</v>
      </c>
      <c r="DY151" s="155">
        <v>1</v>
      </c>
      <c r="DZ151" s="154">
        <v>31</v>
      </c>
    </row>
    <row r="152" spans="1:130" ht="15.75" x14ac:dyDescent="0.25">
      <c r="A152" s="282"/>
      <c r="B152" s="290"/>
      <c r="C152" s="290"/>
      <c r="D152" s="290"/>
      <c r="E152" s="290"/>
      <c r="F152" s="290"/>
      <c r="G152" s="290"/>
      <c r="H152" s="290"/>
      <c r="I152" s="290"/>
      <c r="J152" s="290"/>
      <c r="K152" s="290"/>
      <c r="L152" s="290"/>
      <c r="M152" s="290"/>
      <c r="N152" s="290"/>
      <c r="O152" s="290"/>
      <c r="P152" s="290"/>
      <c r="Q152" s="290"/>
      <c r="R152" s="290"/>
      <c r="S152" s="290"/>
      <c r="T152" s="321"/>
      <c r="U152" s="321"/>
      <c r="V152" s="290"/>
      <c r="W152" s="290"/>
      <c r="X152" s="71"/>
      <c r="Y152" s="71"/>
      <c r="Z152" s="71"/>
      <c r="AA152" s="71"/>
      <c r="AB152" s="71"/>
      <c r="AC152" s="71"/>
      <c r="AD152" s="71"/>
      <c r="AE152" s="71"/>
      <c r="AF152" s="71"/>
      <c r="AG152" s="71"/>
      <c r="AH152" s="71"/>
      <c r="AI152" s="71"/>
      <c r="AJ152" s="71"/>
      <c r="AK152" s="71"/>
      <c r="AL152" s="71"/>
      <c r="AM152" s="71"/>
      <c r="AN152" s="71"/>
      <c r="AO152" s="71"/>
      <c r="AP152" s="71"/>
      <c r="AQ152" s="71"/>
      <c r="AR152" s="71"/>
      <c r="AS152" s="71"/>
      <c r="AT152" s="71"/>
      <c r="AU152" s="71"/>
      <c r="AV152" s="71"/>
      <c r="AW152" s="71"/>
      <c r="AX152" s="71"/>
      <c r="AY152" s="71"/>
      <c r="AZ152" s="71"/>
      <c r="BA152" s="71"/>
      <c r="BB152" s="71"/>
      <c r="BC152" s="71"/>
      <c r="BD152" s="71"/>
      <c r="BE152" s="71"/>
      <c r="BF152" s="71"/>
      <c r="BG152" s="71"/>
      <c r="BH152" s="71"/>
      <c r="BI152" s="71"/>
      <c r="BJ152" s="71"/>
      <c r="BK152" s="71"/>
      <c r="BL152" s="71"/>
      <c r="BM152" s="71"/>
      <c r="BN152" s="71"/>
      <c r="BO152" s="71"/>
      <c r="BP152" s="71"/>
      <c r="BQ152" s="71"/>
      <c r="BR152" s="71"/>
      <c r="BS152" s="71"/>
      <c r="BT152" s="71"/>
      <c r="BU152" s="71"/>
      <c r="BV152" s="71"/>
      <c r="BW152" s="71"/>
      <c r="BX152" s="71"/>
      <c r="BY152" s="71"/>
      <c r="BZ152" s="71"/>
      <c r="CA152" s="71"/>
      <c r="CB152" s="71"/>
      <c r="CC152" s="71"/>
      <c r="CD152" s="71"/>
      <c r="CE152" s="71"/>
      <c r="DJ152" s="54"/>
      <c r="DM152" s="233">
        <v>41122</v>
      </c>
      <c r="DN152" s="154">
        <v>22</v>
      </c>
      <c r="DO152" s="155">
        <v>4</v>
      </c>
      <c r="DP152" s="155">
        <v>4</v>
      </c>
      <c r="DQ152" s="155">
        <v>1</v>
      </c>
      <c r="DR152" s="154">
        <v>31</v>
      </c>
      <c r="DS152" s="55"/>
      <c r="DT152" s="55"/>
      <c r="DU152" s="233">
        <v>41122</v>
      </c>
      <c r="DV152" s="154">
        <v>23</v>
      </c>
      <c r="DW152" s="155">
        <v>4</v>
      </c>
      <c r="DX152" s="155">
        <v>4</v>
      </c>
      <c r="DY152" s="155">
        <v>0</v>
      </c>
      <c r="DZ152" s="154">
        <v>31</v>
      </c>
    </row>
    <row r="153" spans="1:130" ht="12.75" x14ac:dyDescent="0.2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71"/>
      <c r="Q153" s="71"/>
      <c r="R153" s="71"/>
      <c r="S153" s="71"/>
      <c r="T153" s="71"/>
      <c r="U153" s="71"/>
      <c r="V153" s="71"/>
      <c r="W153" s="71"/>
      <c r="X153" s="71"/>
      <c r="Y153" s="71"/>
      <c r="Z153" s="71"/>
      <c r="AA153" s="71"/>
      <c r="AB153" s="71"/>
      <c r="AC153" s="71"/>
      <c r="AD153" s="71"/>
      <c r="AE153" s="71"/>
      <c r="AF153" s="71"/>
      <c r="AG153" s="71"/>
      <c r="AH153" s="71"/>
      <c r="AI153" s="71"/>
      <c r="AJ153" s="71"/>
      <c r="AK153" s="71"/>
      <c r="AL153" s="71"/>
      <c r="AM153" s="71"/>
      <c r="AN153" s="71"/>
      <c r="AO153" s="71"/>
      <c r="AP153" s="71"/>
      <c r="AQ153" s="71"/>
      <c r="AR153" s="71"/>
      <c r="AS153" s="71"/>
      <c r="AT153" s="71"/>
      <c r="AU153" s="71"/>
      <c r="AV153" s="71"/>
      <c r="AW153" s="71"/>
      <c r="AX153" s="71"/>
      <c r="AY153" s="71"/>
      <c r="AZ153" s="71"/>
      <c r="BA153" s="71"/>
      <c r="BB153" s="71"/>
      <c r="BC153" s="71"/>
      <c r="BD153" s="71"/>
      <c r="BE153" s="71"/>
      <c r="BF153" s="71"/>
      <c r="BG153" s="71"/>
      <c r="BH153" s="71"/>
      <c r="BI153" s="71"/>
      <c r="BJ153" s="71"/>
      <c r="BK153" s="71"/>
      <c r="BL153" s="71"/>
      <c r="BM153" s="71"/>
      <c r="BN153" s="71"/>
      <c r="BO153" s="71"/>
      <c r="BP153" s="71"/>
      <c r="BQ153" s="71"/>
      <c r="BR153" s="71"/>
      <c r="BS153" s="71"/>
      <c r="BT153" s="71"/>
      <c r="BU153" s="71"/>
      <c r="BV153" s="71"/>
      <c r="BW153" s="71"/>
      <c r="BX153" s="71"/>
      <c r="BY153" s="71"/>
      <c r="BZ153" s="71"/>
      <c r="CA153" s="71"/>
      <c r="CB153" s="71"/>
      <c r="CC153" s="71"/>
      <c r="CD153" s="71"/>
      <c r="CE153" s="71"/>
      <c r="DJ153" s="54"/>
      <c r="DM153" s="233">
        <v>41153</v>
      </c>
      <c r="DN153" s="154">
        <v>19</v>
      </c>
      <c r="DO153" s="155">
        <v>5</v>
      </c>
      <c r="DP153" s="155">
        <v>5</v>
      </c>
      <c r="DQ153" s="155">
        <v>1</v>
      </c>
      <c r="DR153" s="154">
        <v>30</v>
      </c>
      <c r="DS153" s="55"/>
      <c r="DT153" s="55"/>
      <c r="DU153" s="233">
        <v>41153</v>
      </c>
      <c r="DV153" s="154">
        <v>19</v>
      </c>
      <c r="DW153" s="155">
        <v>5</v>
      </c>
      <c r="DX153" s="155">
        <v>5</v>
      </c>
      <c r="DY153" s="155">
        <v>1</v>
      </c>
      <c r="DZ153" s="154">
        <v>30</v>
      </c>
    </row>
    <row r="154" spans="1:130" ht="12.75" x14ac:dyDescent="0.2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71"/>
      <c r="Q154" s="71"/>
      <c r="R154" s="71"/>
      <c r="S154" s="71"/>
      <c r="T154" s="71"/>
      <c r="U154" s="71"/>
      <c r="V154" s="71"/>
      <c r="W154" s="71"/>
      <c r="X154" s="71"/>
      <c r="Y154" s="71"/>
      <c r="Z154" s="71"/>
      <c r="AA154" s="71"/>
      <c r="AB154" s="71"/>
      <c r="AC154" s="71"/>
      <c r="AD154" s="71"/>
      <c r="AE154" s="71"/>
      <c r="AF154" s="71"/>
      <c r="AG154" s="71"/>
      <c r="AH154" s="71"/>
      <c r="AI154" s="71"/>
      <c r="AJ154" s="71"/>
      <c r="AK154" s="71"/>
      <c r="AL154" s="71"/>
      <c r="AM154" s="71"/>
      <c r="AN154" s="71"/>
      <c r="AO154" s="71"/>
      <c r="AP154" s="71"/>
      <c r="AQ154" s="71"/>
      <c r="AR154" s="71"/>
      <c r="AS154" s="71"/>
      <c r="AT154" s="71"/>
      <c r="AU154" s="71"/>
      <c r="AV154" s="71"/>
      <c r="AW154" s="71"/>
      <c r="AX154" s="71"/>
      <c r="AY154" s="71"/>
      <c r="AZ154" s="71"/>
      <c r="BA154" s="71"/>
      <c r="BB154" s="71"/>
      <c r="BC154" s="71"/>
      <c r="BD154" s="71"/>
      <c r="BE154" s="71"/>
      <c r="BF154" s="71"/>
      <c r="BG154" s="71"/>
      <c r="BH154" s="71"/>
      <c r="BI154" s="71"/>
      <c r="BJ154" s="71"/>
      <c r="BK154" s="71"/>
      <c r="BL154" s="71"/>
      <c r="BM154" s="71"/>
      <c r="BN154" s="71"/>
      <c r="BO154" s="71"/>
      <c r="BP154" s="71"/>
      <c r="BQ154" s="71"/>
      <c r="BR154" s="71"/>
      <c r="BS154" s="71"/>
      <c r="BT154" s="71"/>
      <c r="BU154" s="71"/>
      <c r="BV154" s="71"/>
      <c r="BW154" s="71"/>
      <c r="BX154" s="71"/>
      <c r="BY154" s="71"/>
      <c r="BZ154" s="71"/>
      <c r="CA154" s="71"/>
      <c r="CB154" s="71"/>
      <c r="CC154" s="71"/>
      <c r="CD154" s="71"/>
      <c r="CE154" s="71"/>
      <c r="DJ154" s="54"/>
      <c r="DM154" s="233">
        <v>41183</v>
      </c>
      <c r="DN154" s="154">
        <v>22</v>
      </c>
      <c r="DO154" s="155">
        <v>4</v>
      </c>
      <c r="DP154" s="155">
        <v>4</v>
      </c>
      <c r="DQ154" s="155">
        <v>1</v>
      </c>
      <c r="DR154" s="154">
        <v>31</v>
      </c>
      <c r="DS154" s="55"/>
      <c r="DT154" s="55"/>
      <c r="DU154" s="233">
        <v>41183</v>
      </c>
      <c r="DV154" s="154">
        <v>23</v>
      </c>
      <c r="DW154" s="155">
        <v>4</v>
      </c>
      <c r="DX154" s="155">
        <v>4</v>
      </c>
      <c r="DY154" s="155">
        <v>0</v>
      </c>
      <c r="DZ154" s="154">
        <v>31</v>
      </c>
    </row>
    <row r="155" spans="1:130" ht="12.75" x14ac:dyDescent="0.2">
      <c r="AD155" s="69"/>
      <c r="AE155" s="69"/>
      <c r="AF155" s="69"/>
      <c r="AG155" s="69"/>
      <c r="AH155" s="69"/>
      <c r="AI155" s="69"/>
      <c r="DJ155" s="54"/>
      <c r="DM155" s="233">
        <v>41214</v>
      </c>
      <c r="DN155" s="154">
        <v>21</v>
      </c>
      <c r="DO155" s="155">
        <v>4</v>
      </c>
      <c r="DP155" s="155">
        <v>4</v>
      </c>
      <c r="DQ155" s="155">
        <v>1</v>
      </c>
      <c r="DR155" s="154">
        <v>30</v>
      </c>
      <c r="DS155" s="55"/>
      <c r="DT155" s="55"/>
      <c r="DU155" s="233">
        <v>41214</v>
      </c>
      <c r="DV155" s="154">
        <v>21</v>
      </c>
      <c r="DW155" s="155">
        <v>4</v>
      </c>
      <c r="DX155" s="155">
        <v>4</v>
      </c>
      <c r="DY155" s="155">
        <v>1</v>
      </c>
      <c r="DZ155" s="154">
        <v>30</v>
      </c>
    </row>
    <row r="156" spans="1:130" ht="12.75" x14ac:dyDescent="0.2">
      <c r="AD156" s="69"/>
      <c r="AE156" s="69"/>
      <c r="AF156" s="69"/>
      <c r="AG156" s="69"/>
      <c r="AH156" s="69"/>
      <c r="AI156" s="69"/>
      <c r="DJ156" s="54"/>
      <c r="DM156" s="233">
        <v>41244</v>
      </c>
      <c r="DN156" s="154">
        <v>19</v>
      </c>
      <c r="DO156" s="155">
        <v>5</v>
      </c>
      <c r="DP156" s="155">
        <v>5</v>
      </c>
      <c r="DQ156" s="155">
        <v>2</v>
      </c>
      <c r="DR156" s="154">
        <v>31</v>
      </c>
      <c r="DS156" s="55"/>
      <c r="DT156" s="55"/>
      <c r="DU156" s="233">
        <v>41244</v>
      </c>
      <c r="DV156" s="154">
        <v>20</v>
      </c>
      <c r="DW156" s="155">
        <v>5</v>
      </c>
      <c r="DX156" s="155">
        <v>5</v>
      </c>
      <c r="DY156" s="155">
        <v>1</v>
      </c>
      <c r="DZ156" s="154">
        <v>31</v>
      </c>
    </row>
    <row r="157" spans="1:130" ht="12.75" x14ac:dyDescent="0.2">
      <c r="AD157" s="69"/>
      <c r="AE157" s="69"/>
      <c r="AF157" s="69"/>
      <c r="AG157" s="69"/>
      <c r="AH157" s="69"/>
      <c r="AI157" s="69"/>
      <c r="DJ157" s="54"/>
      <c r="DM157" s="233">
        <v>41275</v>
      </c>
      <c r="DN157" s="154">
        <v>22</v>
      </c>
      <c r="DO157" s="155">
        <v>4</v>
      </c>
      <c r="DP157" s="155">
        <v>4</v>
      </c>
      <c r="DQ157" s="155">
        <v>1</v>
      </c>
      <c r="DR157" s="154">
        <v>31</v>
      </c>
      <c r="DS157" s="55"/>
      <c r="DT157" s="55"/>
      <c r="DU157" s="233">
        <v>41275</v>
      </c>
      <c r="DV157" s="154">
        <v>22</v>
      </c>
      <c r="DW157" s="155">
        <v>4</v>
      </c>
      <c r="DX157" s="155">
        <v>4</v>
      </c>
      <c r="DY157" s="155">
        <v>1</v>
      </c>
      <c r="DZ157" s="154">
        <v>31</v>
      </c>
    </row>
    <row r="158" spans="1:130" ht="12.75" x14ac:dyDescent="0.2">
      <c r="AD158" s="69"/>
      <c r="AE158" s="69"/>
      <c r="AF158" s="69"/>
      <c r="AG158" s="69"/>
      <c r="AH158" s="69"/>
      <c r="AI158" s="69"/>
      <c r="DJ158" s="54"/>
      <c r="DM158" s="233">
        <v>41306</v>
      </c>
      <c r="DN158" s="154">
        <v>19</v>
      </c>
      <c r="DO158" s="155">
        <v>4</v>
      </c>
      <c r="DP158" s="155">
        <v>4</v>
      </c>
      <c r="DQ158" s="155">
        <v>1</v>
      </c>
      <c r="DR158" s="154">
        <v>28</v>
      </c>
      <c r="DS158" s="55"/>
      <c r="DT158" s="55"/>
      <c r="DU158" s="233">
        <v>41306</v>
      </c>
      <c r="DV158" s="154">
        <v>20</v>
      </c>
      <c r="DW158" s="155">
        <v>4</v>
      </c>
      <c r="DX158" s="155">
        <v>4</v>
      </c>
      <c r="DY158" s="155">
        <v>0</v>
      </c>
      <c r="DZ158" s="154">
        <v>28</v>
      </c>
    </row>
    <row r="159" spans="1:130" ht="12.75" x14ac:dyDescent="0.2">
      <c r="AD159" s="69"/>
      <c r="AE159" s="69"/>
      <c r="AF159" s="69"/>
      <c r="AG159" s="69"/>
      <c r="AH159" s="69"/>
      <c r="AI159" s="69"/>
      <c r="DJ159" s="54"/>
      <c r="DM159" s="233">
        <v>41334</v>
      </c>
      <c r="DN159" s="154">
        <v>20</v>
      </c>
      <c r="DO159" s="155">
        <v>5</v>
      </c>
      <c r="DP159" s="155">
        <v>5</v>
      </c>
      <c r="DQ159" s="155">
        <v>1</v>
      </c>
      <c r="DR159" s="154">
        <v>31</v>
      </c>
      <c r="DS159" s="55"/>
      <c r="DT159" s="55"/>
      <c r="DU159" s="233">
        <v>41334</v>
      </c>
      <c r="DV159" s="154">
        <v>21</v>
      </c>
      <c r="DW159" s="155">
        <v>5</v>
      </c>
      <c r="DX159" s="155">
        <v>5</v>
      </c>
      <c r="DY159" s="155">
        <v>0</v>
      </c>
      <c r="DZ159" s="154">
        <v>31</v>
      </c>
    </row>
    <row r="160" spans="1:130" ht="12.75" x14ac:dyDescent="0.2">
      <c r="AD160" s="69"/>
      <c r="AE160" s="69"/>
      <c r="AF160" s="69"/>
      <c r="AG160" s="69"/>
      <c r="AH160" s="69"/>
      <c r="AI160" s="69"/>
      <c r="DJ160" s="54"/>
      <c r="DM160" s="233">
        <v>41365</v>
      </c>
      <c r="DN160" s="154">
        <v>22</v>
      </c>
      <c r="DO160" s="155">
        <v>4</v>
      </c>
      <c r="DP160" s="155">
        <v>4</v>
      </c>
      <c r="DQ160" s="155">
        <v>0</v>
      </c>
      <c r="DR160" s="154">
        <v>30</v>
      </c>
      <c r="DS160" s="55"/>
      <c r="DT160" s="55"/>
      <c r="DU160" s="233">
        <v>41365</v>
      </c>
      <c r="DV160" s="154">
        <v>22</v>
      </c>
      <c r="DW160" s="155">
        <v>4</v>
      </c>
      <c r="DX160" s="155">
        <v>4</v>
      </c>
      <c r="DY160" s="155">
        <v>0</v>
      </c>
      <c r="DZ160" s="154">
        <v>30</v>
      </c>
    </row>
    <row r="161" spans="30:130" ht="12.75" x14ac:dyDescent="0.2">
      <c r="AD161" s="69"/>
      <c r="AE161" s="69"/>
      <c r="AF161" s="69"/>
      <c r="AG161" s="69"/>
      <c r="AH161" s="69"/>
      <c r="AI161" s="69"/>
      <c r="DJ161" s="54"/>
      <c r="DM161" s="233">
        <v>41395</v>
      </c>
      <c r="DN161" s="154">
        <v>22</v>
      </c>
      <c r="DO161" s="155">
        <v>4</v>
      </c>
      <c r="DP161" s="155">
        <v>4</v>
      </c>
      <c r="DQ161" s="155">
        <v>1</v>
      </c>
      <c r="DR161" s="154">
        <v>31</v>
      </c>
      <c r="DS161" s="55"/>
      <c r="DT161" s="55"/>
      <c r="DU161" s="233">
        <v>41395</v>
      </c>
      <c r="DV161" s="154">
        <v>22</v>
      </c>
      <c r="DW161" s="155">
        <v>4</v>
      </c>
      <c r="DX161" s="155">
        <v>4</v>
      </c>
      <c r="DY161" s="155">
        <v>1</v>
      </c>
      <c r="DZ161" s="154">
        <v>31</v>
      </c>
    </row>
    <row r="162" spans="30:130" ht="12.75" x14ac:dyDescent="0.2">
      <c r="AD162" s="69"/>
      <c r="AE162" s="69"/>
      <c r="AF162" s="69"/>
      <c r="AG162" s="69"/>
      <c r="AH162" s="69"/>
      <c r="AI162" s="69"/>
      <c r="DJ162" s="54"/>
      <c r="DM162" s="233">
        <v>41426</v>
      </c>
      <c r="DN162" s="154">
        <v>20</v>
      </c>
      <c r="DO162" s="155">
        <v>5</v>
      </c>
      <c r="DP162" s="155">
        <v>5</v>
      </c>
      <c r="DQ162" s="155">
        <v>0</v>
      </c>
      <c r="DR162" s="154">
        <v>30</v>
      </c>
      <c r="DS162" s="55"/>
      <c r="DT162" s="55"/>
      <c r="DU162" s="233">
        <v>41426</v>
      </c>
      <c r="DV162" s="154">
        <v>20</v>
      </c>
      <c r="DW162" s="155">
        <v>5</v>
      </c>
      <c r="DX162" s="155">
        <v>5</v>
      </c>
      <c r="DY162" s="155">
        <v>0</v>
      </c>
      <c r="DZ162" s="154">
        <v>30</v>
      </c>
    </row>
    <row r="163" spans="30:130" ht="12.75" x14ac:dyDescent="0.2">
      <c r="AD163" s="69"/>
      <c r="AE163" s="69"/>
      <c r="AF163" s="69"/>
      <c r="AG163" s="69"/>
      <c r="AH163" s="69"/>
      <c r="AI163" s="69"/>
      <c r="DJ163" s="54"/>
      <c r="DM163" s="233">
        <v>41456</v>
      </c>
      <c r="DN163" s="154">
        <v>22</v>
      </c>
      <c r="DO163" s="155">
        <v>4</v>
      </c>
      <c r="DP163" s="155">
        <v>4</v>
      </c>
      <c r="DQ163" s="155">
        <v>1</v>
      </c>
      <c r="DR163" s="154">
        <v>31</v>
      </c>
      <c r="DS163" s="55"/>
      <c r="DT163" s="55"/>
      <c r="DU163" s="233">
        <v>41456</v>
      </c>
      <c r="DV163" s="154">
        <v>22</v>
      </c>
      <c r="DW163" s="155">
        <v>4</v>
      </c>
      <c r="DX163" s="155">
        <v>4</v>
      </c>
      <c r="DY163" s="155">
        <v>1</v>
      </c>
      <c r="DZ163" s="154">
        <v>31</v>
      </c>
    </row>
    <row r="164" spans="30:130" ht="12.75" x14ac:dyDescent="0.2">
      <c r="AD164" s="69"/>
      <c r="AE164" s="69"/>
      <c r="AF164" s="69"/>
      <c r="AG164" s="69"/>
      <c r="AH164" s="69"/>
      <c r="AI164" s="69"/>
      <c r="DJ164" s="54"/>
      <c r="DM164" s="233">
        <v>41487</v>
      </c>
      <c r="DN164" s="154">
        <v>21</v>
      </c>
      <c r="DO164" s="155">
        <v>5</v>
      </c>
      <c r="DP164" s="155">
        <v>4</v>
      </c>
      <c r="DQ164" s="155">
        <v>1</v>
      </c>
      <c r="DR164" s="154">
        <v>31</v>
      </c>
      <c r="DS164" s="55"/>
      <c r="DT164" s="55"/>
      <c r="DU164" s="233">
        <v>41487</v>
      </c>
      <c r="DV164" s="154">
        <v>22</v>
      </c>
      <c r="DW164" s="155">
        <v>5</v>
      </c>
      <c r="DX164" s="155">
        <v>4</v>
      </c>
      <c r="DY164" s="155">
        <v>0</v>
      </c>
      <c r="DZ164" s="154">
        <v>31</v>
      </c>
    </row>
    <row r="165" spans="30:130" ht="12.75" x14ac:dyDescent="0.2">
      <c r="AD165" s="69"/>
      <c r="AE165" s="69"/>
      <c r="AF165" s="69"/>
      <c r="AG165" s="69"/>
      <c r="AH165" s="69"/>
      <c r="AI165" s="69"/>
      <c r="DJ165" s="54"/>
      <c r="DM165" s="233">
        <v>41518</v>
      </c>
      <c r="DN165" s="154">
        <v>20</v>
      </c>
      <c r="DO165" s="155">
        <v>4</v>
      </c>
      <c r="DP165" s="155">
        <v>5</v>
      </c>
      <c r="DQ165" s="155">
        <v>1</v>
      </c>
      <c r="DR165" s="154">
        <v>30</v>
      </c>
      <c r="DS165" s="55"/>
      <c r="DT165" s="55"/>
      <c r="DU165" s="233">
        <v>41518</v>
      </c>
      <c r="DV165" s="154">
        <v>20</v>
      </c>
      <c r="DW165" s="155">
        <v>4</v>
      </c>
      <c r="DX165" s="155">
        <v>5</v>
      </c>
      <c r="DY165" s="155">
        <v>1</v>
      </c>
      <c r="DZ165" s="154">
        <v>30</v>
      </c>
    </row>
    <row r="166" spans="30:130" ht="12.75" x14ac:dyDescent="0.2">
      <c r="AD166" s="69"/>
      <c r="AE166" s="69"/>
      <c r="AF166" s="69"/>
      <c r="AG166" s="69"/>
      <c r="AH166" s="69"/>
      <c r="AI166" s="69"/>
      <c r="DJ166" s="54"/>
      <c r="DM166" s="233">
        <v>41548</v>
      </c>
      <c r="DN166" s="154">
        <v>22</v>
      </c>
      <c r="DO166" s="155">
        <v>4</v>
      </c>
      <c r="DP166" s="155">
        <v>4</v>
      </c>
      <c r="DQ166" s="155">
        <v>1</v>
      </c>
      <c r="DR166" s="154">
        <v>31</v>
      </c>
      <c r="DS166" s="55"/>
      <c r="DT166" s="55"/>
      <c r="DU166" s="233">
        <v>41548</v>
      </c>
      <c r="DV166" s="154">
        <v>23</v>
      </c>
      <c r="DW166" s="155">
        <v>4</v>
      </c>
      <c r="DX166" s="155">
        <v>4</v>
      </c>
      <c r="DY166" s="155">
        <v>0</v>
      </c>
      <c r="DZ166" s="154">
        <v>31</v>
      </c>
    </row>
    <row r="167" spans="30:130" ht="12.75" x14ac:dyDescent="0.2">
      <c r="AD167" s="69"/>
      <c r="AE167" s="69"/>
      <c r="AF167" s="69"/>
      <c r="AG167" s="69"/>
      <c r="AH167" s="69"/>
      <c r="AI167" s="69"/>
      <c r="DJ167" s="54"/>
      <c r="DM167" s="233">
        <v>41579</v>
      </c>
      <c r="DN167" s="154">
        <v>20</v>
      </c>
      <c r="DO167" s="155">
        <v>5</v>
      </c>
      <c r="DP167" s="155">
        <v>4</v>
      </c>
      <c r="DQ167" s="155">
        <v>1</v>
      </c>
      <c r="DR167" s="154">
        <v>30</v>
      </c>
      <c r="DS167" s="55"/>
      <c r="DT167" s="55"/>
      <c r="DU167" s="233">
        <v>41579</v>
      </c>
      <c r="DV167" s="154">
        <v>20</v>
      </c>
      <c r="DW167" s="155">
        <v>5</v>
      </c>
      <c r="DX167" s="155">
        <v>4</v>
      </c>
      <c r="DY167" s="155">
        <v>1</v>
      </c>
      <c r="DZ167" s="154">
        <v>30</v>
      </c>
    </row>
    <row r="168" spans="30:130" ht="12.75" x14ac:dyDescent="0.2">
      <c r="AD168" s="69"/>
      <c r="AE168" s="69"/>
      <c r="AF168" s="69"/>
      <c r="AG168" s="69"/>
      <c r="AH168" s="69"/>
      <c r="AI168" s="69"/>
      <c r="DJ168" s="54"/>
      <c r="DM168" s="233">
        <v>41609</v>
      </c>
      <c r="DN168" s="154">
        <v>20</v>
      </c>
      <c r="DO168" s="155">
        <v>4</v>
      </c>
      <c r="DP168" s="155">
        <v>5</v>
      </c>
      <c r="DQ168" s="155">
        <v>2</v>
      </c>
      <c r="DR168" s="154">
        <v>31</v>
      </c>
      <c r="DS168" s="55"/>
      <c r="DT168" s="55"/>
      <c r="DU168" s="233">
        <v>41609</v>
      </c>
      <c r="DV168" s="154">
        <v>21</v>
      </c>
      <c r="DW168" s="155">
        <v>4</v>
      </c>
      <c r="DX168" s="155">
        <v>5</v>
      </c>
      <c r="DY168" s="155">
        <v>1</v>
      </c>
      <c r="DZ168" s="154">
        <v>31</v>
      </c>
    </row>
    <row r="169" spans="30:130" ht="12.75" x14ac:dyDescent="0.2">
      <c r="AD169" s="69"/>
      <c r="AE169" s="69"/>
      <c r="AF169" s="69"/>
      <c r="AG169" s="69"/>
      <c r="AH169" s="69"/>
      <c r="AI169" s="69"/>
      <c r="DJ169" s="54"/>
      <c r="DM169" s="233">
        <v>41640</v>
      </c>
      <c r="DN169" s="154">
        <v>22</v>
      </c>
      <c r="DO169" s="155">
        <v>4</v>
      </c>
      <c r="DP169" s="155">
        <v>4</v>
      </c>
      <c r="DQ169" s="155">
        <v>1</v>
      </c>
      <c r="DR169" s="154">
        <v>31</v>
      </c>
      <c r="DS169" s="55"/>
      <c r="DT169" s="55"/>
      <c r="DU169" s="233">
        <v>41640</v>
      </c>
      <c r="DV169" s="154">
        <v>22</v>
      </c>
      <c r="DW169" s="155">
        <v>4</v>
      </c>
      <c r="DX169" s="155">
        <v>4</v>
      </c>
      <c r="DY169" s="155">
        <v>1</v>
      </c>
      <c r="DZ169" s="154">
        <v>31</v>
      </c>
    </row>
    <row r="170" spans="30:130" ht="12.75" x14ac:dyDescent="0.2">
      <c r="AD170" s="69"/>
      <c r="AE170" s="69"/>
      <c r="AF170" s="69"/>
      <c r="AG170" s="69"/>
      <c r="AH170" s="69"/>
      <c r="AI170" s="69"/>
      <c r="DJ170" s="54"/>
      <c r="DM170" s="233">
        <v>41671</v>
      </c>
      <c r="DN170" s="154">
        <v>19</v>
      </c>
      <c r="DO170" s="155">
        <v>4</v>
      </c>
      <c r="DP170" s="155">
        <v>4</v>
      </c>
      <c r="DQ170" s="155">
        <v>1</v>
      </c>
      <c r="DR170" s="154">
        <v>28</v>
      </c>
      <c r="DS170" s="55"/>
      <c r="DT170" s="55"/>
      <c r="DU170" s="233">
        <v>41671</v>
      </c>
      <c r="DV170" s="154">
        <v>20</v>
      </c>
      <c r="DW170" s="155">
        <v>4</v>
      </c>
      <c r="DX170" s="155">
        <v>4</v>
      </c>
      <c r="DY170" s="155">
        <v>0</v>
      </c>
      <c r="DZ170" s="154">
        <v>28</v>
      </c>
    </row>
    <row r="171" spans="30:130" ht="12.75" x14ac:dyDescent="0.2">
      <c r="AD171" s="69"/>
      <c r="AE171" s="69"/>
      <c r="AF171" s="69"/>
      <c r="AG171" s="69"/>
      <c r="AH171" s="69"/>
      <c r="AI171" s="69"/>
      <c r="DJ171" s="54"/>
      <c r="DM171" s="233">
        <v>41699</v>
      </c>
      <c r="DN171" s="154">
        <v>21</v>
      </c>
      <c r="DO171" s="155">
        <v>5</v>
      </c>
      <c r="DP171" s="155">
        <v>5</v>
      </c>
      <c r="DQ171" s="155">
        <v>0</v>
      </c>
      <c r="DR171" s="154">
        <v>31</v>
      </c>
      <c r="DS171" s="55"/>
      <c r="DT171" s="55"/>
      <c r="DU171" s="233">
        <v>41699</v>
      </c>
      <c r="DV171" s="154">
        <v>21</v>
      </c>
      <c r="DW171" s="155">
        <v>5</v>
      </c>
      <c r="DX171" s="155">
        <v>5</v>
      </c>
      <c r="DY171" s="155">
        <v>0</v>
      </c>
      <c r="DZ171" s="154">
        <v>31</v>
      </c>
    </row>
    <row r="172" spans="30:130" ht="12.75" x14ac:dyDescent="0.2">
      <c r="AD172" s="69"/>
      <c r="AE172" s="69"/>
      <c r="AF172" s="69"/>
      <c r="AG172" s="69"/>
      <c r="AH172" s="69"/>
      <c r="AI172" s="69"/>
      <c r="DJ172" s="54"/>
      <c r="DM172" s="233">
        <v>41730</v>
      </c>
      <c r="DN172" s="154">
        <v>21</v>
      </c>
      <c r="DO172" s="155">
        <v>4</v>
      </c>
      <c r="DP172" s="155">
        <v>4</v>
      </c>
      <c r="DQ172" s="155">
        <v>1</v>
      </c>
      <c r="DR172" s="154">
        <v>30</v>
      </c>
      <c r="DS172" s="55"/>
      <c r="DT172" s="55"/>
      <c r="DU172" s="233">
        <v>41730</v>
      </c>
      <c r="DV172" s="154">
        <v>22</v>
      </c>
      <c r="DW172" s="155">
        <v>4</v>
      </c>
      <c r="DX172" s="155">
        <v>4</v>
      </c>
      <c r="DY172" s="155">
        <v>0</v>
      </c>
      <c r="DZ172" s="154">
        <v>30</v>
      </c>
    </row>
    <row r="173" spans="30:130" ht="12.75" x14ac:dyDescent="0.2">
      <c r="AD173" s="69"/>
      <c r="AE173" s="69"/>
      <c r="AF173" s="69"/>
      <c r="AG173" s="69"/>
      <c r="AH173" s="69"/>
      <c r="AI173" s="69"/>
      <c r="DJ173" s="54"/>
      <c r="DM173" s="233">
        <v>41760</v>
      </c>
      <c r="DN173" s="154">
        <v>21</v>
      </c>
      <c r="DO173" s="155">
        <v>5</v>
      </c>
      <c r="DP173" s="155">
        <v>4</v>
      </c>
      <c r="DQ173" s="155">
        <v>1</v>
      </c>
      <c r="DR173" s="154">
        <v>31</v>
      </c>
      <c r="DS173" s="55"/>
      <c r="DT173" s="55"/>
      <c r="DU173" s="233">
        <v>41760</v>
      </c>
      <c r="DV173" s="154">
        <v>21</v>
      </c>
      <c r="DW173" s="155">
        <v>5</v>
      </c>
      <c r="DX173" s="155">
        <v>4</v>
      </c>
      <c r="DY173" s="155">
        <v>1</v>
      </c>
      <c r="DZ173" s="154">
        <v>31</v>
      </c>
    </row>
    <row r="174" spans="30:130" ht="12.75" x14ac:dyDescent="0.2">
      <c r="AD174" s="69"/>
      <c r="AE174" s="69"/>
      <c r="AF174" s="69"/>
      <c r="AG174" s="69"/>
      <c r="AH174" s="69"/>
      <c r="AI174" s="69"/>
      <c r="DJ174" s="54"/>
      <c r="DM174" s="233">
        <v>41791</v>
      </c>
      <c r="DN174" s="154">
        <v>21</v>
      </c>
      <c r="DO174" s="155">
        <v>4</v>
      </c>
      <c r="DP174" s="155">
        <v>5</v>
      </c>
      <c r="DQ174" s="155">
        <v>0</v>
      </c>
      <c r="DR174" s="154">
        <v>30</v>
      </c>
      <c r="DS174" s="55"/>
      <c r="DT174" s="55"/>
      <c r="DU174" s="233">
        <v>41791</v>
      </c>
      <c r="DV174" s="154">
        <v>21</v>
      </c>
      <c r="DW174" s="155">
        <v>4</v>
      </c>
      <c r="DX174" s="155">
        <v>5</v>
      </c>
      <c r="DY174" s="155">
        <v>0</v>
      </c>
      <c r="DZ174" s="154">
        <v>30</v>
      </c>
    </row>
    <row r="175" spans="30:130" ht="12.75" x14ac:dyDescent="0.2">
      <c r="AD175" s="69"/>
      <c r="AE175" s="69"/>
      <c r="AF175" s="69"/>
      <c r="AG175" s="69"/>
      <c r="AH175" s="69"/>
      <c r="AI175" s="69"/>
      <c r="DJ175" s="54"/>
      <c r="DM175" s="233">
        <v>41821</v>
      </c>
      <c r="DN175" s="154">
        <v>22</v>
      </c>
      <c r="DO175" s="155">
        <v>4</v>
      </c>
      <c r="DP175" s="155">
        <v>4</v>
      </c>
      <c r="DQ175" s="155">
        <v>1</v>
      </c>
      <c r="DR175" s="154">
        <v>31</v>
      </c>
      <c r="DS175" s="55"/>
      <c r="DT175" s="55"/>
      <c r="DU175" s="233">
        <v>41821</v>
      </c>
      <c r="DV175" s="154">
        <v>22</v>
      </c>
      <c r="DW175" s="155">
        <v>4</v>
      </c>
      <c r="DX175" s="155">
        <v>4</v>
      </c>
      <c r="DY175" s="155">
        <v>1</v>
      </c>
      <c r="DZ175" s="154">
        <v>31</v>
      </c>
    </row>
    <row r="176" spans="30:130" ht="12.75" x14ac:dyDescent="0.2">
      <c r="AD176" s="69"/>
      <c r="AE176" s="69"/>
      <c r="AF176" s="69"/>
      <c r="AG176" s="69"/>
      <c r="AH176" s="69"/>
      <c r="AI176" s="69"/>
      <c r="DJ176" s="54"/>
      <c r="DM176" s="233">
        <v>41852</v>
      </c>
      <c r="DN176" s="154">
        <v>20</v>
      </c>
      <c r="DO176" s="155">
        <v>5</v>
      </c>
      <c r="DP176" s="155">
        <v>5</v>
      </c>
      <c r="DQ176" s="155">
        <v>1</v>
      </c>
      <c r="DR176" s="154">
        <v>31</v>
      </c>
      <c r="DS176" s="55"/>
      <c r="DT176" s="55"/>
      <c r="DU176" s="233">
        <v>41852</v>
      </c>
      <c r="DV176" s="154">
        <v>21</v>
      </c>
      <c r="DW176" s="155">
        <v>5</v>
      </c>
      <c r="DX176" s="155">
        <v>5</v>
      </c>
      <c r="DY176" s="155">
        <v>0</v>
      </c>
      <c r="DZ176" s="154">
        <v>31</v>
      </c>
    </row>
    <row r="177" spans="30:130" ht="12.75" x14ac:dyDescent="0.2">
      <c r="AD177" s="69"/>
      <c r="AE177" s="69"/>
      <c r="AF177" s="69"/>
      <c r="AG177" s="69"/>
      <c r="AH177" s="69"/>
      <c r="AI177" s="69"/>
      <c r="DJ177" s="54"/>
      <c r="DM177" s="233">
        <v>41883</v>
      </c>
      <c r="DN177" s="154">
        <v>21</v>
      </c>
      <c r="DO177" s="155">
        <v>4</v>
      </c>
      <c r="DP177" s="155">
        <v>4</v>
      </c>
      <c r="DQ177" s="155">
        <v>1</v>
      </c>
      <c r="DR177" s="154">
        <v>30</v>
      </c>
      <c r="DS177" s="55"/>
      <c r="DT177" s="55"/>
      <c r="DU177" s="233">
        <v>41883</v>
      </c>
      <c r="DV177" s="154">
        <v>21</v>
      </c>
      <c r="DW177" s="155">
        <v>4</v>
      </c>
      <c r="DX177" s="155">
        <v>4</v>
      </c>
      <c r="DY177" s="155">
        <v>1</v>
      </c>
      <c r="DZ177" s="154">
        <v>30</v>
      </c>
    </row>
    <row r="178" spans="30:130" ht="12.75" x14ac:dyDescent="0.2">
      <c r="AD178" s="69"/>
      <c r="AE178" s="69"/>
      <c r="AF178" s="69"/>
      <c r="AG178" s="69"/>
      <c r="AH178" s="69"/>
      <c r="AI178" s="69"/>
      <c r="DJ178" s="54"/>
      <c r="DM178" s="233">
        <v>41913</v>
      </c>
      <c r="DN178" s="154">
        <v>22</v>
      </c>
      <c r="DO178" s="155">
        <v>4</v>
      </c>
      <c r="DP178" s="155">
        <v>4</v>
      </c>
      <c r="DQ178" s="155">
        <v>1</v>
      </c>
      <c r="DR178" s="154">
        <v>31</v>
      </c>
      <c r="DS178" s="55"/>
      <c r="DT178" s="55"/>
      <c r="DU178" s="233">
        <v>41913</v>
      </c>
      <c r="DV178" s="154">
        <v>23</v>
      </c>
      <c r="DW178" s="155">
        <v>4</v>
      </c>
      <c r="DX178" s="155">
        <v>4</v>
      </c>
      <c r="DY178" s="155">
        <v>0</v>
      </c>
      <c r="DZ178" s="154">
        <v>31</v>
      </c>
    </row>
    <row r="179" spans="30:130" ht="12.75" x14ac:dyDescent="0.2">
      <c r="AD179" s="69"/>
      <c r="AE179" s="69"/>
      <c r="AF179" s="69"/>
      <c r="AG179" s="69"/>
      <c r="AH179" s="69"/>
      <c r="AI179" s="69"/>
      <c r="DJ179" s="54"/>
      <c r="DM179" s="233">
        <v>41944</v>
      </c>
      <c r="DN179" s="154">
        <v>19</v>
      </c>
      <c r="DO179" s="155">
        <v>5</v>
      </c>
      <c r="DP179" s="155">
        <v>5</v>
      </c>
      <c r="DQ179" s="155">
        <v>1</v>
      </c>
      <c r="DR179" s="154">
        <v>30</v>
      </c>
      <c r="DS179" s="55"/>
      <c r="DT179" s="55"/>
      <c r="DU179" s="233">
        <v>41944</v>
      </c>
      <c r="DV179" s="154">
        <v>19</v>
      </c>
      <c r="DW179" s="155">
        <v>5</v>
      </c>
      <c r="DX179" s="155">
        <v>5</v>
      </c>
      <c r="DY179" s="155">
        <v>1</v>
      </c>
      <c r="DZ179" s="154">
        <v>30</v>
      </c>
    </row>
    <row r="180" spans="30:130" ht="12.75" x14ac:dyDescent="0.2">
      <c r="AD180" s="69"/>
      <c r="AE180" s="69"/>
      <c r="AF180" s="69"/>
      <c r="AG180" s="69"/>
      <c r="AH180" s="69"/>
      <c r="AI180" s="69"/>
      <c r="DJ180" s="54"/>
      <c r="DM180" s="233">
        <v>41974</v>
      </c>
      <c r="DN180" s="154">
        <v>21</v>
      </c>
      <c r="DO180" s="155">
        <v>4</v>
      </c>
      <c r="DP180" s="155">
        <v>4</v>
      </c>
      <c r="DQ180" s="155">
        <v>2</v>
      </c>
      <c r="DR180" s="154">
        <v>31</v>
      </c>
      <c r="DU180" s="233">
        <v>41974</v>
      </c>
      <c r="DV180" s="154">
        <v>22</v>
      </c>
      <c r="DW180" s="155">
        <v>4</v>
      </c>
      <c r="DX180" s="155">
        <v>4</v>
      </c>
      <c r="DY180" s="155">
        <v>1</v>
      </c>
      <c r="DZ180" s="154">
        <v>31</v>
      </c>
    </row>
    <row r="181" spans="30:130" ht="12.75" x14ac:dyDescent="0.2">
      <c r="AD181" s="69"/>
      <c r="AE181" s="69"/>
      <c r="AF181" s="69"/>
      <c r="AG181" s="69"/>
      <c r="AH181" s="69"/>
      <c r="AI181" s="69"/>
      <c r="DJ181" s="54"/>
      <c r="DM181" s="233">
        <v>42005</v>
      </c>
      <c r="DN181" s="154">
        <v>21</v>
      </c>
      <c r="DO181" s="155">
        <v>5</v>
      </c>
      <c r="DP181" s="155">
        <v>4</v>
      </c>
      <c r="DQ181" s="155">
        <v>1</v>
      </c>
      <c r="DR181" s="154">
        <v>31</v>
      </c>
      <c r="DU181" s="233">
        <v>42005</v>
      </c>
      <c r="DV181" s="154">
        <v>21</v>
      </c>
      <c r="DW181" s="155">
        <v>5</v>
      </c>
      <c r="DX181" s="155">
        <v>4</v>
      </c>
      <c r="DY181" s="155">
        <v>1</v>
      </c>
      <c r="DZ181" s="154">
        <v>31</v>
      </c>
    </row>
    <row r="182" spans="30:130" ht="12.75" x14ac:dyDescent="0.2">
      <c r="AD182" s="69"/>
      <c r="AE182" s="69"/>
      <c r="AF182" s="69"/>
      <c r="AG182" s="69"/>
      <c r="AH182" s="69"/>
      <c r="AI182" s="69"/>
      <c r="DJ182" s="54"/>
      <c r="DM182" s="233">
        <v>42036</v>
      </c>
      <c r="DN182" s="154">
        <v>19</v>
      </c>
      <c r="DO182" s="155">
        <v>4</v>
      </c>
      <c r="DP182" s="155">
        <v>4</v>
      </c>
      <c r="DQ182" s="155">
        <v>1</v>
      </c>
      <c r="DR182" s="154">
        <v>28</v>
      </c>
      <c r="DU182" s="233">
        <v>42036</v>
      </c>
      <c r="DV182" s="154">
        <v>20</v>
      </c>
      <c r="DW182" s="155">
        <v>4</v>
      </c>
      <c r="DX182" s="155">
        <v>4</v>
      </c>
      <c r="DY182" s="155">
        <v>0</v>
      </c>
      <c r="DZ182" s="154">
        <v>28</v>
      </c>
    </row>
    <row r="183" spans="30:130" ht="12.75" x14ac:dyDescent="0.2">
      <c r="AD183" s="69"/>
      <c r="AE183" s="69"/>
      <c r="AF183" s="69"/>
      <c r="AG183" s="69"/>
      <c r="AH183" s="69"/>
      <c r="AI183" s="69"/>
      <c r="DJ183" s="54"/>
      <c r="DM183" s="233">
        <v>42064</v>
      </c>
      <c r="DN183" s="154">
        <v>22</v>
      </c>
      <c r="DO183" s="155">
        <v>4</v>
      </c>
      <c r="DP183" s="155">
        <v>5</v>
      </c>
      <c r="DQ183" s="155">
        <v>0</v>
      </c>
      <c r="DR183" s="154">
        <v>31</v>
      </c>
      <c r="DU183" s="233">
        <v>42064</v>
      </c>
      <c r="DV183" s="154">
        <v>22</v>
      </c>
      <c r="DW183" s="155">
        <v>4</v>
      </c>
      <c r="DX183" s="155">
        <v>5</v>
      </c>
      <c r="DY183" s="155">
        <v>0</v>
      </c>
      <c r="DZ183" s="154">
        <v>31</v>
      </c>
    </row>
    <row r="184" spans="30:130" ht="12.75" x14ac:dyDescent="0.2">
      <c r="AD184" s="69"/>
      <c r="AE184" s="69"/>
      <c r="AF184" s="69"/>
      <c r="AG184" s="69"/>
      <c r="AH184" s="69"/>
      <c r="AI184" s="69"/>
      <c r="DJ184" s="54"/>
      <c r="DM184" s="233">
        <v>42095</v>
      </c>
      <c r="DN184" s="154">
        <v>21</v>
      </c>
      <c r="DO184" s="155">
        <v>4</v>
      </c>
      <c r="DP184" s="155">
        <v>4</v>
      </c>
      <c r="DQ184" s="155">
        <v>1</v>
      </c>
      <c r="DR184" s="154">
        <v>30</v>
      </c>
      <c r="DU184" s="233">
        <v>42095</v>
      </c>
      <c r="DV184" s="154">
        <v>22</v>
      </c>
      <c r="DW184" s="155">
        <v>4</v>
      </c>
      <c r="DX184" s="155">
        <v>4</v>
      </c>
      <c r="DY184" s="155">
        <v>0</v>
      </c>
      <c r="DZ184" s="154">
        <v>30</v>
      </c>
    </row>
    <row r="185" spans="30:130" ht="12.75" x14ac:dyDescent="0.2">
      <c r="AD185" s="69"/>
      <c r="AE185" s="69"/>
      <c r="AF185" s="69"/>
      <c r="AG185" s="69"/>
      <c r="AH185" s="69"/>
      <c r="AI185" s="69"/>
      <c r="DJ185" s="54"/>
      <c r="DM185" s="233">
        <v>42125</v>
      </c>
      <c r="DN185" s="154">
        <v>20</v>
      </c>
      <c r="DO185" s="155">
        <v>5</v>
      </c>
      <c r="DP185" s="155">
        <v>5</v>
      </c>
      <c r="DQ185" s="155">
        <v>1</v>
      </c>
      <c r="DR185" s="154">
        <v>31</v>
      </c>
      <c r="DU185" s="233">
        <v>42125</v>
      </c>
      <c r="DV185" s="154">
        <v>20</v>
      </c>
      <c r="DW185" s="155">
        <v>5</v>
      </c>
      <c r="DX185" s="155">
        <v>5</v>
      </c>
      <c r="DY185" s="155">
        <v>1</v>
      </c>
      <c r="DZ185" s="154">
        <v>31</v>
      </c>
    </row>
    <row r="186" spans="30:130" ht="12.75" x14ac:dyDescent="0.2">
      <c r="AD186" s="69"/>
      <c r="AE186" s="69"/>
      <c r="AF186" s="69"/>
      <c r="AG186" s="69"/>
      <c r="AH186" s="69"/>
      <c r="AI186" s="69"/>
      <c r="DJ186" s="54"/>
      <c r="DM186" s="233">
        <v>42156</v>
      </c>
      <c r="DN186" s="154">
        <v>22</v>
      </c>
      <c r="DO186" s="155">
        <v>4</v>
      </c>
      <c r="DP186" s="155">
        <v>4</v>
      </c>
      <c r="DQ186" s="155">
        <v>0</v>
      </c>
      <c r="DR186" s="154">
        <v>30</v>
      </c>
      <c r="DU186" s="233">
        <v>42156</v>
      </c>
      <c r="DV186" s="154">
        <v>22</v>
      </c>
      <c r="DW186" s="155">
        <v>4</v>
      </c>
      <c r="DX186" s="155">
        <v>4</v>
      </c>
      <c r="DY186" s="155">
        <v>0</v>
      </c>
      <c r="DZ186" s="154">
        <v>30</v>
      </c>
    </row>
    <row r="187" spans="30:130" ht="12.75" x14ac:dyDescent="0.2">
      <c r="AD187" s="69"/>
      <c r="AE187" s="69"/>
      <c r="AF187" s="69"/>
      <c r="AG187" s="69"/>
      <c r="AH187" s="69"/>
      <c r="AI187" s="69"/>
      <c r="DJ187" s="54"/>
      <c r="DM187" s="233">
        <v>42186</v>
      </c>
      <c r="DN187" s="154">
        <v>22</v>
      </c>
      <c r="DO187" s="155">
        <v>4</v>
      </c>
      <c r="DP187" s="155">
        <v>4</v>
      </c>
      <c r="DQ187" s="155">
        <v>1</v>
      </c>
      <c r="DR187" s="154">
        <v>31</v>
      </c>
      <c r="DU187" s="233">
        <v>42186</v>
      </c>
      <c r="DV187" s="154">
        <v>23</v>
      </c>
      <c r="DW187" s="155">
        <v>3</v>
      </c>
      <c r="DX187" s="155">
        <v>4</v>
      </c>
      <c r="DY187" s="155">
        <v>1</v>
      </c>
      <c r="DZ187" s="154">
        <v>31</v>
      </c>
    </row>
    <row r="188" spans="30:130" ht="12.75" x14ac:dyDescent="0.2">
      <c r="AD188" s="69"/>
      <c r="AE188" s="69"/>
      <c r="AF188" s="69"/>
      <c r="AG188" s="69"/>
      <c r="AH188" s="69"/>
      <c r="AI188" s="69"/>
      <c r="DJ188" s="54"/>
      <c r="DM188" s="233">
        <v>42217</v>
      </c>
      <c r="DN188" s="154">
        <v>20</v>
      </c>
      <c r="DO188" s="155">
        <v>5</v>
      </c>
      <c r="DP188" s="155">
        <v>5</v>
      </c>
      <c r="DQ188" s="155">
        <v>1</v>
      </c>
      <c r="DR188" s="154">
        <v>31</v>
      </c>
      <c r="DU188" s="233">
        <v>42217</v>
      </c>
      <c r="DV188" s="154">
        <v>21</v>
      </c>
      <c r="DW188" s="155">
        <v>5</v>
      </c>
      <c r="DX188" s="155">
        <v>5</v>
      </c>
      <c r="DY188" s="155">
        <v>0</v>
      </c>
      <c r="DZ188" s="154">
        <v>31</v>
      </c>
    </row>
    <row r="189" spans="30:130" ht="12.75" x14ac:dyDescent="0.2">
      <c r="AD189" s="69"/>
      <c r="AE189" s="69"/>
      <c r="AF189" s="69"/>
      <c r="AG189" s="69"/>
      <c r="AH189" s="69"/>
      <c r="AI189" s="69"/>
      <c r="DJ189" s="54"/>
      <c r="DM189" s="233">
        <v>42248</v>
      </c>
      <c r="DN189" s="154">
        <v>21</v>
      </c>
      <c r="DO189" s="155">
        <v>4</v>
      </c>
      <c r="DP189" s="155">
        <v>4</v>
      </c>
      <c r="DQ189" s="155">
        <v>1</v>
      </c>
      <c r="DR189" s="154">
        <v>30</v>
      </c>
      <c r="DU189" s="233">
        <v>42248</v>
      </c>
      <c r="DV189" s="154">
        <v>21</v>
      </c>
      <c r="DW189" s="155">
        <v>4</v>
      </c>
      <c r="DX189" s="155">
        <v>4</v>
      </c>
      <c r="DY189" s="155">
        <v>1</v>
      </c>
      <c r="DZ189" s="154">
        <v>30</v>
      </c>
    </row>
    <row r="190" spans="30:130" ht="12.75" x14ac:dyDescent="0.2">
      <c r="AD190" s="69"/>
      <c r="AE190" s="69"/>
      <c r="AF190" s="69"/>
      <c r="AG190" s="69"/>
      <c r="AH190" s="69"/>
      <c r="AI190" s="69"/>
      <c r="DJ190" s="54"/>
      <c r="DM190" s="233">
        <v>42278</v>
      </c>
      <c r="DN190" s="154">
        <v>21</v>
      </c>
      <c r="DO190" s="155">
        <v>5</v>
      </c>
      <c r="DP190" s="155">
        <v>4</v>
      </c>
      <c r="DQ190" s="155">
        <v>1</v>
      </c>
      <c r="DR190" s="154">
        <v>31</v>
      </c>
      <c r="DU190" s="233">
        <v>42278</v>
      </c>
      <c r="DV190" s="154">
        <v>22</v>
      </c>
      <c r="DW190" s="155">
        <v>5</v>
      </c>
      <c r="DX190" s="155">
        <v>4</v>
      </c>
      <c r="DY190" s="155">
        <v>0</v>
      </c>
      <c r="DZ190" s="154">
        <v>31</v>
      </c>
    </row>
    <row r="191" spans="30:130" ht="12.75" x14ac:dyDescent="0.2">
      <c r="AD191" s="69"/>
      <c r="AE191" s="69"/>
      <c r="AF191" s="69"/>
      <c r="AG191" s="69"/>
      <c r="AH191" s="69"/>
      <c r="AI191" s="69"/>
      <c r="DJ191" s="54"/>
      <c r="DM191" s="233">
        <v>42309</v>
      </c>
      <c r="DN191" s="154">
        <v>20</v>
      </c>
      <c r="DO191" s="155">
        <v>4</v>
      </c>
      <c r="DP191" s="155">
        <v>5</v>
      </c>
      <c r="DQ191" s="155">
        <v>1</v>
      </c>
      <c r="DR191" s="154">
        <v>30</v>
      </c>
      <c r="DU191" s="233">
        <v>42309</v>
      </c>
      <c r="DV191" s="154">
        <v>20</v>
      </c>
      <c r="DW191" s="155">
        <v>4</v>
      </c>
      <c r="DX191" s="155">
        <v>5</v>
      </c>
      <c r="DY191" s="155">
        <v>1</v>
      </c>
      <c r="DZ191" s="154">
        <v>30</v>
      </c>
    </row>
    <row r="192" spans="30:130" ht="12.75" x14ac:dyDescent="0.2">
      <c r="AD192" s="69"/>
      <c r="AE192" s="69"/>
      <c r="AF192" s="69"/>
      <c r="AG192" s="69"/>
      <c r="AH192" s="69"/>
      <c r="AI192" s="69"/>
      <c r="DJ192" s="54"/>
      <c r="DM192" s="233">
        <v>42339</v>
      </c>
      <c r="DN192" s="154">
        <v>21</v>
      </c>
      <c r="DO192" s="155">
        <v>4</v>
      </c>
      <c r="DP192" s="155">
        <v>4</v>
      </c>
      <c r="DQ192" s="155">
        <v>2</v>
      </c>
      <c r="DR192" s="154">
        <v>31</v>
      </c>
      <c r="DU192" s="233">
        <v>42339</v>
      </c>
      <c r="DV192" s="154">
        <v>22</v>
      </c>
      <c r="DW192" s="155">
        <v>4</v>
      </c>
      <c r="DX192" s="155">
        <v>4</v>
      </c>
      <c r="DY192" s="155">
        <v>1</v>
      </c>
      <c r="DZ192" s="154">
        <v>31</v>
      </c>
    </row>
    <row r="193" spans="1:130" ht="12.75" x14ac:dyDescent="0.2">
      <c r="AD193" s="69"/>
      <c r="AE193" s="69"/>
      <c r="AF193" s="69"/>
      <c r="AG193" s="69"/>
      <c r="AH193" s="69"/>
      <c r="AI193" s="69"/>
      <c r="DJ193" s="54"/>
      <c r="DM193" s="233">
        <v>42370</v>
      </c>
      <c r="DN193" s="154">
        <v>20</v>
      </c>
      <c r="DO193" s="155">
        <v>5</v>
      </c>
      <c r="DP193" s="155">
        <v>5</v>
      </c>
      <c r="DQ193" s="155">
        <v>1</v>
      </c>
      <c r="DR193" s="154">
        <v>31</v>
      </c>
      <c r="DU193" s="233">
        <v>42370</v>
      </c>
      <c r="DV193" s="154">
        <v>20</v>
      </c>
      <c r="DW193" s="155">
        <v>5</v>
      </c>
      <c r="DX193" s="155">
        <v>5</v>
      </c>
      <c r="DY193" s="155">
        <v>1</v>
      </c>
      <c r="DZ193" s="154">
        <v>31</v>
      </c>
    </row>
    <row r="194" spans="1:130" ht="12.75" x14ac:dyDescent="0.2">
      <c r="AD194" s="69"/>
      <c r="AE194" s="69"/>
      <c r="AF194" s="69"/>
      <c r="AG194" s="69"/>
      <c r="AH194" s="69"/>
      <c r="AI194" s="69"/>
      <c r="DJ194" s="54"/>
      <c r="DM194" s="233">
        <v>42401</v>
      </c>
      <c r="DN194" s="154">
        <v>20</v>
      </c>
      <c r="DO194" s="155">
        <v>4</v>
      </c>
      <c r="DP194" s="155">
        <v>4</v>
      </c>
      <c r="DQ194" s="155">
        <v>1</v>
      </c>
      <c r="DR194" s="154">
        <v>29</v>
      </c>
      <c r="DU194" s="233">
        <v>42401</v>
      </c>
      <c r="DV194" s="154">
        <v>21</v>
      </c>
      <c r="DW194" s="155">
        <v>4</v>
      </c>
      <c r="DX194" s="155">
        <v>4</v>
      </c>
      <c r="DY194" s="155">
        <v>0</v>
      </c>
      <c r="DZ194" s="154">
        <v>29</v>
      </c>
    </row>
    <row r="195" spans="1:130" ht="12.75" x14ac:dyDescent="0.2">
      <c r="AD195" s="69"/>
      <c r="AE195" s="69"/>
      <c r="AF195" s="69"/>
      <c r="AG195" s="69"/>
      <c r="AH195" s="69"/>
      <c r="AI195" s="69"/>
      <c r="DJ195" s="54"/>
      <c r="DM195" s="233">
        <v>42430</v>
      </c>
      <c r="DN195" s="154">
        <v>22</v>
      </c>
      <c r="DO195" s="155">
        <v>4</v>
      </c>
      <c r="DP195" s="155">
        <v>4</v>
      </c>
      <c r="DQ195" s="155">
        <v>1</v>
      </c>
      <c r="DR195" s="154">
        <v>31</v>
      </c>
      <c r="DU195" s="233">
        <v>42430</v>
      </c>
      <c r="DV195" s="154">
        <v>23</v>
      </c>
      <c r="DW195" s="155">
        <v>4</v>
      </c>
      <c r="DX195" s="155">
        <v>4</v>
      </c>
      <c r="DY195" s="155">
        <v>0</v>
      </c>
      <c r="DZ195" s="154">
        <v>31</v>
      </c>
    </row>
    <row r="196" spans="1:130" ht="12.75" x14ac:dyDescent="0.2">
      <c r="AD196" s="69"/>
      <c r="AE196" s="69"/>
      <c r="AF196" s="69"/>
      <c r="AG196" s="69"/>
      <c r="AH196" s="69"/>
      <c r="AI196" s="69"/>
      <c r="DJ196" s="54"/>
      <c r="DM196" s="233">
        <v>42461</v>
      </c>
      <c r="DN196" s="154">
        <v>21</v>
      </c>
      <c r="DO196" s="155">
        <v>5</v>
      </c>
      <c r="DP196" s="155">
        <v>4</v>
      </c>
      <c r="DQ196" s="155">
        <v>0</v>
      </c>
      <c r="DR196" s="154">
        <v>30</v>
      </c>
      <c r="DU196" s="233">
        <v>42461</v>
      </c>
      <c r="DV196" s="154">
        <v>21</v>
      </c>
      <c r="DW196" s="155">
        <v>5</v>
      </c>
      <c r="DX196" s="155">
        <v>4</v>
      </c>
      <c r="DY196" s="155">
        <v>0</v>
      </c>
      <c r="DZ196" s="154">
        <v>30</v>
      </c>
    </row>
    <row r="197" spans="1:130" ht="12.75" x14ac:dyDescent="0.2">
      <c r="A197" s="69"/>
      <c r="B197" s="69"/>
      <c r="C197" s="69"/>
      <c r="D197" s="69"/>
      <c r="E197" s="69"/>
      <c r="F197" s="69"/>
      <c r="G197" s="69"/>
      <c r="H197" s="69"/>
      <c r="I197" s="69"/>
      <c r="J197" s="69"/>
      <c r="K197" s="69"/>
      <c r="L197" s="69"/>
      <c r="M197" s="69"/>
      <c r="N197" s="69"/>
      <c r="O197" s="69"/>
      <c r="P197" s="69"/>
      <c r="Q197" s="69"/>
      <c r="R197" s="69"/>
      <c r="S197" s="69"/>
      <c r="T197" s="69"/>
      <c r="U197" s="69"/>
      <c r="V197" s="69"/>
      <c r="W197" s="69"/>
      <c r="X197" s="69"/>
      <c r="Y197" s="69"/>
      <c r="Z197" s="69"/>
      <c r="AA197" s="69"/>
      <c r="AB197" s="69"/>
      <c r="AC197" s="69"/>
      <c r="AD197" s="69"/>
      <c r="AE197" s="69"/>
      <c r="AF197" s="69"/>
      <c r="AG197" s="69"/>
      <c r="AH197" s="69"/>
      <c r="AI197" s="69"/>
      <c r="DJ197" s="54"/>
      <c r="DL197" s="154"/>
      <c r="DM197" s="233">
        <v>42491</v>
      </c>
      <c r="DN197" s="155">
        <v>21</v>
      </c>
      <c r="DO197" s="155">
        <v>4</v>
      </c>
      <c r="DP197" s="154">
        <v>5</v>
      </c>
      <c r="DQ197" s="25">
        <v>1</v>
      </c>
      <c r="DR197" s="25">
        <v>31</v>
      </c>
      <c r="DU197" s="233">
        <v>42491</v>
      </c>
      <c r="DV197" s="155">
        <v>21</v>
      </c>
      <c r="DW197" s="155">
        <v>4</v>
      </c>
      <c r="DX197" s="154">
        <v>5</v>
      </c>
      <c r="DY197" s="25">
        <v>1</v>
      </c>
      <c r="DZ197" s="25">
        <v>31</v>
      </c>
    </row>
    <row r="198" spans="1:130" ht="12.75" x14ac:dyDescent="0.2">
      <c r="A198" s="69"/>
      <c r="B198" s="69"/>
      <c r="C198" s="69"/>
      <c r="D198" s="69"/>
      <c r="E198" s="69"/>
      <c r="F198" s="69"/>
      <c r="G198" s="69"/>
      <c r="H198" s="69"/>
      <c r="I198" s="69"/>
      <c r="J198" s="69"/>
      <c r="K198" s="69"/>
      <c r="L198" s="69"/>
      <c r="M198" s="69"/>
      <c r="N198" s="69"/>
      <c r="O198" s="69"/>
      <c r="P198" s="69"/>
      <c r="Q198" s="69"/>
      <c r="R198" s="69"/>
      <c r="S198" s="69"/>
      <c r="T198" s="69"/>
      <c r="U198" s="69"/>
      <c r="V198" s="69"/>
      <c r="W198" s="69"/>
      <c r="X198" s="69"/>
      <c r="Y198" s="69"/>
      <c r="Z198" s="69"/>
      <c r="AA198" s="69"/>
      <c r="AB198" s="69"/>
      <c r="AC198" s="69"/>
      <c r="AD198" s="69"/>
      <c r="AE198" s="69"/>
      <c r="AF198" s="69"/>
      <c r="AG198" s="69"/>
      <c r="AH198" s="69"/>
      <c r="AI198" s="69"/>
      <c r="DJ198" s="54"/>
      <c r="DL198" s="154"/>
      <c r="DM198" s="233">
        <v>42522</v>
      </c>
      <c r="DN198" s="155">
        <v>22</v>
      </c>
      <c r="DO198" s="155">
        <v>4</v>
      </c>
      <c r="DP198" s="154">
        <v>4</v>
      </c>
      <c r="DQ198" s="25">
        <v>0</v>
      </c>
      <c r="DR198" s="25">
        <v>30</v>
      </c>
      <c r="DU198" s="233">
        <v>42522</v>
      </c>
      <c r="DV198" s="155">
        <v>22</v>
      </c>
      <c r="DW198" s="155">
        <v>4</v>
      </c>
      <c r="DX198" s="154">
        <v>4</v>
      </c>
      <c r="DY198" s="25">
        <v>0</v>
      </c>
      <c r="DZ198" s="25">
        <v>30</v>
      </c>
    </row>
    <row r="199" spans="1:130" ht="12.75" x14ac:dyDescent="0.2">
      <c r="A199" s="69"/>
      <c r="B199" s="69"/>
      <c r="C199" s="69"/>
      <c r="D199" s="69"/>
      <c r="E199" s="69"/>
      <c r="F199" s="69"/>
      <c r="G199" s="69"/>
      <c r="H199" s="69"/>
      <c r="I199" s="69"/>
      <c r="J199" s="69"/>
      <c r="K199" s="69"/>
      <c r="L199" s="69"/>
      <c r="M199" s="69"/>
      <c r="N199" s="69"/>
      <c r="O199" s="69"/>
      <c r="P199" s="69"/>
      <c r="Q199" s="69"/>
      <c r="R199" s="69"/>
      <c r="S199" s="69"/>
      <c r="T199" s="69"/>
      <c r="U199" s="69"/>
      <c r="V199" s="69"/>
      <c r="W199" s="69"/>
      <c r="X199" s="69"/>
      <c r="Y199" s="69"/>
      <c r="Z199" s="69"/>
      <c r="AA199" s="69"/>
      <c r="AB199" s="69"/>
      <c r="AC199" s="69"/>
      <c r="AD199" s="69"/>
      <c r="AE199" s="69"/>
      <c r="AF199" s="69"/>
      <c r="AG199" s="69"/>
      <c r="AH199" s="69"/>
      <c r="AI199" s="69"/>
      <c r="DJ199" s="54"/>
      <c r="DL199" s="154"/>
      <c r="DM199" s="233">
        <v>42552</v>
      </c>
      <c r="DN199" s="155">
        <v>20</v>
      </c>
      <c r="DO199" s="155">
        <v>5</v>
      </c>
      <c r="DP199" s="154">
        <v>5</v>
      </c>
      <c r="DQ199" s="25">
        <v>1</v>
      </c>
      <c r="DR199" s="25">
        <v>31</v>
      </c>
      <c r="DU199" s="233">
        <v>42552</v>
      </c>
      <c r="DV199" s="155">
        <v>20</v>
      </c>
      <c r="DW199" s="155">
        <v>5</v>
      </c>
      <c r="DX199" s="154">
        <v>5</v>
      </c>
      <c r="DY199" s="25">
        <v>1</v>
      </c>
      <c r="DZ199" s="25">
        <v>31</v>
      </c>
    </row>
    <row r="200" spans="1:130" ht="12.75" x14ac:dyDescent="0.2">
      <c r="A200" s="69"/>
      <c r="B200" s="69"/>
      <c r="C200" s="69"/>
      <c r="D200" s="69"/>
      <c r="E200" s="69"/>
      <c r="F200" s="69"/>
      <c r="G200" s="69"/>
      <c r="H200" s="69"/>
      <c r="I200" s="69"/>
      <c r="J200" s="69"/>
      <c r="K200" s="69"/>
      <c r="L200" s="69"/>
      <c r="M200" s="69"/>
      <c r="N200" s="69"/>
      <c r="O200" s="69"/>
      <c r="P200" s="69"/>
      <c r="Q200" s="69"/>
      <c r="R200" s="69"/>
      <c r="S200" s="69"/>
      <c r="T200" s="69"/>
      <c r="U200" s="69"/>
      <c r="V200" s="69"/>
      <c r="W200" s="69"/>
      <c r="X200" s="69"/>
      <c r="Y200" s="69"/>
      <c r="Z200" s="69"/>
      <c r="AA200" s="69"/>
      <c r="AB200" s="69"/>
      <c r="AC200" s="69"/>
      <c r="AD200" s="69"/>
      <c r="AE200" s="69"/>
      <c r="AF200" s="69"/>
      <c r="AG200" s="69"/>
      <c r="AH200" s="69"/>
      <c r="AI200" s="69"/>
      <c r="DJ200" s="54"/>
      <c r="DL200" s="154"/>
      <c r="DM200" s="233">
        <v>42583</v>
      </c>
      <c r="DN200" s="155">
        <v>22</v>
      </c>
      <c r="DO200" s="155">
        <v>4</v>
      </c>
      <c r="DP200" s="154">
        <v>4</v>
      </c>
      <c r="DQ200" s="25">
        <v>1</v>
      </c>
      <c r="DR200" s="25">
        <v>31</v>
      </c>
      <c r="DU200" s="233">
        <v>42583</v>
      </c>
      <c r="DV200" s="155">
        <v>23</v>
      </c>
      <c r="DW200" s="155">
        <v>4</v>
      </c>
      <c r="DX200" s="154">
        <v>4</v>
      </c>
      <c r="DY200" s="25">
        <v>0</v>
      </c>
      <c r="DZ200" s="25">
        <v>31</v>
      </c>
    </row>
    <row r="201" spans="1:130" ht="12.75" x14ac:dyDescent="0.2">
      <c r="A201" s="69"/>
      <c r="B201" s="69"/>
      <c r="C201" s="69"/>
      <c r="D201" s="69"/>
      <c r="E201" s="69"/>
      <c r="F201" s="69"/>
      <c r="G201" s="69"/>
      <c r="H201" s="69"/>
      <c r="I201" s="69"/>
      <c r="J201" s="69"/>
      <c r="K201" s="69"/>
      <c r="L201" s="69"/>
      <c r="M201" s="69"/>
      <c r="N201" s="69"/>
      <c r="O201" s="69"/>
      <c r="P201" s="69"/>
      <c r="Q201" s="69"/>
      <c r="R201" s="69"/>
      <c r="S201" s="69"/>
      <c r="T201" s="69"/>
      <c r="U201" s="69"/>
      <c r="V201" s="69"/>
      <c r="W201" s="69"/>
      <c r="X201" s="69"/>
      <c r="Y201" s="69"/>
      <c r="Z201" s="69"/>
      <c r="AA201" s="69"/>
      <c r="AB201" s="69"/>
      <c r="AC201" s="69"/>
      <c r="AD201" s="69"/>
      <c r="AE201" s="69"/>
      <c r="AF201" s="69"/>
      <c r="AG201" s="69"/>
      <c r="AH201" s="69"/>
      <c r="AI201" s="69"/>
      <c r="DJ201" s="54"/>
      <c r="DL201" s="154"/>
      <c r="DM201" s="233">
        <v>42614</v>
      </c>
      <c r="DN201" s="155">
        <v>21</v>
      </c>
      <c r="DO201" s="155">
        <v>4</v>
      </c>
      <c r="DP201" s="154">
        <v>4</v>
      </c>
      <c r="DQ201" s="25">
        <v>1</v>
      </c>
      <c r="DR201" s="25">
        <v>30</v>
      </c>
      <c r="DU201" s="233">
        <v>42614</v>
      </c>
      <c r="DV201" s="155">
        <v>21</v>
      </c>
      <c r="DW201" s="155">
        <v>4</v>
      </c>
      <c r="DX201" s="154">
        <v>4</v>
      </c>
      <c r="DY201" s="25">
        <v>1</v>
      </c>
      <c r="DZ201" s="25">
        <v>30</v>
      </c>
    </row>
    <row r="202" spans="1:130" ht="12.75" x14ac:dyDescent="0.2">
      <c r="A202" s="69"/>
      <c r="B202" s="69"/>
      <c r="C202" s="69"/>
      <c r="D202" s="69"/>
      <c r="E202" s="69"/>
      <c r="F202" s="69"/>
      <c r="G202" s="69"/>
      <c r="H202" s="69"/>
      <c r="I202" s="69"/>
      <c r="J202" s="69"/>
      <c r="K202" s="69"/>
      <c r="L202" s="69"/>
      <c r="M202" s="69"/>
      <c r="N202" s="69"/>
      <c r="O202" s="69"/>
      <c r="P202" s="69"/>
      <c r="Q202" s="69"/>
      <c r="R202" s="69"/>
      <c r="S202" s="69"/>
      <c r="T202" s="69"/>
      <c r="U202" s="69"/>
      <c r="V202" s="69"/>
      <c r="W202" s="69"/>
      <c r="X202" s="69"/>
      <c r="Y202" s="69"/>
      <c r="Z202" s="69"/>
      <c r="AA202" s="69"/>
      <c r="AB202" s="69"/>
      <c r="AC202" s="69"/>
      <c r="AD202" s="69"/>
      <c r="AE202" s="69"/>
      <c r="AF202" s="69"/>
      <c r="AG202" s="69"/>
      <c r="AH202" s="69"/>
      <c r="AI202" s="69"/>
      <c r="DJ202" s="54"/>
      <c r="DL202" s="154"/>
      <c r="DM202" s="233">
        <v>42644</v>
      </c>
      <c r="DN202" s="155">
        <v>20</v>
      </c>
      <c r="DO202" s="155">
        <v>5</v>
      </c>
      <c r="DP202" s="154">
        <v>5</v>
      </c>
      <c r="DQ202" s="25">
        <v>1</v>
      </c>
      <c r="DR202" s="25">
        <v>31</v>
      </c>
      <c r="DU202" s="233">
        <v>42644</v>
      </c>
      <c r="DV202" s="155">
        <v>21</v>
      </c>
      <c r="DW202" s="155">
        <v>5</v>
      </c>
      <c r="DX202" s="154">
        <v>5</v>
      </c>
      <c r="DY202" s="25">
        <v>0</v>
      </c>
      <c r="DZ202" s="25">
        <v>31</v>
      </c>
    </row>
    <row r="203" spans="1:130" ht="12.75" x14ac:dyDescent="0.2">
      <c r="A203" s="69"/>
      <c r="B203" s="69"/>
      <c r="C203" s="69"/>
      <c r="D203" s="69"/>
      <c r="E203" s="69"/>
      <c r="F203" s="69"/>
      <c r="G203" s="69"/>
      <c r="H203" s="69"/>
      <c r="I203" s="69"/>
      <c r="J203" s="69"/>
      <c r="K203" s="69"/>
      <c r="L203" s="69"/>
      <c r="M203" s="69"/>
      <c r="N203" s="69"/>
      <c r="O203" s="69"/>
      <c r="P203" s="69"/>
      <c r="Q203" s="69"/>
      <c r="R203" s="69"/>
      <c r="S203" s="69"/>
      <c r="T203" s="69"/>
      <c r="U203" s="69"/>
      <c r="V203" s="69"/>
      <c r="W203" s="69"/>
      <c r="X203" s="69"/>
      <c r="Y203" s="69"/>
      <c r="Z203" s="69"/>
      <c r="AA203" s="69"/>
      <c r="AB203" s="69"/>
      <c r="AC203" s="69"/>
      <c r="AD203" s="69"/>
      <c r="AE203" s="69"/>
      <c r="AF203" s="69"/>
      <c r="AG203" s="69"/>
      <c r="AH203" s="69"/>
      <c r="AI203" s="69"/>
      <c r="DJ203" s="54"/>
      <c r="DL203" s="154"/>
      <c r="DM203" s="233">
        <v>42675</v>
      </c>
      <c r="DN203" s="155">
        <v>21</v>
      </c>
      <c r="DO203" s="155">
        <v>4</v>
      </c>
      <c r="DP203" s="154">
        <v>4</v>
      </c>
      <c r="DQ203" s="25">
        <v>1</v>
      </c>
      <c r="DR203" s="25">
        <v>30</v>
      </c>
      <c r="DU203" s="233">
        <v>42675</v>
      </c>
      <c r="DV203" s="155">
        <v>21</v>
      </c>
      <c r="DW203" s="155">
        <v>4</v>
      </c>
      <c r="DX203" s="154">
        <v>4</v>
      </c>
      <c r="DY203" s="25">
        <v>1</v>
      </c>
      <c r="DZ203" s="25">
        <v>30</v>
      </c>
    </row>
    <row r="204" spans="1:130" ht="12.75" x14ac:dyDescent="0.2">
      <c r="A204" s="69"/>
      <c r="B204" s="69"/>
      <c r="C204" s="69"/>
      <c r="D204" s="69"/>
      <c r="E204" s="69"/>
      <c r="F204" s="69"/>
      <c r="G204" s="69"/>
      <c r="H204" s="69"/>
      <c r="I204" s="69"/>
      <c r="J204" s="69"/>
      <c r="K204" s="69"/>
      <c r="L204" s="69"/>
      <c r="M204" s="69"/>
      <c r="N204" s="69"/>
      <c r="O204" s="69"/>
      <c r="P204" s="69"/>
      <c r="Q204" s="69"/>
      <c r="R204" s="69"/>
      <c r="S204" s="69"/>
      <c r="T204" s="69"/>
      <c r="U204" s="69"/>
      <c r="V204" s="69"/>
      <c r="W204" s="69"/>
      <c r="X204" s="69"/>
      <c r="Y204" s="69"/>
      <c r="Z204" s="69"/>
      <c r="AA204" s="69"/>
      <c r="AB204" s="69"/>
      <c r="AC204" s="69"/>
      <c r="AD204" s="69"/>
      <c r="AE204" s="69"/>
      <c r="AF204" s="69"/>
      <c r="AG204" s="69"/>
      <c r="AH204" s="69"/>
      <c r="AI204" s="69"/>
      <c r="DJ204" s="54"/>
      <c r="DL204" s="154"/>
      <c r="DM204" s="233">
        <v>42705</v>
      </c>
      <c r="DN204" s="155">
        <v>20</v>
      </c>
      <c r="DO204" s="155">
        <v>5</v>
      </c>
      <c r="DP204" s="154">
        <v>4</v>
      </c>
      <c r="DQ204" s="25">
        <v>2</v>
      </c>
      <c r="DR204" s="25">
        <v>31</v>
      </c>
      <c r="DU204" s="233">
        <v>42705</v>
      </c>
      <c r="DV204" s="155">
        <v>21</v>
      </c>
      <c r="DW204" s="155">
        <v>5</v>
      </c>
      <c r="DX204" s="154">
        <v>4</v>
      </c>
      <c r="DY204" s="25">
        <v>1</v>
      </c>
      <c r="DZ204" s="25">
        <v>31</v>
      </c>
    </row>
    <row r="205" spans="1:130" ht="12.75" x14ac:dyDescent="0.2">
      <c r="A205" s="69"/>
      <c r="B205" s="69"/>
      <c r="C205" s="69"/>
      <c r="D205" s="69"/>
      <c r="E205" s="69"/>
      <c r="F205" s="69"/>
      <c r="G205" s="69"/>
      <c r="H205" s="69"/>
      <c r="I205" s="69"/>
      <c r="J205" s="69"/>
      <c r="K205" s="69"/>
      <c r="L205" s="69"/>
      <c r="M205" s="69"/>
      <c r="N205" s="69"/>
      <c r="O205" s="69"/>
      <c r="P205" s="69"/>
      <c r="Q205" s="69"/>
      <c r="R205" s="69"/>
      <c r="S205" s="69"/>
      <c r="T205" s="69"/>
      <c r="U205" s="69"/>
      <c r="V205" s="69"/>
      <c r="W205" s="69"/>
      <c r="X205" s="69"/>
      <c r="Y205" s="69"/>
      <c r="Z205" s="69"/>
      <c r="AA205" s="69"/>
      <c r="AB205" s="69"/>
      <c r="AC205" s="69"/>
      <c r="AD205" s="69"/>
      <c r="AE205" s="69"/>
      <c r="AF205" s="69"/>
      <c r="AG205" s="69"/>
      <c r="AH205" s="69"/>
      <c r="AI205" s="69"/>
      <c r="DJ205" s="54"/>
      <c r="DL205" s="154"/>
      <c r="DM205" s="233">
        <v>42736</v>
      </c>
      <c r="DN205" s="155">
        <v>21</v>
      </c>
      <c r="DO205" s="155">
        <v>4</v>
      </c>
      <c r="DP205" s="154">
        <v>5</v>
      </c>
      <c r="DQ205" s="25">
        <v>1</v>
      </c>
      <c r="DR205" s="25">
        <v>31</v>
      </c>
      <c r="DU205" s="233">
        <v>42736</v>
      </c>
      <c r="DV205" s="155">
        <v>21</v>
      </c>
      <c r="DW205" s="155">
        <v>4</v>
      </c>
      <c r="DX205" s="154">
        <v>5</v>
      </c>
      <c r="DY205" s="25">
        <v>1</v>
      </c>
      <c r="DZ205" s="25">
        <v>31</v>
      </c>
    </row>
    <row r="206" spans="1:130" ht="12.75" x14ac:dyDescent="0.2">
      <c r="A206" s="69"/>
      <c r="B206" s="69"/>
      <c r="C206" s="69"/>
      <c r="D206" s="69"/>
      <c r="E206" s="69"/>
      <c r="F206" s="69"/>
      <c r="G206" s="69"/>
      <c r="H206" s="69"/>
      <c r="I206" s="69"/>
      <c r="J206" s="69"/>
      <c r="K206" s="69"/>
      <c r="L206" s="69"/>
      <c r="M206" s="69"/>
      <c r="N206" s="69"/>
      <c r="O206" s="69"/>
      <c r="P206" s="69"/>
      <c r="Q206" s="69"/>
      <c r="R206" s="69"/>
      <c r="S206" s="69"/>
      <c r="T206" s="69"/>
      <c r="U206" s="69"/>
      <c r="V206" s="69"/>
      <c r="W206" s="69"/>
      <c r="X206" s="69"/>
      <c r="Y206" s="69"/>
      <c r="Z206" s="69"/>
      <c r="AA206" s="69"/>
      <c r="AB206" s="69"/>
      <c r="AC206" s="69"/>
      <c r="AD206" s="69"/>
      <c r="AE206" s="69"/>
      <c r="AF206" s="69"/>
      <c r="AG206" s="69"/>
      <c r="AH206" s="69"/>
      <c r="AI206" s="69"/>
      <c r="DJ206" s="54"/>
      <c r="DL206" s="154"/>
      <c r="DM206" s="233">
        <v>42767</v>
      </c>
      <c r="DN206" s="155">
        <v>19</v>
      </c>
      <c r="DO206" s="155">
        <v>4</v>
      </c>
      <c r="DP206" s="154">
        <v>4</v>
      </c>
      <c r="DQ206" s="25">
        <v>1</v>
      </c>
      <c r="DR206" s="25">
        <v>28</v>
      </c>
      <c r="DU206" s="233">
        <v>42767</v>
      </c>
      <c r="DV206" s="155">
        <v>20</v>
      </c>
      <c r="DW206" s="155">
        <v>4</v>
      </c>
      <c r="DX206" s="154">
        <v>4</v>
      </c>
      <c r="DY206" s="25">
        <v>0</v>
      </c>
      <c r="DZ206" s="25">
        <v>28</v>
      </c>
    </row>
    <row r="207" spans="1:130" ht="12.75" x14ac:dyDescent="0.2">
      <c r="A207" s="69"/>
      <c r="B207" s="69"/>
      <c r="C207" s="69"/>
      <c r="D207" s="69"/>
      <c r="E207" s="69"/>
      <c r="F207" s="69"/>
      <c r="G207" s="69"/>
      <c r="H207" s="69"/>
      <c r="I207" s="69"/>
      <c r="J207" s="69"/>
      <c r="K207" s="69"/>
      <c r="L207" s="69"/>
      <c r="M207" s="69"/>
      <c r="N207" s="69"/>
      <c r="O207" s="69"/>
      <c r="P207" s="69"/>
      <c r="Q207" s="69"/>
      <c r="R207" s="69"/>
      <c r="S207" s="69"/>
      <c r="T207" s="69"/>
      <c r="U207" s="69"/>
      <c r="V207" s="69"/>
      <c r="W207" s="69"/>
      <c r="X207" s="69"/>
      <c r="Y207" s="69"/>
      <c r="Z207" s="69"/>
      <c r="AA207" s="69"/>
      <c r="AB207" s="69"/>
      <c r="AC207" s="69"/>
      <c r="AD207" s="69"/>
      <c r="AE207" s="69"/>
      <c r="AF207" s="69"/>
      <c r="AG207" s="69"/>
      <c r="AH207" s="69"/>
      <c r="AI207" s="69"/>
      <c r="DJ207" s="54"/>
      <c r="DL207" s="154"/>
      <c r="DM207" s="233">
        <v>42795</v>
      </c>
      <c r="DN207" s="155">
        <v>23</v>
      </c>
      <c r="DO207" s="155">
        <v>4</v>
      </c>
      <c r="DP207" s="154">
        <v>4</v>
      </c>
      <c r="DQ207" s="25">
        <v>0</v>
      </c>
      <c r="DR207" s="25">
        <v>31</v>
      </c>
      <c r="DU207" s="233">
        <v>42795</v>
      </c>
      <c r="DV207" s="155">
        <v>23</v>
      </c>
      <c r="DW207" s="155">
        <v>4</v>
      </c>
      <c r="DX207" s="154">
        <v>4</v>
      </c>
      <c r="DY207" s="25">
        <v>0</v>
      </c>
      <c r="DZ207" s="25">
        <v>31</v>
      </c>
    </row>
    <row r="208" spans="1:130" ht="12.75" x14ac:dyDescent="0.2">
      <c r="DJ208" s="54"/>
      <c r="DL208" s="154"/>
      <c r="DM208" s="233">
        <v>42826</v>
      </c>
      <c r="DN208" s="155">
        <v>19</v>
      </c>
      <c r="DO208" s="155">
        <v>5</v>
      </c>
      <c r="DP208" s="154">
        <v>5</v>
      </c>
      <c r="DQ208" s="25">
        <v>1</v>
      </c>
      <c r="DR208" s="25">
        <v>30</v>
      </c>
      <c r="DU208" s="233">
        <v>42826</v>
      </c>
      <c r="DV208" s="155">
        <v>20</v>
      </c>
      <c r="DW208" s="155">
        <v>5</v>
      </c>
      <c r="DX208" s="154">
        <v>5</v>
      </c>
      <c r="DY208" s="25">
        <v>0</v>
      </c>
      <c r="DZ208" s="25">
        <v>30</v>
      </c>
    </row>
    <row r="209" spans="114:130" ht="12.75" x14ac:dyDescent="0.2">
      <c r="DJ209" s="54"/>
      <c r="DL209" s="154"/>
      <c r="DM209" s="233">
        <v>42856</v>
      </c>
      <c r="DN209" s="155">
        <v>22</v>
      </c>
      <c r="DO209" s="155">
        <v>4</v>
      </c>
      <c r="DP209" s="154">
        <v>4</v>
      </c>
      <c r="DQ209" s="25">
        <v>1</v>
      </c>
      <c r="DR209" s="25">
        <v>31</v>
      </c>
      <c r="DU209" s="233">
        <v>42856</v>
      </c>
      <c r="DV209" s="155">
        <v>22</v>
      </c>
      <c r="DW209" s="155">
        <v>4</v>
      </c>
      <c r="DX209" s="154">
        <v>4</v>
      </c>
      <c r="DY209" s="25">
        <v>1</v>
      </c>
      <c r="DZ209" s="25">
        <v>31</v>
      </c>
    </row>
    <row r="210" spans="114:130" ht="12.75" x14ac:dyDescent="0.2">
      <c r="DJ210" s="54"/>
      <c r="DL210" s="154"/>
      <c r="DM210" s="233">
        <v>42887</v>
      </c>
      <c r="DN210" s="155">
        <v>22</v>
      </c>
      <c r="DO210" s="155">
        <v>4</v>
      </c>
      <c r="DP210" s="154">
        <v>4</v>
      </c>
      <c r="DQ210" s="25">
        <v>0</v>
      </c>
      <c r="DR210" s="25">
        <v>30</v>
      </c>
      <c r="DU210" s="233">
        <v>42887</v>
      </c>
      <c r="DV210" s="155">
        <v>22</v>
      </c>
      <c r="DW210" s="155">
        <v>4</v>
      </c>
      <c r="DX210" s="154">
        <v>4</v>
      </c>
      <c r="DY210" s="25">
        <v>0</v>
      </c>
      <c r="DZ210" s="25">
        <v>30</v>
      </c>
    </row>
    <row r="211" spans="114:130" ht="12.75" x14ac:dyDescent="0.2">
      <c r="DJ211" s="54"/>
      <c r="DL211" s="154"/>
      <c r="DM211" s="233">
        <v>42917</v>
      </c>
      <c r="DN211" s="155">
        <v>21</v>
      </c>
      <c r="DO211" s="155">
        <v>4</v>
      </c>
      <c r="DP211" s="154">
        <v>5</v>
      </c>
      <c r="DQ211" s="25">
        <v>1</v>
      </c>
      <c r="DR211" s="25">
        <v>31</v>
      </c>
      <c r="DU211" s="233">
        <v>42917</v>
      </c>
      <c r="DV211" s="155">
        <v>20</v>
      </c>
      <c r="DW211" s="155">
        <v>5</v>
      </c>
      <c r="DX211" s="154">
        <v>5</v>
      </c>
      <c r="DY211" s="25">
        <v>1</v>
      </c>
      <c r="DZ211" s="25">
        <v>31</v>
      </c>
    </row>
    <row r="212" spans="114:130" ht="12.75" x14ac:dyDescent="0.2">
      <c r="DJ212" s="54"/>
      <c r="DL212" s="154"/>
      <c r="DM212" s="233">
        <v>42948</v>
      </c>
      <c r="DN212" s="155">
        <v>22</v>
      </c>
      <c r="DO212" s="155">
        <v>4</v>
      </c>
      <c r="DP212" s="154">
        <v>4</v>
      </c>
      <c r="DQ212" s="25">
        <v>1</v>
      </c>
      <c r="DR212" s="25">
        <v>31</v>
      </c>
      <c r="DU212" s="233">
        <v>42948</v>
      </c>
      <c r="DV212" s="155">
        <v>23</v>
      </c>
      <c r="DW212" s="155">
        <v>4</v>
      </c>
      <c r="DX212" s="154">
        <v>4</v>
      </c>
      <c r="DY212" s="25">
        <v>0</v>
      </c>
      <c r="DZ212" s="25">
        <v>31</v>
      </c>
    </row>
    <row r="213" spans="114:130" ht="12.75" x14ac:dyDescent="0.2">
      <c r="DJ213" s="54"/>
      <c r="DL213" s="154"/>
      <c r="DM213" s="233">
        <v>42979</v>
      </c>
      <c r="DN213" s="155">
        <v>20</v>
      </c>
      <c r="DO213" s="155">
        <v>5</v>
      </c>
      <c r="DP213" s="154">
        <v>4</v>
      </c>
      <c r="DQ213" s="25">
        <v>1</v>
      </c>
      <c r="DR213" s="25">
        <v>30</v>
      </c>
      <c r="DU213" s="233">
        <v>42979</v>
      </c>
      <c r="DV213" s="155">
        <v>20</v>
      </c>
      <c r="DW213" s="155">
        <v>5</v>
      </c>
      <c r="DX213" s="154">
        <v>4</v>
      </c>
      <c r="DY213" s="25">
        <v>1</v>
      </c>
      <c r="DZ213" s="25">
        <v>30</v>
      </c>
    </row>
    <row r="214" spans="114:130" ht="12.75" x14ac:dyDescent="0.2">
      <c r="DJ214" s="54"/>
      <c r="DL214" s="154"/>
      <c r="DM214" s="233">
        <v>43009</v>
      </c>
      <c r="DN214" s="155">
        <v>21</v>
      </c>
      <c r="DO214" s="155">
        <v>4</v>
      </c>
      <c r="DP214" s="154">
        <v>5</v>
      </c>
      <c r="DQ214" s="25">
        <v>1</v>
      </c>
      <c r="DR214" s="25">
        <v>31</v>
      </c>
      <c r="DU214" s="233">
        <v>43009</v>
      </c>
      <c r="DV214" s="155">
        <v>22</v>
      </c>
      <c r="DW214" s="155">
        <v>4</v>
      </c>
      <c r="DX214" s="154">
        <v>5</v>
      </c>
      <c r="DY214" s="25">
        <v>0</v>
      </c>
      <c r="DZ214" s="25">
        <v>31</v>
      </c>
    </row>
    <row r="215" spans="114:130" ht="12.75" x14ac:dyDescent="0.2">
      <c r="DJ215" s="54"/>
      <c r="DL215" s="154"/>
      <c r="DM215" s="233">
        <v>43040</v>
      </c>
      <c r="DN215" s="155">
        <v>22</v>
      </c>
      <c r="DO215" s="155">
        <v>3</v>
      </c>
      <c r="DP215" s="154">
        <v>4</v>
      </c>
      <c r="DQ215" s="25">
        <v>1</v>
      </c>
      <c r="DR215" s="25">
        <v>30</v>
      </c>
      <c r="DU215" s="233">
        <v>43040</v>
      </c>
      <c r="DV215" s="155">
        <v>21</v>
      </c>
      <c r="DW215" s="155">
        <v>4</v>
      </c>
      <c r="DX215" s="154">
        <v>4</v>
      </c>
      <c r="DY215" s="25">
        <v>1</v>
      </c>
      <c r="DZ215" s="25">
        <v>30</v>
      </c>
    </row>
    <row r="216" spans="114:130" ht="12.75" x14ac:dyDescent="0.2">
      <c r="DJ216" s="54"/>
      <c r="DL216" s="154"/>
      <c r="DM216" s="233">
        <v>43070</v>
      </c>
      <c r="DN216" s="155">
        <v>19</v>
      </c>
      <c r="DO216" s="155">
        <v>5</v>
      </c>
      <c r="DP216" s="154">
        <v>5</v>
      </c>
      <c r="DQ216" s="25">
        <v>2</v>
      </c>
      <c r="DR216" s="25">
        <v>31</v>
      </c>
      <c r="DU216" s="233">
        <v>43070</v>
      </c>
      <c r="DV216" s="155">
        <v>20</v>
      </c>
      <c r="DW216" s="155">
        <v>5</v>
      </c>
      <c r="DX216" s="154">
        <v>5</v>
      </c>
      <c r="DY216" s="25">
        <v>1</v>
      </c>
      <c r="DZ216" s="25">
        <v>31</v>
      </c>
    </row>
    <row r="217" spans="114:130" ht="12.75" x14ac:dyDescent="0.2">
      <c r="DJ217" s="54"/>
      <c r="DL217" s="154"/>
      <c r="DM217" s="233">
        <v>43101</v>
      </c>
      <c r="DN217" s="155">
        <v>22</v>
      </c>
      <c r="DO217" s="155">
        <v>4</v>
      </c>
      <c r="DP217" s="154">
        <v>4</v>
      </c>
      <c r="DQ217" s="25">
        <v>1</v>
      </c>
      <c r="DR217" s="25">
        <v>31</v>
      </c>
      <c r="DU217" s="233">
        <v>43101</v>
      </c>
      <c r="DV217" s="155">
        <v>22</v>
      </c>
      <c r="DW217" s="155">
        <v>4</v>
      </c>
      <c r="DX217" s="154">
        <v>4</v>
      </c>
      <c r="DY217" s="25">
        <v>1</v>
      </c>
      <c r="DZ217" s="25">
        <v>31</v>
      </c>
    </row>
    <row r="218" spans="114:130" ht="12.75" x14ac:dyDescent="0.2">
      <c r="DJ218" s="54"/>
      <c r="DL218" s="154"/>
      <c r="DM218" s="233">
        <v>43132</v>
      </c>
      <c r="DN218" s="155">
        <v>19</v>
      </c>
      <c r="DO218" s="155">
        <v>4</v>
      </c>
      <c r="DP218" s="154">
        <v>4</v>
      </c>
      <c r="DQ218" s="25">
        <v>1</v>
      </c>
      <c r="DR218" s="25">
        <v>28</v>
      </c>
      <c r="DU218" s="233">
        <v>43132</v>
      </c>
      <c r="DV218" s="155">
        <v>20</v>
      </c>
      <c r="DW218" s="155">
        <v>4</v>
      </c>
      <c r="DX218" s="154">
        <v>4</v>
      </c>
      <c r="DY218" s="25">
        <v>0</v>
      </c>
      <c r="DZ218" s="25">
        <v>28</v>
      </c>
    </row>
    <row r="219" spans="114:130" ht="12.75" x14ac:dyDescent="0.2">
      <c r="DJ219" s="54"/>
      <c r="DL219" s="154"/>
      <c r="DM219" s="233">
        <v>43160</v>
      </c>
      <c r="DN219" s="155">
        <v>21</v>
      </c>
      <c r="DO219" s="155">
        <v>5</v>
      </c>
      <c r="DP219" s="154">
        <v>4</v>
      </c>
      <c r="DQ219" s="25">
        <v>1</v>
      </c>
      <c r="DR219" s="25">
        <v>31</v>
      </c>
      <c r="DU219" s="233">
        <v>43160</v>
      </c>
      <c r="DV219" s="155">
        <v>22</v>
      </c>
      <c r="DW219" s="155">
        <v>5</v>
      </c>
      <c r="DX219" s="154">
        <v>4</v>
      </c>
      <c r="DY219" s="25">
        <v>0</v>
      </c>
      <c r="DZ219" s="25">
        <v>31</v>
      </c>
    </row>
    <row r="220" spans="114:130" ht="12.75" x14ac:dyDescent="0.2">
      <c r="DJ220" s="54"/>
      <c r="DL220" s="154"/>
      <c r="DM220" s="233">
        <v>43191</v>
      </c>
      <c r="DN220" s="155">
        <v>21</v>
      </c>
      <c r="DO220" s="155">
        <v>4</v>
      </c>
      <c r="DP220" s="154">
        <v>5</v>
      </c>
      <c r="DQ220" s="25">
        <v>0</v>
      </c>
      <c r="DR220" s="25">
        <v>30</v>
      </c>
      <c r="DU220" s="233">
        <v>43191</v>
      </c>
      <c r="DV220" s="155">
        <v>21</v>
      </c>
      <c r="DW220" s="155">
        <v>4</v>
      </c>
      <c r="DX220" s="154">
        <v>5</v>
      </c>
      <c r="DY220" s="25">
        <v>0</v>
      </c>
      <c r="DZ220" s="25">
        <v>30</v>
      </c>
    </row>
    <row r="221" spans="114:130" ht="12.75" x14ac:dyDescent="0.2">
      <c r="DJ221" s="54"/>
      <c r="DL221" s="154"/>
      <c r="DM221" s="233">
        <v>43221</v>
      </c>
      <c r="DN221" s="155">
        <v>22</v>
      </c>
      <c r="DO221" s="155">
        <v>4</v>
      </c>
      <c r="DP221" s="154">
        <v>4</v>
      </c>
      <c r="DQ221" s="25">
        <v>1</v>
      </c>
      <c r="DR221" s="25">
        <v>31</v>
      </c>
      <c r="DU221" s="233">
        <v>43221</v>
      </c>
      <c r="DV221" s="155">
        <v>22</v>
      </c>
      <c r="DW221" s="155">
        <v>4</v>
      </c>
      <c r="DX221" s="154">
        <v>4</v>
      </c>
      <c r="DY221" s="25">
        <v>1</v>
      </c>
      <c r="DZ221" s="25">
        <v>31</v>
      </c>
    </row>
    <row r="222" spans="114:130" ht="12.75" x14ac:dyDescent="0.2">
      <c r="DJ222" s="54"/>
      <c r="DL222" s="154"/>
      <c r="DM222" s="233">
        <v>43252</v>
      </c>
      <c r="DN222" s="155">
        <v>21</v>
      </c>
      <c r="DO222" s="155">
        <v>5</v>
      </c>
      <c r="DP222" s="154">
        <v>4</v>
      </c>
      <c r="DQ222" s="25">
        <v>0</v>
      </c>
      <c r="DR222" s="25">
        <v>30</v>
      </c>
      <c r="DU222" s="233">
        <v>43252</v>
      </c>
      <c r="DV222" s="155">
        <v>21</v>
      </c>
      <c r="DW222" s="155">
        <v>5</v>
      </c>
      <c r="DX222" s="154">
        <v>4</v>
      </c>
      <c r="DY222" s="25">
        <v>0</v>
      </c>
      <c r="DZ222" s="25">
        <v>30</v>
      </c>
    </row>
    <row r="223" spans="114:130" ht="12.75" x14ac:dyDescent="0.2">
      <c r="DJ223" s="54"/>
      <c r="DL223" s="154"/>
      <c r="DM223" s="233">
        <v>43282</v>
      </c>
      <c r="DN223" s="155">
        <v>21</v>
      </c>
      <c r="DO223" s="155">
        <v>4</v>
      </c>
      <c r="DP223" s="154">
        <v>5</v>
      </c>
      <c r="DQ223" s="25">
        <v>1</v>
      </c>
      <c r="DR223" s="25">
        <v>31</v>
      </c>
      <c r="DU223" s="233">
        <v>43282</v>
      </c>
      <c r="DV223" s="155">
        <v>21</v>
      </c>
      <c r="DW223" s="155">
        <v>4</v>
      </c>
      <c r="DX223" s="154">
        <v>5</v>
      </c>
      <c r="DY223" s="25">
        <v>1</v>
      </c>
      <c r="DZ223" s="25">
        <v>31</v>
      </c>
    </row>
    <row r="224" spans="114:130" ht="12.75" x14ac:dyDescent="0.2">
      <c r="DJ224" s="54"/>
      <c r="DL224" s="154"/>
      <c r="DM224" s="233">
        <v>43313</v>
      </c>
      <c r="DN224" s="155">
        <v>22</v>
      </c>
      <c r="DO224" s="155">
        <v>4</v>
      </c>
      <c r="DP224" s="154">
        <v>4</v>
      </c>
      <c r="DQ224" s="25">
        <v>1</v>
      </c>
      <c r="DR224" s="25">
        <v>31</v>
      </c>
      <c r="DU224" s="233">
        <v>43313</v>
      </c>
      <c r="DV224" s="155">
        <v>23</v>
      </c>
      <c r="DW224" s="155">
        <v>4</v>
      </c>
      <c r="DX224" s="154">
        <v>4</v>
      </c>
      <c r="DY224" s="25">
        <v>0</v>
      </c>
      <c r="DZ224" s="25">
        <v>31</v>
      </c>
    </row>
    <row r="225" spans="114:130" ht="12.75" x14ac:dyDescent="0.2">
      <c r="DJ225" s="54"/>
      <c r="DL225" s="154"/>
      <c r="DM225" s="233">
        <v>43344</v>
      </c>
      <c r="DN225" s="155">
        <v>19</v>
      </c>
      <c r="DO225" s="155">
        <v>5</v>
      </c>
      <c r="DP225" s="154">
        <v>5</v>
      </c>
      <c r="DQ225" s="25">
        <v>1</v>
      </c>
      <c r="DR225" s="25">
        <v>30</v>
      </c>
      <c r="DU225" s="233">
        <v>43344</v>
      </c>
      <c r="DV225" s="155">
        <v>19</v>
      </c>
      <c r="DW225" s="155">
        <v>5</v>
      </c>
      <c r="DX225" s="154">
        <v>5</v>
      </c>
      <c r="DY225" s="25">
        <v>1</v>
      </c>
      <c r="DZ225" s="25">
        <v>30</v>
      </c>
    </row>
    <row r="226" spans="114:130" ht="12.75" x14ac:dyDescent="0.2">
      <c r="DJ226" s="54"/>
      <c r="DL226" s="154"/>
      <c r="DM226" s="233">
        <v>43374</v>
      </c>
      <c r="DN226" s="155">
        <v>22</v>
      </c>
      <c r="DO226" s="155">
        <v>4</v>
      </c>
      <c r="DP226" s="154">
        <v>4</v>
      </c>
      <c r="DQ226" s="25">
        <v>1</v>
      </c>
      <c r="DR226" s="25">
        <v>31</v>
      </c>
      <c r="DU226" s="233">
        <v>43374</v>
      </c>
      <c r="DV226" s="155">
        <v>23</v>
      </c>
      <c r="DW226" s="155">
        <v>4</v>
      </c>
      <c r="DX226" s="154">
        <v>4</v>
      </c>
      <c r="DY226" s="25">
        <v>0</v>
      </c>
      <c r="DZ226" s="25">
        <v>31</v>
      </c>
    </row>
    <row r="227" spans="114:130" ht="12.75" x14ac:dyDescent="0.2">
      <c r="DJ227" s="54"/>
      <c r="DL227" s="154"/>
      <c r="DM227" s="233">
        <v>43405</v>
      </c>
      <c r="DN227" s="155">
        <v>21</v>
      </c>
      <c r="DO227" s="155">
        <v>4</v>
      </c>
      <c r="DP227" s="154">
        <v>4</v>
      </c>
      <c r="DQ227" s="25">
        <v>1</v>
      </c>
      <c r="DR227" s="25">
        <v>30</v>
      </c>
      <c r="DU227" s="233">
        <v>43405</v>
      </c>
      <c r="DV227" s="155">
        <v>21</v>
      </c>
      <c r="DW227" s="155">
        <v>4</v>
      </c>
      <c r="DX227" s="154">
        <v>4</v>
      </c>
      <c r="DY227" s="25">
        <v>1</v>
      </c>
      <c r="DZ227" s="25">
        <v>30</v>
      </c>
    </row>
    <row r="228" spans="114:130" ht="12.75" x14ac:dyDescent="0.2">
      <c r="DJ228" s="54"/>
      <c r="DL228" s="154"/>
      <c r="DM228" s="233">
        <v>43435</v>
      </c>
      <c r="DN228" s="155">
        <v>19</v>
      </c>
      <c r="DO228" s="155">
        <v>5</v>
      </c>
      <c r="DP228" s="154">
        <v>5</v>
      </c>
      <c r="DQ228" s="25">
        <v>2</v>
      </c>
      <c r="DR228" s="25">
        <v>31</v>
      </c>
      <c r="DU228" s="233">
        <v>43435</v>
      </c>
      <c r="DV228" s="155">
        <v>20</v>
      </c>
      <c r="DW228" s="155">
        <v>5</v>
      </c>
      <c r="DX228" s="154">
        <v>5</v>
      </c>
      <c r="DY228" s="25">
        <v>1</v>
      </c>
      <c r="DZ228" s="25">
        <v>31</v>
      </c>
    </row>
    <row r="229" spans="114:130" ht="12.75" x14ac:dyDescent="0.2">
      <c r="DJ229" s="54"/>
      <c r="DL229" s="154"/>
      <c r="DM229" s="233">
        <v>43466</v>
      </c>
      <c r="DN229" s="155">
        <v>22</v>
      </c>
      <c r="DO229" s="155">
        <v>4</v>
      </c>
      <c r="DP229" s="154">
        <v>4</v>
      </c>
      <c r="DQ229" s="25">
        <v>1</v>
      </c>
      <c r="DR229" s="25">
        <v>31</v>
      </c>
      <c r="DU229" s="233">
        <v>43466</v>
      </c>
      <c r="DV229" s="155">
        <v>22</v>
      </c>
      <c r="DW229" s="155">
        <v>4</v>
      </c>
      <c r="DX229" s="154">
        <v>4</v>
      </c>
      <c r="DY229" s="25">
        <v>1</v>
      </c>
      <c r="DZ229" s="25">
        <v>31</v>
      </c>
    </row>
    <row r="230" spans="114:130" ht="12.75" x14ac:dyDescent="0.2">
      <c r="DJ230" s="54"/>
      <c r="DL230" s="154"/>
      <c r="DM230" s="233">
        <v>43497</v>
      </c>
      <c r="DN230" s="155">
        <v>19</v>
      </c>
      <c r="DO230" s="155">
        <v>4</v>
      </c>
      <c r="DP230" s="154">
        <v>4</v>
      </c>
      <c r="DQ230" s="25">
        <v>1</v>
      </c>
      <c r="DR230" s="25">
        <v>28</v>
      </c>
      <c r="DU230" s="233">
        <v>43497</v>
      </c>
      <c r="DV230" s="155">
        <v>20</v>
      </c>
      <c r="DW230" s="155">
        <v>4</v>
      </c>
      <c r="DX230" s="154">
        <v>4</v>
      </c>
      <c r="DY230" s="25">
        <v>0</v>
      </c>
      <c r="DZ230" s="25">
        <v>28</v>
      </c>
    </row>
    <row r="231" spans="114:130" ht="12.75" x14ac:dyDescent="0.2">
      <c r="DJ231" s="54"/>
      <c r="DL231" s="154"/>
      <c r="DM231" s="233">
        <v>43525</v>
      </c>
      <c r="DN231" s="155">
        <v>21</v>
      </c>
      <c r="DO231" s="155">
        <v>5</v>
      </c>
      <c r="DP231" s="154">
        <v>5</v>
      </c>
      <c r="DQ231" s="25">
        <v>0</v>
      </c>
      <c r="DR231" s="25">
        <v>31</v>
      </c>
      <c r="DU231" s="233">
        <v>43525</v>
      </c>
      <c r="DV231" s="155">
        <v>21</v>
      </c>
      <c r="DW231" s="155">
        <v>5</v>
      </c>
      <c r="DX231" s="154">
        <v>5</v>
      </c>
      <c r="DY231" s="25">
        <v>0</v>
      </c>
      <c r="DZ231" s="25">
        <v>31</v>
      </c>
    </row>
    <row r="232" spans="114:130" ht="12.75" x14ac:dyDescent="0.2">
      <c r="DJ232" s="54"/>
      <c r="DL232" s="154"/>
      <c r="DM232" s="233">
        <v>43556</v>
      </c>
      <c r="DN232" s="155">
        <v>21</v>
      </c>
      <c r="DO232" s="155">
        <v>4</v>
      </c>
      <c r="DP232" s="154">
        <v>4</v>
      </c>
      <c r="DQ232" s="25">
        <v>1</v>
      </c>
      <c r="DR232" s="25">
        <v>30</v>
      </c>
      <c r="DU232" s="233">
        <v>43556</v>
      </c>
      <c r="DV232" s="155">
        <v>22</v>
      </c>
      <c r="DW232" s="155">
        <v>4</v>
      </c>
      <c r="DX232" s="154">
        <v>4</v>
      </c>
      <c r="DY232" s="25">
        <v>0</v>
      </c>
      <c r="DZ232" s="25">
        <v>30</v>
      </c>
    </row>
    <row r="233" spans="114:130" ht="12.75" x14ac:dyDescent="0.2">
      <c r="DJ233" s="54"/>
      <c r="DL233" s="154"/>
      <c r="DM233" s="233">
        <v>43586</v>
      </c>
      <c r="DN233" s="155">
        <v>22</v>
      </c>
      <c r="DO233" s="155">
        <v>4</v>
      </c>
      <c r="DP233" s="154">
        <v>4</v>
      </c>
      <c r="DQ233" s="25">
        <v>1</v>
      </c>
      <c r="DR233" s="25">
        <v>31</v>
      </c>
      <c r="DU233" s="233">
        <v>43586</v>
      </c>
      <c r="DV233" s="155">
        <v>22</v>
      </c>
      <c r="DW233" s="155">
        <v>4</v>
      </c>
      <c r="DX233" s="154">
        <v>4</v>
      </c>
      <c r="DY233" s="25">
        <v>1</v>
      </c>
      <c r="DZ233" s="25">
        <v>31</v>
      </c>
    </row>
    <row r="234" spans="114:130" ht="12.75" x14ac:dyDescent="0.2">
      <c r="DJ234" s="54"/>
      <c r="DL234" s="154"/>
      <c r="DM234" s="233">
        <v>43617</v>
      </c>
      <c r="DN234" s="155">
        <v>20</v>
      </c>
      <c r="DO234" s="155">
        <v>5</v>
      </c>
      <c r="DP234" s="154">
        <v>5</v>
      </c>
      <c r="DQ234" s="25">
        <v>0</v>
      </c>
      <c r="DR234" s="25">
        <v>30</v>
      </c>
      <c r="DU234" s="233">
        <v>43617</v>
      </c>
      <c r="DV234" s="155">
        <v>20</v>
      </c>
      <c r="DW234" s="155">
        <v>5</v>
      </c>
      <c r="DX234" s="154">
        <v>5</v>
      </c>
      <c r="DY234" s="25">
        <v>0</v>
      </c>
      <c r="DZ234" s="25">
        <v>30</v>
      </c>
    </row>
    <row r="235" spans="114:130" ht="12.75" x14ac:dyDescent="0.2">
      <c r="DJ235" s="54"/>
      <c r="DL235" s="154"/>
      <c r="DM235" s="233">
        <v>43647</v>
      </c>
      <c r="DN235" s="155">
        <v>22</v>
      </c>
      <c r="DO235" s="155">
        <v>4</v>
      </c>
      <c r="DP235" s="154">
        <v>4</v>
      </c>
      <c r="DQ235" s="25">
        <v>1</v>
      </c>
      <c r="DR235" s="25">
        <v>31</v>
      </c>
      <c r="DU235" s="233">
        <v>43647</v>
      </c>
      <c r="DV235" s="155">
        <v>22</v>
      </c>
      <c r="DW235" s="155">
        <v>4</v>
      </c>
      <c r="DX235" s="154">
        <v>4</v>
      </c>
      <c r="DY235" s="25">
        <v>1</v>
      </c>
      <c r="DZ235" s="25">
        <v>31</v>
      </c>
    </row>
    <row r="236" spans="114:130" ht="12.75" x14ac:dyDescent="0.2">
      <c r="DJ236" s="54"/>
      <c r="DL236" s="154"/>
      <c r="DM236" s="233">
        <v>43678</v>
      </c>
      <c r="DN236" s="155">
        <v>21</v>
      </c>
      <c r="DO236" s="155">
        <v>5</v>
      </c>
      <c r="DP236" s="154">
        <v>4</v>
      </c>
      <c r="DQ236" s="25">
        <v>1</v>
      </c>
      <c r="DR236" s="25">
        <v>31</v>
      </c>
      <c r="DU236" s="233">
        <v>43678</v>
      </c>
      <c r="DV236" s="155">
        <v>22</v>
      </c>
      <c r="DW236" s="155">
        <v>5</v>
      </c>
      <c r="DX236" s="154">
        <v>4</v>
      </c>
      <c r="DY236" s="25">
        <v>0</v>
      </c>
      <c r="DZ236" s="25">
        <v>31</v>
      </c>
    </row>
    <row r="237" spans="114:130" ht="12.75" x14ac:dyDescent="0.2">
      <c r="DJ237" s="54"/>
      <c r="DL237" s="154"/>
      <c r="DM237" s="233">
        <v>43709</v>
      </c>
      <c r="DN237" s="155">
        <v>20</v>
      </c>
      <c r="DO237" s="155">
        <v>4</v>
      </c>
      <c r="DP237" s="154">
        <v>5</v>
      </c>
      <c r="DQ237" s="25">
        <v>1</v>
      </c>
      <c r="DR237" s="25">
        <v>30</v>
      </c>
      <c r="DU237" s="233">
        <v>43709</v>
      </c>
      <c r="DV237" s="155">
        <v>20</v>
      </c>
      <c r="DW237" s="155">
        <v>4</v>
      </c>
      <c r="DX237" s="154">
        <v>5</v>
      </c>
      <c r="DY237" s="25">
        <v>1</v>
      </c>
      <c r="DZ237" s="25">
        <v>30</v>
      </c>
    </row>
    <row r="238" spans="114:130" ht="12.75" x14ac:dyDescent="0.2">
      <c r="DJ238" s="54"/>
      <c r="DL238" s="154"/>
      <c r="DM238" s="233">
        <v>43739</v>
      </c>
      <c r="DN238" s="155">
        <v>22</v>
      </c>
      <c r="DO238" s="155">
        <v>4</v>
      </c>
      <c r="DP238" s="154">
        <v>4</v>
      </c>
      <c r="DQ238" s="25">
        <v>1</v>
      </c>
      <c r="DR238" s="25">
        <v>31</v>
      </c>
      <c r="DU238" s="233">
        <v>43739</v>
      </c>
      <c r="DV238" s="155">
        <v>23</v>
      </c>
      <c r="DW238" s="155">
        <v>4</v>
      </c>
      <c r="DX238" s="154">
        <v>4</v>
      </c>
      <c r="DY238" s="25">
        <v>0</v>
      </c>
      <c r="DZ238" s="25">
        <v>31</v>
      </c>
    </row>
    <row r="239" spans="114:130" ht="12.75" x14ac:dyDescent="0.2">
      <c r="DJ239" s="54"/>
      <c r="DL239" s="154"/>
      <c r="DM239" s="233">
        <v>43770</v>
      </c>
      <c r="DN239" s="155">
        <v>20</v>
      </c>
      <c r="DO239" s="155">
        <v>5</v>
      </c>
      <c r="DP239" s="154">
        <v>4</v>
      </c>
      <c r="DQ239" s="25">
        <v>1</v>
      </c>
      <c r="DR239" s="25">
        <v>30</v>
      </c>
      <c r="DU239" s="233">
        <v>43770</v>
      </c>
      <c r="DV239" s="155">
        <v>20</v>
      </c>
      <c r="DW239" s="155">
        <v>5</v>
      </c>
      <c r="DX239" s="154">
        <v>4</v>
      </c>
      <c r="DY239" s="25">
        <v>1</v>
      </c>
      <c r="DZ239" s="25">
        <v>30</v>
      </c>
    </row>
    <row r="240" spans="114:130" ht="12.75" x14ac:dyDescent="0.2">
      <c r="DJ240" s="54"/>
      <c r="DL240" s="154"/>
      <c r="DM240" s="233">
        <v>43800</v>
      </c>
      <c r="DN240" s="155">
        <v>20</v>
      </c>
      <c r="DO240" s="155">
        <v>4</v>
      </c>
      <c r="DP240" s="154">
        <v>5</v>
      </c>
      <c r="DQ240" s="25">
        <v>2</v>
      </c>
      <c r="DR240" s="25">
        <v>31</v>
      </c>
      <c r="DU240" s="233">
        <v>43800</v>
      </c>
      <c r="DV240" s="155">
        <v>21</v>
      </c>
      <c r="DW240" s="155">
        <v>4</v>
      </c>
      <c r="DX240" s="154">
        <v>5</v>
      </c>
      <c r="DY240" s="25">
        <v>1</v>
      </c>
      <c r="DZ240" s="25">
        <v>31</v>
      </c>
    </row>
    <row r="241" spans="114:130" ht="12.75" x14ac:dyDescent="0.2">
      <c r="DJ241" s="54"/>
      <c r="DL241" s="154"/>
      <c r="DM241" s="233">
        <v>43831</v>
      </c>
      <c r="DN241" s="155">
        <v>22</v>
      </c>
      <c r="DO241" s="155">
        <v>4</v>
      </c>
      <c r="DP241" s="154">
        <v>4</v>
      </c>
      <c r="DQ241" s="25">
        <v>1</v>
      </c>
      <c r="DR241" s="25">
        <v>31</v>
      </c>
      <c r="DU241" s="233">
        <v>43831</v>
      </c>
      <c r="DV241" s="155">
        <v>22</v>
      </c>
      <c r="DW241" s="155">
        <v>4</v>
      </c>
      <c r="DX241" s="154">
        <v>4</v>
      </c>
      <c r="DY241" s="25">
        <v>1</v>
      </c>
      <c r="DZ241" s="25">
        <v>31</v>
      </c>
    </row>
    <row r="242" spans="114:130" ht="12.75" x14ac:dyDescent="0.2">
      <c r="DJ242" s="54"/>
      <c r="DL242" s="154"/>
      <c r="DM242" s="233">
        <v>43862</v>
      </c>
      <c r="DN242" s="155">
        <v>19</v>
      </c>
      <c r="DO242" s="155">
        <v>5</v>
      </c>
      <c r="DP242" s="154">
        <v>4</v>
      </c>
      <c r="DQ242" s="25">
        <v>1</v>
      </c>
      <c r="DR242" s="25">
        <v>29</v>
      </c>
      <c r="DU242" s="233">
        <v>43862</v>
      </c>
      <c r="DV242" s="155">
        <v>20</v>
      </c>
      <c r="DW242" s="155">
        <v>5</v>
      </c>
      <c r="DX242" s="154">
        <v>4</v>
      </c>
      <c r="DY242" s="25">
        <v>0</v>
      </c>
      <c r="DZ242" s="25">
        <v>29</v>
      </c>
    </row>
    <row r="243" spans="114:130" ht="12.75" x14ac:dyDescent="0.2">
      <c r="DJ243" s="54"/>
      <c r="DL243" s="154"/>
      <c r="DM243" s="233">
        <v>43891</v>
      </c>
      <c r="DN243" s="155">
        <v>22</v>
      </c>
      <c r="DO243" s="155">
        <v>4</v>
      </c>
      <c r="DP243" s="154">
        <v>5</v>
      </c>
      <c r="DQ243" s="25">
        <v>0</v>
      </c>
      <c r="DR243" s="25">
        <v>31</v>
      </c>
      <c r="DU243" s="233">
        <v>43891</v>
      </c>
      <c r="DV243" s="155">
        <v>22</v>
      </c>
      <c r="DW243" s="155">
        <v>4</v>
      </c>
      <c r="DX243" s="154">
        <v>5</v>
      </c>
      <c r="DY243" s="25">
        <v>0</v>
      </c>
      <c r="DZ243" s="25">
        <v>31</v>
      </c>
    </row>
    <row r="244" spans="114:130" ht="12.75" x14ac:dyDescent="0.2">
      <c r="DJ244" s="54"/>
      <c r="DL244" s="154"/>
      <c r="DM244" s="233">
        <v>43922</v>
      </c>
      <c r="DN244" s="155">
        <v>21</v>
      </c>
      <c r="DO244" s="155">
        <v>4</v>
      </c>
      <c r="DP244" s="154">
        <v>4</v>
      </c>
      <c r="DQ244" s="25">
        <v>1</v>
      </c>
      <c r="DR244" s="25">
        <v>30</v>
      </c>
      <c r="DU244" s="233">
        <v>43922</v>
      </c>
      <c r="DV244" s="155">
        <v>22</v>
      </c>
      <c r="DW244" s="155">
        <v>4</v>
      </c>
      <c r="DX244" s="154">
        <v>4</v>
      </c>
      <c r="DY244" s="25">
        <v>0</v>
      </c>
      <c r="DZ244" s="25">
        <v>30</v>
      </c>
    </row>
    <row r="245" spans="114:130" ht="12.75" x14ac:dyDescent="0.2">
      <c r="DJ245" s="54"/>
      <c r="DL245" s="154"/>
      <c r="DM245" s="233">
        <v>43952</v>
      </c>
      <c r="DN245" s="155">
        <v>20</v>
      </c>
      <c r="DO245" s="155">
        <v>5</v>
      </c>
      <c r="DP245" s="154">
        <v>5</v>
      </c>
      <c r="DQ245" s="25">
        <v>1</v>
      </c>
      <c r="DR245" s="25">
        <v>31</v>
      </c>
      <c r="DU245" s="233">
        <v>43952</v>
      </c>
      <c r="DV245" s="155">
        <v>20</v>
      </c>
      <c r="DW245" s="155">
        <v>5</v>
      </c>
      <c r="DX245" s="154">
        <v>5</v>
      </c>
      <c r="DY245" s="25">
        <v>1</v>
      </c>
      <c r="DZ245" s="25">
        <v>31</v>
      </c>
    </row>
    <row r="246" spans="114:130" ht="12.75" x14ac:dyDescent="0.2">
      <c r="DJ246" s="54"/>
      <c r="DL246" s="154"/>
      <c r="DM246" s="233">
        <v>43983</v>
      </c>
      <c r="DN246" s="155">
        <v>22</v>
      </c>
      <c r="DO246" s="155">
        <v>4</v>
      </c>
      <c r="DP246" s="154">
        <v>4</v>
      </c>
      <c r="DQ246" s="25">
        <v>0</v>
      </c>
      <c r="DR246" s="25">
        <v>30</v>
      </c>
      <c r="DU246" s="233">
        <v>43983</v>
      </c>
      <c r="DV246" s="155">
        <v>22</v>
      </c>
      <c r="DW246" s="155">
        <v>4</v>
      </c>
      <c r="DX246" s="154">
        <v>4</v>
      </c>
      <c r="DY246" s="25">
        <v>0</v>
      </c>
      <c r="DZ246" s="25">
        <v>30</v>
      </c>
    </row>
    <row r="247" spans="114:130" ht="12.75" x14ac:dyDescent="0.2">
      <c r="DJ247" s="54"/>
      <c r="DL247" s="154"/>
      <c r="DM247" s="233">
        <v>44013</v>
      </c>
      <c r="DN247" s="155">
        <v>22</v>
      </c>
      <c r="DO247" s="155">
        <v>4</v>
      </c>
      <c r="DP247" s="154">
        <v>4</v>
      </c>
      <c r="DQ247" s="25">
        <v>1</v>
      </c>
      <c r="DR247" s="25">
        <v>31</v>
      </c>
      <c r="DU247" s="233">
        <v>44013</v>
      </c>
      <c r="DV247" s="155">
        <v>23</v>
      </c>
      <c r="DW247" s="155">
        <v>3</v>
      </c>
      <c r="DX247" s="154">
        <v>4</v>
      </c>
      <c r="DY247" s="25">
        <v>1</v>
      </c>
      <c r="DZ247" s="25">
        <v>31</v>
      </c>
    </row>
    <row r="248" spans="114:130" ht="12.75" x14ac:dyDescent="0.2">
      <c r="DJ248" s="54"/>
      <c r="DL248" s="154"/>
      <c r="DM248" s="233">
        <v>44044</v>
      </c>
      <c r="DN248" s="155">
        <v>20</v>
      </c>
      <c r="DO248" s="155">
        <v>5</v>
      </c>
      <c r="DP248" s="154">
        <v>5</v>
      </c>
      <c r="DQ248" s="25">
        <v>1</v>
      </c>
      <c r="DR248" s="25">
        <v>31</v>
      </c>
      <c r="DU248" s="233">
        <v>44044</v>
      </c>
      <c r="DV248" s="155">
        <v>21</v>
      </c>
      <c r="DW248" s="155">
        <v>5</v>
      </c>
      <c r="DX248" s="154">
        <v>5</v>
      </c>
      <c r="DY248" s="25">
        <v>0</v>
      </c>
      <c r="DZ248" s="25">
        <v>31</v>
      </c>
    </row>
    <row r="249" spans="114:130" ht="12.75" x14ac:dyDescent="0.2">
      <c r="DJ249" s="54"/>
      <c r="DL249" s="154"/>
      <c r="DM249" s="233">
        <v>44075</v>
      </c>
      <c r="DN249" s="155">
        <v>21</v>
      </c>
      <c r="DO249" s="155">
        <v>4</v>
      </c>
      <c r="DP249" s="154">
        <v>4</v>
      </c>
      <c r="DQ249" s="25">
        <v>1</v>
      </c>
      <c r="DR249" s="25">
        <v>30</v>
      </c>
      <c r="DU249" s="233">
        <v>44075</v>
      </c>
      <c r="DV249" s="155">
        <v>21</v>
      </c>
      <c r="DW249" s="155">
        <v>4</v>
      </c>
      <c r="DX249" s="154">
        <v>4</v>
      </c>
      <c r="DY249" s="25">
        <v>1</v>
      </c>
      <c r="DZ249" s="25">
        <v>30</v>
      </c>
    </row>
    <row r="250" spans="114:130" ht="12.75" x14ac:dyDescent="0.2">
      <c r="DJ250" s="54"/>
      <c r="DL250" s="154"/>
      <c r="DM250" s="233">
        <v>44105</v>
      </c>
      <c r="DN250" s="155">
        <v>21</v>
      </c>
      <c r="DO250" s="155">
        <v>5</v>
      </c>
      <c r="DP250" s="154">
        <v>4</v>
      </c>
      <c r="DQ250" s="25">
        <v>1</v>
      </c>
      <c r="DR250" s="25">
        <v>31</v>
      </c>
      <c r="DU250" s="233">
        <v>44105</v>
      </c>
      <c r="DV250" s="155">
        <v>22</v>
      </c>
      <c r="DW250" s="155">
        <v>5</v>
      </c>
      <c r="DX250" s="154">
        <v>4</v>
      </c>
      <c r="DY250" s="25">
        <v>0</v>
      </c>
      <c r="DZ250" s="25">
        <v>31</v>
      </c>
    </row>
    <row r="251" spans="114:130" ht="12.75" x14ac:dyDescent="0.2">
      <c r="DJ251" s="54"/>
      <c r="DL251" s="154"/>
      <c r="DM251" s="233">
        <v>44136</v>
      </c>
      <c r="DN251" s="155">
        <v>20</v>
      </c>
      <c r="DO251" s="155">
        <v>4</v>
      </c>
      <c r="DP251" s="154">
        <v>5</v>
      </c>
      <c r="DQ251" s="25">
        <v>1</v>
      </c>
      <c r="DR251" s="25">
        <v>30</v>
      </c>
      <c r="DU251" s="233">
        <v>44136</v>
      </c>
      <c r="DV251" s="155">
        <v>20</v>
      </c>
      <c r="DW251" s="155">
        <v>4</v>
      </c>
      <c r="DX251" s="154">
        <v>5</v>
      </c>
      <c r="DY251" s="25">
        <v>1</v>
      </c>
      <c r="DZ251" s="25">
        <v>30</v>
      </c>
    </row>
    <row r="252" spans="114:130" ht="12.75" x14ac:dyDescent="0.2">
      <c r="DJ252" s="54"/>
      <c r="DL252" s="154"/>
      <c r="DM252" s="233">
        <v>44166</v>
      </c>
      <c r="DN252" s="155">
        <v>21</v>
      </c>
      <c r="DO252" s="155">
        <v>4</v>
      </c>
      <c r="DP252" s="154">
        <v>4</v>
      </c>
      <c r="DQ252" s="25">
        <v>2</v>
      </c>
      <c r="DR252" s="25">
        <v>31</v>
      </c>
      <c r="DU252" s="233">
        <v>44166</v>
      </c>
      <c r="DV252" s="155">
        <v>22</v>
      </c>
      <c r="DW252" s="155">
        <v>4</v>
      </c>
      <c r="DX252" s="154">
        <v>4</v>
      </c>
      <c r="DY252" s="25">
        <v>1</v>
      </c>
      <c r="DZ252" s="25">
        <v>31</v>
      </c>
    </row>
    <row r="253" spans="114:130" ht="12.75" x14ac:dyDescent="0.2">
      <c r="DJ253" s="54"/>
      <c r="DL253" s="154"/>
      <c r="DM253" s="233"/>
      <c r="DN253" s="155"/>
      <c r="DO253" s="155"/>
      <c r="DP253" s="154"/>
    </row>
    <row r="254" spans="114:130" ht="12.75" x14ac:dyDescent="0.2">
      <c r="DJ254" s="54"/>
      <c r="DL254" s="154"/>
      <c r="DM254" s="233"/>
      <c r="DN254" s="155"/>
      <c r="DO254" s="155"/>
      <c r="DP254" s="154"/>
    </row>
    <row r="255" spans="114:130" ht="12.75" x14ac:dyDescent="0.2">
      <c r="DJ255" s="54"/>
      <c r="DL255" s="154"/>
      <c r="DM255" s="233"/>
      <c r="DN255" s="155"/>
      <c r="DO255" s="155"/>
      <c r="DP255" s="154"/>
    </row>
    <row r="256" spans="114:130" ht="12.75" x14ac:dyDescent="0.2">
      <c r="DJ256" s="54"/>
      <c r="DL256" s="154"/>
      <c r="DM256" s="233"/>
      <c r="DN256" s="155"/>
      <c r="DO256" s="155"/>
      <c r="DP256" s="154"/>
    </row>
    <row r="257" spans="114:120" ht="12.75" x14ac:dyDescent="0.2">
      <c r="DJ257" s="54"/>
      <c r="DL257" s="154"/>
      <c r="DM257" s="233"/>
      <c r="DN257" s="155"/>
      <c r="DO257" s="155"/>
      <c r="DP257" s="154"/>
    </row>
    <row r="258" spans="114:120" ht="12.75" x14ac:dyDescent="0.2">
      <c r="DJ258" s="54"/>
      <c r="DL258" s="154"/>
      <c r="DM258" s="233"/>
      <c r="DN258" s="155"/>
      <c r="DO258" s="155"/>
      <c r="DP258" s="154"/>
    </row>
    <row r="259" spans="114:120" ht="12.75" x14ac:dyDescent="0.2">
      <c r="DJ259" s="54"/>
      <c r="DL259" s="154"/>
      <c r="DM259" s="233"/>
      <c r="DN259" s="155"/>
      <c r="DO259" s="155"/>
      <c r="DP259" s="154"/>
    </row>
    <row r="260" spans="114:120" ht="12.75" x14ac:dyDescent="0.2">
      <c r="DJ260" s="54"/>
      <c r="DL260" s="154"/>
      <c r="DM260" s="233"/>
      <c r="DN260" s="155"/>
      <c r="DO260" s="155"/>
      <c r="DP260" s="154"/>
    </row>
    <row r="261" spans="114:120" ht="12.75" x14ac:dyDescent="0.2">
      <c r="DJ261" s="54"/>
      <c r="DL261" s="154"/>
      <c r="DM261" s="233"/>
      <c r="DN261" s="155"/>
      <c r="DO261" s="155"/>
      <c r="DP261" s="154"/>
    </row>
    <row r="262" spans="114:120" ht="12.75" x14ac:dyDescent="0.2">
      <c r="DJ262" s="54"/>
      <c r="DL262" s="154"/>
      <c r="DM262" s="233"/>
      <c r="DN262" s="155"/>
      <c r="DO262" s="155"/>
      <c r="DP262" s="154"/>
    </row>
    <row r="263" spans="114:120" ht="12.75" x14ac:dyDescent="0.2">
      <c r="DJ263" s="54"/>
      <c r="DL263" s="154"/>
      <c r="DM263" s="233"/>
      <c r="DN263" s="155"/>
      <c r="DO263" s="155"/>
      <c r="DP263" s="154"/>
    </row>
    <row r="264" spans="114:120" ht="12.75" x14ac:dyDescent="0.2">
      <c r="DJ264" s="54"/>
      <c r="DL264" s="154"/>
      <c r="DM264" s="233"/>
      <c r="DN264" s="155"/>
      <c r="DO264" s="155"/>
      <c r="DP264" s="154"/>
    </row>
    <row r="265" spans="114:120" ht="12.75" x14ac:dyDescent="0.2">
      <c r="DJ265" s="54"/>
      <c r="DL265" s="154"/>
      <c r="DM265" s="233"/>
      <c r="DN265" s="155"/>
      <c r="DO265" s="155"/>
      <c r="DP265" s="154"/>
    </row>
    <row r="266" spans="114:120" ht="12.75" x14ac:dyDescent="0.2">
      <c r="DJ266" s="54"/>
      <c r="DL266" s="154"/>
      <c r="DM266" s="233"/>
      <c r="DN266" s="155"/>
      <c r="DO266" s="155"/>
      <c r="DP266" s="154"/>
    </row>
    <row r="267" spans="114:120" ht="12.75" x14ac:dyDescent="0.2">
      <c r="DJ267" s="54"/>
      <c r="DL267" s="154"/>
      <c r="DM267" s="233"/>
      <c r="DN267" s="155"/>
      <c r="DO267" s="155"/>
      <c r="DP267" s="154"/>
    </row>
    <row r="268" spans="114:120" ht="12.75" x14ac:dyDescent="0.2">
      <c r="DJ268" s="54"/>
      <c r="DL268" s="154"/>
      <c r="DM268" s="233"/>
      <c r="DN268" s="155"/>
      <c r="DO268" s="155"/>
      <c r="DP268" s="154"/>
    </row>
    <row r="269" spans="114:120" ht="12.75" x14ac:dyDescent="0.2">
      <c r="DJ269" s="54"/>
      <c r="DL269" s="154"/>
      <c r="DM269" s="233"/>
      <c r="DN269" s="155"/>
      <c r="DO269" s="155"/>
      <c r="DP269" s="154"/>
    </row>
    <row r="270" spans="114:120" ht="12.75" x14ac:dyDescent="0.2">
      <c r="DJ270" s="54"/>
      <c r="DL270" s="154"/>
      <c r="DM270" s="233"/>
      <c r="DN270" s="155"/>
      <c r="DO270" s="155"/>
      <c r="DP270" s="154"/>
    </row>
    <row r="271" spans="114:120" ht="12.75" x14ac:dyDescent="0.2">
      <c r="DJ271" s="54"/>
      <c r="DL271" s="154"/>
      <c r="DM271" s="233"/>
      <c r="DN271" s="155"/>
      <c r="DO271" s="155"/>
      <c r="DP271" s="154"/>
    </row>
    <row r="272" spans="114:120" ht="12.75" x14ac:dyDescent="0.2">
      <c r="DL272" s="154"/>
      <c r="DM272" s="233"/>
      <c r="DN272" s="155"/>
      <c r="DO272" s="155"/>
      <c r="DP272" s="154"/>
    </row>
    <row r="273" spans="116:120" ht="12.75" x14ac:dyDescent="0.2">
      <c r="DL273" s="154"/>
      <c r="DM273" s="233"/>
      <c r="DN273" s="155"/>
      <c r="DO273" s="155"/>
      <c r="DP273" s="154"/>
    </row>
    <row r="274" spans="116:120" ht="12.75" x14ac:dyDescent="0.2">
      <c r="DL274" s="154"/>
      <c r="DM274" s="233"/>
      <c r="DN274" s="155"/>
      <c r="DO274" s="155"/>
      <c r="DP274" s="154"/>
    </row>
    <row r="275" spans="116:120" ht="12.75" x14ac:dyDescent="0.2">
      <c r="DL275" s="154"/>
      <c r="DM275" s="233"/>
      <c r="DN275" s="155"/>
      <c r="DO275" s="155"/>
      <c r="DP275" s="154"/>
    </row>
    <row r="276" spans="116:120" ht="12.75" x14ac:dyDescent="0.2">
      <c r="DL276" s="154"/>
      <c r="DM276" s="233"/>
      <c r="DN276" s="155"/>
      <c r="DO276" s="155"/>
      <c r="DP276" s="154"/>
    </row>
    <row r="277" spans="116:120" ht="12.75" x14ac:dyDescent="0.2">
      <c r="DL277" s="154"/>
      <c r="DM277" s="233"/>
      <c r="DN277" s="155"/>
      <c r="DO277" s="155"/>
      <c r="DP277" s="154"/>
    </row>
    <row r="278" spans="116:120" ht="12.75" x14ac:dyDescent="0.2">
      <c r="DL278" s="154"/>
      <c r="DM278" s="233"/>
      <c r="DN278" s="155"/>
      <c r="DO278" s="155"/>
      <c r="DP278" s="154"/>
    </row>
    <row r="279" spans="116:120" ht="12.75" x14ac:dyDescent="0.2">
      <c r="DL279" s="154"/>
      <c r="DM279" s="233"/>
      <c r="DN279" s="155"/>
      <c r="DO279" s="155"/>
      <c r="DP279" s="154"/>
    </row>
    <row r="280" spans="116:120" ht="12.75" x14ac:dyDescent="0.2">
      <c r="DL280" s="154"/>
      <c r="DM280" s="233"/>
      <c r="DN280" s="155"/>
      <c r="DO280" s="155"/>
      <c r="DP280" s="154"/>
    </row>
    <row r="281" spans="116:120" ht="12.75" x14ac:dyDescent="0.2">
      <c r="DL281" s="154"/>
      <c r="DM281" s="233"/>
      <c r="DN281" s="155"/>
      <c r="DO281" s="155"/>
      <c r="DP281" s="154"/>
    </row>
    <row r="282" spans="116:120" ht="12.75" x14ac:dyDescent="0.2">
      <c r="DL282" s="154"/>
      <c r="DM282" s="233"/>
      <c r="DN282" s="155"/>
      <c r="DO282" s="155"/>
      <c r="DP282" s="154"/>
    </row>
    <row r="283" spans="116:120" ht="12.75" x14ac:dyDescent="0.2">
      <c r="DL283" s="154"/>
      <c r="DM283" s="233"/>
      <c r="DN283" s="155"/>
      <c r="DO283" s="155"/>
      <c r="DP283" s="154"/>
    </row>
    <row r="284" spans="116:120" ht="12.75" x14ac:dyDescent="0.2">
      <c r="DL284" s="154"/>
      <c r="DM284" s="233"/>
      <c r="DN284" s="155"/>
      <c r="DO284" s="155"/>
      <c r="DP284" s="154"/>
    </row>
    <row r="285" spans="116:120" ht="12.75" x14ac:dyDescent="0.2">
      <c r="DL285" s="154"/>
      <c r="DM285" s="233"/>
      <c r="DN285" s="155"/>
      <c r="DO285" s="155"/>
      <c r="DP285" s="154"/>
    </row>
    <row r="286" spans="116:120" ht="12.75" x14ac:dyDescent="0.2">
      <c r="DL286" s="154"/>
      <c r="DM286" s="233"/>
      <c r="DN286" s="155"/>
      <c r="DO286" s="155"/>
      <c r="DP286" s="154"/>
    </row>
    <row r="287" spans="116:120" ht="12.75" x14ac:dyDescent="0.2">
      <c r="DL287" s="154"/>
      <c r="DM287" s="233"/>
      <c r="DN287" s="155"/>
      <c r="DO287" s="155"/>
      <c r="DP287" s="154"/>
    </row>
    <row r="288" spans="116:120" ht="13.5" thickBot="1" x14ac:dyDescent="0.25">
      <c r="DL288" s="230"/>
      <c r="DM288" s="234"/>
      <c r="DN288" s="231"/>
      <c r="DO288" s="231"/>
      <c r="DP288" s="230"/>
    </row>
    <row r="289" spans="117:117" ht="13.5" thickBot="1" x14ac:dyDescent="0.25">
      <c r="DM289" s="235"/>
    </row>
  </sheetData>
  <mergeCells count="2">
    <mergeCell ref="DN10:DR10"/>
    <mergeCell ref="P98:Q98"/>
  </mergeCells>
  <pageMargins left="0.75" right="0.75" top="1" bottom="1" header="0.5" footer="0.5"/>
  <pageSetup orientation="portrait" verticalDpi="0" r:id="rId1"/>
  <headerFooter alignWithMargins="0">
    <oddHeader>&amp;C&amp;A</oddHeader>
    <oddFooter>&amp;CPage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7176" r:id="rId4" name="Button 8">
              <controlPr defaultSize="0" print="0" autoFill="0" autoLine="0" autoPict="0" macro="[0]!PrintSum">
                <anchor moveWithCells="1" sizeWithCells="1">
                  <from>
                    <xdr:col>3</xdr:col>
                    <xdr:colOff>9525</xdr:colOff>
                    <xdr:row>1</xdr:row>
                    <xdr:rowOff>0</xdr:rowOff>
                  </from>
                  <to>
                    <xdr:col>4</xdr:col>
                    <xdr:colOff>95250</xdr:colOff>
                    <xdr:row>2</xdr:row>
                    <xdr:rowOff>95250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7" r:id="rId5" name="Button 9">
              <controlPr defaultSize="0" print="0" autoFill="0" autoLine="0" autoPict="0" macro="[0]!Roll_Sheet">
                <anchor moveWithCells="1" sizeWithCells="1">
                  <from>
                    <xdr:col>3</xdr:col>
                    <xdr:colOff>9525</xdr:colOff>
                    <xdr:row>2</xdr:row>
                    <xdr:rowOff>219075</xdr:rowOff>
                  </from>
                  <to>
                    <xdr:col>4</xdr:col>
                    <xdr:colOff>104775</xdr:colOff>
                    <xdr:row>4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7178" r:id="rId6" name="Button 10">
              <controlPr defaultSize="0" print="0" autoFill="0" autoLine="0" autoPict="0" macro="[0]!End_Day">
                <anchor moveWithCells="1" sizeWithCells="1">
                  <from>
                    <xdr:col>3</xdr:col>
                    <xdr:colOff>9525</xdr:colOff>
                    <xdr:row>4</xdr:row>
                    <xdr:rowOff>152400</xdr:rowOff>
                  </from>
                  <to>
                    <xdr:col>4</xdr:col>
                    <xdr:colOff>95250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O261"/>
  <sheetViews>
    <sheetView topLeftCell="I1" zoomScale="75" workbookViewId="0">
      <selection activeCell="Q17" sqref="Q17:Q21"/>
    </sheetView>
  </sheetViews>
  <sheetFormatPr defaultRowHeight="12.75" x14ac:dyDescent="0.2"/>
  <cols>
    <col min="2" max="2" width="18.85546875" bestFit="1" customWidth="1"/>
    <col min="3" max="3" width="20.140625" bestFit="1" customWidth="1"/>
    <col min="4" max="4" width="17.28515625" bestFit="1" customWidth="1"/>
    <col min="5" max="5" width="20.140625" bestFit="1" customWidth="1"/>
    <col min="6" max="6" width="17.28515625" bestFit="1" customWidth="1"/>
    <col min="7" max="7" width="20.7109375" customWidth="1"/>
    <col min="8" max="8" width="10.5703125" bestFit="1" customWidth="1"/>
    <col min="9" max="9" width="18.85546875" bestFit="1" customWidth="1"/>
    <col min="10" max="10" width="20.140625" bestFit="1" customWidth="1"/>
    <col min="11" max="11" width="17.28515625" bestFit="1" customWidth="1"/>
    <col min="12" max="12" width="20.140625" bestFit="1" customWidth="1"/>
    <col min="13" max="13" width="17.28515625" bestFit="1" customWidth="1"/>
    <col min="16" max="16" width="10.5703125" bestFit="1" customWidth="1"/>
    <col min="17" max="17" width="18.85546875" bestFit="1" customWidth="1"/>
    <col min="18" max="18" width="20.140625" bestFit="1" customWidth="1"/>
    <col min="19" max="19" width="17.28515625" bestFit="1" customWidth="1"/>
    <col min="20" max="20" width="20.140625" bestFit="1" customWidth="1"/>
    <col min="21" max="21" width="17.28515625" bestFit="1" customWidth="1"/>
    <col min="24" max="24" width="14.42578125" bestFit="1" customWidth="1"/>
    <col min="25" max="26" width="15.140625" bestFit="1" customWidth="1"/>
    <col min="41" max="41" width="9.28515625" bestFit="1" customWidth="1"/>
  </cols>
  <sheetData>
    <row r="1" spans="1:41" ht="33.75" x14ac:dyDescent="0.5">
      <c r="A1" s="236" t="s">
        <v>125</v>
      </c>
    </row>
    <row r="2" spans="1:41" ht="13.5" thickBot="1" x14ac:dyDescent="0.25"/>
    <row r="3" spans="1:41" ht="16.5" thickBot="1" x14ac:dyDescent="0.3">
      <c r="D3" s="25"/>
      <c r="E3" s="240" t="s">
        <v>96</v>
      </c>
      <c r="F3" s="243" t="s">
        <v>98</v>
      </c>
    </row>
    <row r="4" spans="1:41" ht="16.5" thickBot="1" x14ac:dyDescent="0.3">
      <c r="D4" s="241" t="s">
        <v>97</v>
      </c>
      <c r="E4" s="242"/>
      <c r="F4" s="239">
        <f>TradeSum!L6</f>
        <v>1</v>
      </c>
    </row>
    <row r="5" spans="1:41" ht="18.75" thickBot="1" x14ac:dyDescent="0.3">
      <c r="I5" s="371" t="s">
        <v>162</v>
      </c>
      <c r="Q5" s="371" t="s">
        <v>161</v>
      </c>
      <c r="W5" s="371" t="s">
        <v>169</v>
      </c>
    </row>
    <row r="6" spans="1:41" ht="16.5" thickBot="1" x14ac:dyDescent="0.3">
      <c r="B6" s="404" t="s">
        <v>174</v>
      </c>
      <c r="C6" s="403">
        <v>1</v>
      </c>
      <c r="D6" s="405" t="str">
        <f>IF(C6=1,"TODAY","PREVIOUS")</f>
        <v>TODAY</v>
      </c>
    </row>
    <row r="7" spans="1:41" x14ac:dyDescent="0.2">
      <c r="A7" s="64"/>
      <c r="B7" s="64"/>
      <c r="C7" s="64"/>
      <c r="D7" s="64"/>
      <c r="E7" s="64"/>
      <c r="F7" s="64"/>
      <c r="G7" s="64"/>
      <c r="I7" s="64"/>
      <c r="J7" s="64"/>
      <c r="K7" s="64"/>
      <c r="L7" s="64"/>
      <c r="M7" s="64"/>
      <c r="Q7" s="64"/>
      <c r="R7" s="64"/>
      <c r="S7" s="64"/>
      <c r="T7" s="64"/>
      <c r="U7" s="64"/>
      <c r="X7" s="64"/>
      <c r="Y7" s="64"/>
      <c r="Z7" s="64"/>
    </row>
    <row r="8" spans="1:41" ht="16.5" thickBot="1" x14ac:dyDescent="0.3">
      <c r="A8" s="257" t="s">
        <v>110</v>
      </c>
      <c r="B8" s="257" t="s">
        <v>112</v>
      </c>
      <c r="C8" s="257" t="s">
        <v>111</v>
      </c>
      <c r="D8" s="257" t="s">
        <v>113</v>
      </c>
      <c r="E8" s="257" t="s">
        <v>114</v>
      </c>
      <c r="F8" s="262" t="s">
        <v>115</v>
      </c>
      <c r="G8" s="262" t="s">
        <v>175</v>
      </c>
      <c r="I8" s="262" t="s">
        <v>112</v>
      </c>
      <c r="J8" s="262" t="s">
        <v>111</v>
      </c>
      <c r="K8" s="262" t="s">
        <v>113</v>
      </c>
      <c r="L8" s="262" t="s">
        <v>114</v>
      </c>
      <c r="M8" s="262" t="s">
        <v>115</v>
      </c>
      <c r="Q8" s="262" t="s">
        <v>112</v>
      </c>
      <c r="R8" s="262" t="s">
        <v>111</v>
      </c>
      <c r="S8" s="262" t="s">
        <v>113</v>
      </c>
      <c r="T8" s="262" t="s">
        <v>114</v>
      </c>
      <c r="U8" s="262" t="s">
        <v>115</v>
      </c>
      <c r="X8" s="262" t="s">
        <v>170</v>
      </c>
      <c r="Y8" s="262" t="s">
        <v>171</v>
      </c>
      <c r="Z8" s="262" t="s">
        <v>172</v>
      </c>
    </row>
    <row r="9" spans="1:41" ht="15.75" x14ac:dyDescent="0.25">
      <c r="A9" s="98">
        <f>TradeSum!A12</f>
        <v>37225</v>
      </c>
      <c r="B9" s="178">
        <f>IF($C$6=0,VLOOKUP(A9,NymexData!$A$12:$F$179,6),VLOOKUP(A9,NymexData!$A$12:$L$179,12))</f>
        <v>3.4550000000000036</v>
      </c>
      <c r="C9" s="258">
        <f>TradeSum!I12</f>
        <v>52.578138322054301</v>
      </c>
      <c r="D9" s="178">
        <f>C9/B9</f>
        <v>15.217985042562734</v>
      </c>
      <c r="E9" s="387">
        <f>TradeSum!I56</f>
        <v>45.00629461780796</v>
      </c>
      <c r="F9" s="176">
        <f>E9/B9</f>
        <v>13.026423912534852</v>
      </c>
      <c r="G9" s="176">
        <f>F9*TradeSum!F56*24/10000+(GasPosn!B329*1.055+GasPosn!C329+GasPosn!D12*1.055)/(VLOOKUP(A9,$AB$12:$AD$47,3))</f>
        <v>1.364522250452664</v>
      </c>
      <c r="H9" s="381" t="str">
        <f>TradeSum!V12</f>
        <v>Q1 2002</v>
      </c>
      <c r="I9" s="176">
        <f t="array" ref="I9">SUM(IF((INT((MONTH(NymexData!$A$12:$A$47)-1)/3)=TradeSum!U12-1)*(YEAR(NymexData!$A$12:$A$47)=TradeSum!T12),NymexData!$F$12:$F$47*'Pricing Summary'!$AD$12:$AD$47))/SUM(IF((INT((MONTH(NymexData!$A$12:$A$47)-1)/3)=TradeSum!U12-1)*(YEAR(NymexData!$A$12:$A$47)=TradeSum!T12),'Pricing Summary'!$AD$12:$AD$47))</f>
        <v>4.2611309046787103</v>
      </c>
      <c r="J9" s="176">
        <f>TradeSum!W12</f>
        <v>62.072200174242255</v>
      </c>
      <c r="K9" s="176">
        <f>J9/I9</f>
        <v>14.567071878990422</v>
      </c>
      <c r="L9" s="263">
        <f>TradeSum!W56</f>
        <v>47.582802611898707</v>
      </c>
      <c r="M9" s="382">
        <f>L9/I9</f>
        <v>11.166707542275436</v>
      </c>
      <c r="P9" s="267" t="str">
        <f>H9</f>
        <v>Q1 2002</v>
      </c>
      <c r="Q9" s="176">
        <f t="array" ref="Q9">IF(NymexData!$AA$12="",'Pricing Summary'!I9,SUM(IF((INT((MONTH(NymexData!$A$12:$A$47)-1)/3)=TradeSum!U12-1)*(YEAR(NymexData!$A$12:$A$47)=TradeSum!T12),NymexData!$L$12:$L$47*'Pricing Summary'!$AD$12:$AD$47))/SUM(IF((INT((MONTH(NymexData!$A$12:$A$47)-1)/3)=TradeSum!U12-1)*(YEAR(NymexData!$A$12:$A$47)=TradeSum!T12),'Pricing Summary'!$AD$12:$AD$47)))</f>
        <v>4.1179007227611226</v>
      </c>
      <c r="R9" s="176">
        <f>J9</f>
        <v>62.072200174242255</v>
      </c>
      <c r="S9" s="176">
        <f>R9/Q9</f>
        <v>15.07374858047131</v>
      </c>
      <c r="T9" s="263">
        <f>L9</f>
        <v>47.582802611898707</v>
      </c>
      <c r="U9" s="382">
        <f>T9/Q9</f>
        <v>11.55511164921762</v>
      </c>
      <c r="W9" s="267">
        <f>A9</f>
        <v>37225</v>
      </c>
      <c r="X9" s="391">
        <f>VLOOKUP(W9,TradeSum!$A$56:$K$84,10)+VLOOKUP(W9,TradeSum!$A$56:$K$84,11)+VLOOKUP(W9,TradeSum!$A$12:$K$40,11)</f>
        <v>-256509.31223382484</v>
      </c>
      <c r="Y9" s="391">
        <f>VLOOKUP(W9,GasPosn!$BG$12:$BL$28,6)+VLOOKUP(W9,GasPosn!$BG$200:$BL$216,6)+VLOOKUP(W9,GasPosn!$A$329:$J$345,10)</f>
        <v>163504.12337359862</v>
      </c>
      <c r="Z9" s="391">
        <f>X9+Y9</f>
        <v>-93005.188860226219</v>
      </c>
    </row>
    <row r="10" spans="1:41" ht="15.75" x14ac:dyDescent="0.25">
      <c r="A10" s="100">
        <f>TradeSum!A13</f>
        <v>37226</v>
      </c>
      <c r="B10" s="259">
        <f>IF($C$6=0,VLOOKUP(A10,NymexData!$A$12:$F$179,6),VLOOKUP(A10,NymexData!$A$12:$L$179,12))</f>
        <v>4.0983252464091828</v>
      </c>
      <c r="C10" s="260">
        <f>TradeSum!I13</f>
        <v>57.466147456389557</v>
      </c>
      <c r="D10" s="260">
        <f t="shared" ref="D10:D47" si="0">C10/B10</f>
        <v>14.021861126502708</v>
      </c>
      <c r="E10" s="388">
        <f>TradeSum!I57</f>
        <v>49.272139791097921</v>
      </c>
      <c r="F10" s="260">
        <f t="shared" ref="F10:F47" si="1">E10/B10</f>
        <v>12.022505981990703</v>
      </c>
      <c r="G10" s="260">
        <f>F10*TradeSum!F57*24/10000+(GasPosn!B330*1.055+GasPosn!C330+GasPosn!D13*1.055)/(VLOOKUP(A10,$AB$12:$AD$47,3))</f>
        <v>0.86588296116909547</v>
      </c>
      <c r="H10" s="379" t="str">
        <f>TradeSum!V13</f>
        <v>Q2 2002</v>
      </c>
      <c r="I10" s="132">
        <f t="array" ref="I10">SUM(IF((INT((MONTH(NymexData!$A$12:$A$47)-1)/3)=TradeSum!U13-1)*(YEAR(NymexData!$A$12:$A$47)=TradeSum!T13),NymexData!$F$12:$F$47*'Pricing Summary'!$AD$12:$AD$47))/SUM(IF((INT((MONTH(NymexData!$A$12:$A$47)-1)/3)=TradeSum!U13-1)*(YEAR(NymexData!$A$12:$A$47)=TradeSum!T13),'Pricing Summary'!$AD$12:$AD$47))</f>
        <v>4.0365883682041384</v>
      </c>
      <c r="J10" s="260">
        <f>TradeSum!W13</f>
        <v>57.604786290910283</v>
      </c>
      <c r="K10" s="260">
        <f t="shared" ref="K10:K19" si="2">J10/I10</f>
        <v>14.270661518191517</v>
      </c>
      <c r="L10" s="132">
        <f>TradeSum!W57</f>
        <v>44.580900711181847</v>
      </c>
      <c r="M10" s="380">
        <f t="shared" ref="M10:M19" si="3">L10/I10</f>
        <v>11.044202837807736</v>
      </c>
      <c r="P10" s="268" t="str">
        <f t="shared" ref="P10:P30" si="4">H10</f>
        <v>Q2 2002</v>
      </c>
      <c r="Q10" s="132">
        <f t="array" ref="Q10">IF(NymexData!$AA$12="",'Pricing Summary'!I10,SUM(IF((INT((MONTH(NymexData!$A$12:$A$47)-1)/3)=TradeSum!U13-1)*(YEAR(NymexData!$A$12:$A$47)=TradeSum!T13),NymexData!$L$12:$L$47*'Pricing Summary'!$AD$12:$AD$47))/SUM(IF((INT((MONTH(NymexData!$A$12:$A$47)-1)/3)=TradeSum!U13-1)*(YEAR(NymexData!$A$12:$A$47)=TradeSum!T13),'Pricing Summary'!$AD$12:$AD$47)))</f>
        <v>3.9523851125323071</v>
      </c>
      <c r="R10" s="260">
        <f t="shared" ref="R10:R30" si="5">J10</f>
        <v>57.604786290910283</v>
      </c>
      <c r="S10" s="260">
        <f t="shared" ref="S10:S19" si="6">R10/Q10</f>
        <v>14.574689624312114</v>
      </c>
      <c r="T10" s="132">
        <f t="shared" ref="T10:T30" si="7">L10</f>
        <v>44.580900711181847</v>
      </c>
      <c r="U10" s="380">
        <f t="shared" ref="U10:U19" si="8">T10/Q10</f>
        <v>11.279493126776481</v>
      </c>
      <c r="W10" s="268">
        <f>A10</f>
        <v>37226</v>
      </c>
      <c r="X10" s="392">
        <f>VLOOKUP(W10,TradeSum!$A$56:$K$84,10)+VLOOKUP(W10,TradeSum!$A$56:$K$84,11)+VLOOKUP(W10,TradeSum!$A$12:$K$40,11)</f>
        <v>199777.60686943005</v>
      </c>
      <c r="Y10" s="393">
        <f>VLOOKUP(W10,GasPosn!$BG$12:$BL$28,6)+VLOOKUP(W10,GasPosn!$BG$200:$BL$216,6)+VLOOKUP(W10,GasPosn!$A$329:$J$345,10)</f>
        <v>-158732.90389523673</v>
      </c>
      <c r="Z10" s="393">
        <f t="shared" ref="Z10:Z32" si="9">X10+Y10</f>
        <v>41044.702974193322</v>
      </c>
    </row>
    <row r="11" spans="1:41" ht="15.75" x14ac:dyDescent="0.25">
      <c r="A11" s="98">
        <f>TradeSum!A14</f>
        <v>37257</v>
      </c>
      <c r="B11" s="178">
        <f>IF($C$6=0,VLOOKUP(A11,NymexData!$A$12:$F$179,6),VLOOKUP(A11,NymexData!$A$12:$L$179,12))</f>
        <v>4.1914308616765448</v>
      </c>
      <c r="C11" s="258">
        <f>TradeSum!I14</f>
        <v>63.347760592794195</v>
      </c>
      <c r="D11" s="178">
        <f t="shared" si="0"/>
        <v>15.113636054933162</v>
      </c>
      <c r="E11" s="387">
        <f>TradeSum!I58</f>
        <v>48.433970022950547</v>
      </c>
      <c r="F11" s="178">
        <f t="shared" si="1"/>
        <v>11.555473923188435</v>
      </c>
      <c r="G11" s="178">
        <f>F11*TradeSum!F58*24/10000+(GasPosn!B331*1.055+GasPosn!C331+GasPosn!D14*1.055)/(VLOOKUP(A11,$AB$12:$AD$47,3))</f>
        <v>2.8873918874042519</v>
      </c>
      <c r="H11" s="383" t="str">
        <f>TradeSum!V14</f>
        <v>Q3 2002</v>
      </c>
      <c r="I11" s="178">
        <f t="array" ref="I11">SUM(IF((INT((MONTH(NymexData!$A$12:$A$47)-1)/3)=TradeSum!U14-1)*(YEAR(NymexData!$A$12:$A$47)=TradeSum!T14),NymexData!$F$12:$F$47*'Pricing Summary'!$AD$12:$AD$47))/SUM(IF((INT((MONTH(NymexData!$A$12:$A$47)-1)/3)=TradeSum!U14-1)*(YEAR(NymexData!$A$12:$A$47)=TradeSum!T14),'Pricing Summary'!$AD$12:$AD$47))</f>
        <v>4.1959794263088632</v>
      </c>
      <c r="J11" s="178">
        <f>TradeSum!W14</f>
        <v>50.838220593850323</v>
      </c>
      <c r="K11" s="178">
        <f t="shared" si="2"/>
        <v>12.115936573733848</v>
      </c>
      <c r="L11" s="258">
        <f>TradeSum!W58</f>
        <v>41.132801630144129</v>
      </c>
      <c r="M11" s="384">
        <f t="shared" si="3"/>
        <v>9.8029083203413148</v>
      </c>
      <c r="P11" s="269" t="str">
        <f t="shared" si="4"/>
        <v>Q3 2002</v>
      </c>
      <c r="Q11" s="178">
        <f t="array" ref="Q11">IF(NymexData!$AA$12="",'Pricing Summary'!I11,SUM(IF((INT((MONTH(NymexData!$A$12:$A$47)-1)/3)=TradeSum!U14-1)*(YEAR(NymexData!$A$12:$A$47)=TradeSum!T14),NymexData!$L$12:$L$47*'Pricing Summary'!$AD$12:$AD$47))/SUM(IF((INT((MONTH(NymexData!$A$12:$A$47)-1)/3)=TradeSum!U14-1)*(YEAR(NymexData!$A$12:$A$47)=TradeSum!T14),'Pricing Summary'!$AD$12:$AD$47)))</f>
        <v>4.0947585243929492</v>
      </c>
      <c r="R11" s="178">
        <f t="shared" si="5"/>
        <v>50.838220593850323</v>
      </c>
      <c r="S11" s="178">
        <f t="shared" si="6"/>
        <v>12.415438002265866</v>
      </c>
      <c r="T11" s="258">
        <f t="shared" si="7"/>
        <v>41.132801630144129</v>
      </c>
      <c r="U11" s="384">
        <f t="shared" si="8"/>
        <v>10.045232554034941</v>
      </c>
      <c r="W11" s="269">
        <f>A11</f>
        <v>37257</v>
      </c>
      <c r="X11" s="394">
        <f>VLOOKUP(W11,TradeSum!$A$56:$K$84,10)+VLOOKUP(W11,TradeSum!$A$56:$K$84,11)+VLOOKUP(W11,TradeSum!$A$12:$K$40,11)</f>
        <v>-162652.37648172351</v>
      </c>
      <c r="Y11" s="394">
        <f>VLOOKUP(W11,GasPosn!$BG$12:$BL$28,6)+VLOOKUP(W11,GasPosn!$BG$200:$BL$216,6)+VLOOKUP(W11,GasPosn!$A$329:$J$345,10)</f>
        <v>72715.908363301714</v>
      </c>
      <c r="Z11" s="394">
        <f t="shared" si="9"/>
        <v>-89936.468118421792</v>
      </c>
      <c r="AC11" t="s">
        <v>118</v>
      </c>
      <c r="AD11" t="s">
        <v>116</v>
      </c>
      <c r="AE11" t="s">
        <v>117</v>
      </c>
      <c r="AF11" t="s">
        <v>119</v>
      </c>
      <c r="AG11" t="s">
        <v>120</v>
      </c>
      <c r="AH11" t="s">
        <v>121</v>
      </c>
      <c r="AI11" t="s">
        <v>122</v>
      </c>
      <c r="AJ11" t="s">
        <v>123</v>
      </c>
      <c r="AK11" t="s">
        <v>124</v>
      </c>
      <c r="AM11" t="s">
        <v>79</v>
      </c>
      <c r="AO11" t="s">
        <v>160</v>
      </c>
    </row>
    <row r="12" spans="1:41" ht="15.75" x14ac:dyDescent="0.25">
      <c r="A12" s="100">
        <f>TradeSum!A15</f>
        <v>37288</v>
      </c>
      <c r="B12" s="259">
        <f>IF($C$6=0,VLOOKUP(A12,NymexData!$A$12:$F$179,6),VLOOKUP(A12,NymexData!$A$12:$L$179,12))</f>
        <v>4.1438825415336265</v>
      </c>
      <c r="C12" s="260">
        <f>TradeSum!I15</f>
        <v>62.507363182437444</v>
      </c>
      <c r="D12" s="260">
        <f t="shared" si="0"/>
        <v>15.084250713173892</v>
      </c>
      <c r="E12" s="388">
        <f>TradeSum!I59</f>
        <v>48.100808936689731</v>
      </c>
      <c r="F12" s="260">
        <f t="shared" si="1"/>
        <v>11.607667074194604</v>
      </c>
      <c r="G12" s="260">
        <f>F12*TradeSum!F59*24/10000+(GasPosn!B332*1.055+GasPosn!C332+GasPosn!D15*1.055)/(VLOOKUP(A12,$AB$12:$AD$47,3))</f>
        <v>2.7996323632697138</v>
      </c>
      <c r="H12" s="379" t="str">
        <f>TradeSum!V15</f>
        <v>Q4 2002</v>
      </c>
      <c r="I12" s="132">
        <f t="array" ref="I12">SUM(IF((INT((MONTH(NymexData!$A$12:$A$47)-1)/3)=TradeSum!U15-1)*(YEAR(NymexData!$A$12:$A$47)=TradeSum!T15),NymexData!$F$12:$F$47*'Pricing Summary'!$AD$12:$AD$47))/SUM(IF((INT((MONTH(NymexData!$A$12:$A$47)-1)/3)=TradeSum!U15-1)*(YEAR(NymexData!$A$12:$A$47)=TradeSum!T15),'Pricing Summary'!$AD$12:$AD$47))</f>
        <v>4.6086514997776939</v>
      </c>
      <c r="J12" s="260">
        <f>TradeSum!W15</f>
        <v>59.59242402045561</v>
      </c>
      <c r="K12" s="260">
        <f t="shared" si="2"/>
        <v>12.930555504865175</v>
      </c>
      <c r="L12" s="132">
        <f>TradeSum!W59</f>
        <v>47.216677482070025</v>
      </c>
      <c r="M12" s="380">
        <f t="shared" si="3"/>
        <v>10.245226284597045</v>
      </c>
      <c r="P12" s="268" t="str">
        <f t="shared" si="4"/>
        <v>Q4 2002</v>
      </c>
      <c r="Q12" s="132">
        <f t="array" ref="Q12">IF(NymexData!$AA$12="",'Pricing Summary'!I12,SUM(IF((INT((MONTH(NymexData!$A$12:$A$47)-1)/3)=TradeSum!U15-1)*(YEAR(NymexData!$A$12:$A$47)=TradeSum!T15),NymexData!$L$12:$L$47*'Pricing Summary'!$AD$12:$AD$47))/SUM(IF((INT((MONTH(NymexData!$A$12:$A$47)-1)/3)=TradeSum!U15-1)*(YEAR(NymexData!$A$12:$A$47)=TradeSum!T15),'Pricing Summary'!$AD$12:$AD$47)))</f>
        <v>4.492960283007517</v>
      </c>
      <c r="R12" s="260">
        <f t="shared" si="5"/>
        <v>59.59242402045561</v>
      </c>
      <c r="S12" s="260">
        <f t="shared" si="6"/>
        <v>13.263510083949679</v>
      </c>
      <c r="T12" s="132">
        <f t="shared" si="7"/>
        <v>47.216677482070025</v>
      </c>
      <c r="U12" s="380">
        <f t="shared" si="8"/>
        <v>10.509035136732596</v>
      </c>
      <c r="W12" s="268">
        <f>A12</f>
        <v>37288</v>
      </c>
      <c r="X12" s="392">
        <f>VLOOKUP(W12,TradeSum!$A$56:$K$84,10)+VLOOKUP(W12,TradeSum!$A$56:$K$84,11)+VLOOKUP(W12,TradeSum!$A$12:$K$40,11)</f>
        <v>-153246.25962685159</v>
      </c>
      <c r="Y12" s="393">
        <f>VLOOKUP(W12,GasPosn!$BG$12:$BL$28,6)+VLOOKUP(W12,GasPosn!$BG$200:$BL$216,6)+VLOOKUP(W12,GasPosn!$A$329:$J$345,10)</f>
        <v>61412.393706684408</v>
      </c>
      <c r="Z12" s="393">
        <f t="shared" si="9"/>
        <v>-91833.865920167184</v>
      </c>
      <c r="AB12" s="266">
        <f>[4]EnergyCurve!$D34</f>
        <v>37225</v>
      </c>
      <c r="AC12" s="30">
        <f>IF(TradeSum!$L$6=0,VLOOKUP(AB12,TradeSum!$DM$13:$DQ$252,2)+VLOOKUP(AB12,TradeSum!$DU$13:$DY$252,3),VLOOKUP(AB12,TradeSum!$DU$13:$DY$252,2)+VLOOKUP(AB12,TradeSum!$DU$13:$DY$252,3))</f>
        <v>25</v>
      </c>
      <c r="AD12" s="30">
        <f>VLOOKUP(AB12,TradeSum!$DM$13:$DR$252,6)</f>
        <v>30</v>
      </c>
      <c r="AE12" s="30">
        <f>IF(TradeSum!$L$6=0,VLOOKUP(AB12,TradeSum!$DM$13:$DQ$252,2),VLOOKUP(AB12,TradeSum!$DU$13:$DY$252,2))</f>
        <v>21</v>
      </c>
      <c r="AF12" s="274">
        <f>[4]EnergyCurve!$G34</f>
        <v>53.499996185302734</v>
      </c>
      <c r="AG12" s="274">
        <f>[4]EnergyCurve!$Y34</f>
        <v>47.738384540000048</v>
      </c>
      <c r="AH12" s="274">
        <f>[4]EnergyCurve!$AD34</f>
        <v>47.738384540000048</v>
      </c>
      <c r="AI12" s="274">
        <f>[4]EnergyCurve!$L34</f>
        <v>31.475858470000034</v>
      </c>
      <c r="AJ12">
        <f>(AE12*AF12+(AC12-AE12)*AG12)/AC12</f>
        <v>52.578138322054301</v>
      </c>
      <c r="AK12">
        <f>(AC12*16*AJ12+(AD12-AC12)*16*AH12+AD12*8*AI12)/(AD12*24)</f>
        <v>45.00629461780796</v>
      </c>
      <c r="AM12">
        <f>IF(NymexData!AC12="",VLOOKUP('Pricing Summary'!AB12,NymexData!$S$12:$U$250,3),VLOOKUP(NymexData!AA12,NymexData!$AA$12:$AC$250,3))</f>
        <v>1.1499999999999999</v>
      </c>
      <c r="AO12" s="370">
        <f>AD12*24*VLOOKUP(AB12,Interest!$X$8:$AC$367,6)</f>
        <v>717.75794632961504</v>
      </c>
    </row>
    <row r="13" spans="1:41" ht="15.75" x14ac:dyDescent="0.25">
      <c r="A13" s="98">
        <f>TradeSum!A16</f>
        <v>37316</v>
      </c>
      <c r="B13" s="178">
        <f>IF($C$6=0,VLOOKUP(A13,NymexData!$A$12:$F$179,6),VLOOKUP(A13,NymexData!$A$12:$L$179,12))</f>
        <v>4.0209031346318262</v>
      </c>
      <c r="C13" s="258">
        <f>TradeSum!I16</f>
        <v>60.39495082504861</v>
      </c>
      <c r="D13" s="178">
        <f t="shared" si="0"/>
        <v>15.02024515459477</v>
      </c>
      <c r="E13" s="387">
        <f>TradeSum!I60</f>
        <v>46.253475516424388</v>
      </c>
      <c r="F13" s="178">
        <f>E13/B13</f>
        <v>11.503255355257291</v>
      </c>
      <c r="G13" s="178">
        <f>F13*TradeSum!F60*24/10000+(GasPosn!B333*1.055+GasPosn!C333+GasPosn!D16*1.055)/(VLOOKUP(A13,$AB$12:$AD$47,3))</f>
        <v>2.846133105307902</v>
      </c>
      <c r="H13" s="383" t="str">
        <f>TradeSum!V16</f>
        <v>Q1 2003</v>
      </c>
      <c r="I13" s="178">
        <f t="array" ref="I13">SUM(IF((INT((MONTH(NymexData!$A$12:$A$47)-1)/3)=TradeSum!U16-1)*(YEAR(NymexData!$A$12:$A$47)=TradeSum!T16),NymexData!$F$12:$F$47*'Pricing Summary'!$AD$12:$AD$47))/SUM(IF((INT((MONTH(NymexData!$A$12:$A$47)-1)/3)=TradeSum!U16-1)*(YEAR(NymexData!$A$12:$A$47)=TradeSum!T16),'Pricing Summary'!$AD$12:$AD$47))</f>
        <v>4.987758902950616</v>
      </c>
      <c r="J13" s="178">
        <f>TradeSum!W16</f>
        <v>50.723754890050536</v>
      </c>
      <c r="K13" s="178">
        <f t="shared" si="2"/>
        <v>10.169648508881174</v>
      </c>
      <c r="L13" s="258">
        <f>TradeSum!W60</f>
        <v>43.314189884765831</v>
      </c>
      <c r="M13" s="384">
        <f t="shared" si="3"/>
        <v>8.6840985555942556</v>
      </c>
      <c r="P13" s="269" t="str">
        <f t="shared" si="4"/>
        <v>Q1 2003</v>
      </c>
      <c r="Q13" s="178">
        <f t="array" ref="Q13">IF(NymexData!$AA$12="",'Pricing Summary'!I13,SUM(IF((INT((MONTH(NymexData!$A$12:$A$47)-1)/3)=TradeSum!U16-1)*(YEAR(NymexData!$A$12:$A$47)=TradeSum!T16),NymexData!$L$12:$L$47*'Pricing Summary'!$AD$12:$AD$47))/SUM(IF((INT((MONTH(NymexData!$A$12:$A$47)-1)/3)=TradeSum!U16-1)*(YEAR(NymexData!$A$12:$A$47)=TradeSum!T16),'Pricing Summary'!$AD$12:$AD$47)))</f>
        <v>4.8505341868127481</v>
      </c>
      <c r="R13" s="178">
        <f t="shared" si="5"/>
        <v>50.723754890050536</v>
      </c>
      <c r="S13" s="178">
        <f t="shared" si="6"/>
        <v>10.457354373040872</v>
      </c>
      <c r="T13" s="258">
        <f t="shared" si="7"/>
        <v>43.314189884765831</v>
      </c>
      <c r="U13" s="384">
        <f t="shared" si="8"/>
        <v>8.9297772609303632</v>
      </c>
      <c r="W13" s="269">
        <f>A13</f>
        <v>37316</v>
      </c>
      <c r="X13" s="394">
        <f>VLOOKUP(W13,TradeSum!$A$56:$K$84,10)+VLOOKUP(W13,TradeSum!$A$56:$K$84,11)+VLOOKUP(W13,TradeSum!$A$12:$K$40,11)</f>
        <v>-148385.73682293942</v>
      </c>
      <c r="Y13" s="394">
        <f>VLOOKUP(W13,GasPosn!$BG$12:$BL$28,6)+VLOOKUP(W13,GasPosn!$BG$200:$BL$216,6)+VLOOKUP(W13,GasPosn!$A$329:$J$345,10)</f>
        <v>39408.782554811216</v>
      </c>
      <c r="Z13" s="394">
        <f t="shared" si="9"/>
        <v>-108976.9542681282</v>
      </c>
      <c r="AB13" s="266">
        <f>[4]EnergyCurve!$D35</f>
        <v>37226</v>
      </c>
      <c r="AC13" s="30">
        <f>IF(TradeSum!$L$6=0,VLOOKUP(AB13,TradeSum!$DM$13:$DQ$252,2)+VLOOKUP(AB13,TradeSum!$DU$13:$DY$252,3),VLOOKUP(AB13,TradeSum!$DU$13:$DY$252,2)+VLOOKUP(AB13,TradeSum!$DU$13:$DY$252,3))</f>
        <v>25</v>
      </c>
      <c r="AD13" s="30">
        <f>VLOOKUP(AB13,TradeSum!$DM$13:$DR$252,6)</f>
        <v>31</v>
      </c>
      <c r="AE13" s="30">
        <f>IF(TradeSum!$L$6=0,VLOOKUP(AB13,TradeSum!$DM$13:$DQ$252,2),VLOOKUP(AB13,TradeSum!$DU$13:$DY$252,2))</f>
        <v>20</v>
      </c>
      <c r="AF13" s="274">
        <f>[4]EnergyCurve!$G35</f>
        <v>60.049999237060547</v>
      </c>
      <c r="AG13" s="274">
        <f>[4]EnergyCurve!$Y35</f>
        <v>47.130740333705603</v>
      </c>
      <c r="AH13" s="274">
        <f>[4]EnergyCurve!$AD35</f>
        <v>47.130740333705603</v>
      </c>
      <c r="AI13" s="274">
        <f>[4]EnergyCurve!$L35</f>
        <v>36.884927217682645</v>
      </c>
      <c r="AJ13">
        <f t="shared" ref="AJ13:AJ76" si="10">(AE13*AF13+(AC13-AE13)*AG13)/AC13</f>
        <v>57.466147456389557</v>
      </c>
      <c r="AK13">
        <f t="shared" ref="AK13:AK76" si="11">(AC13*16*AJ13+(AD13-AC13)*16*AH13+AD13*8*AI13)/(AD13*24)</f>
        <v>49.272139791097921</v>
      </c>
      <c r="AM13">
        <f>IF(NymexData!AC13="",VLOOKUP('Pricing Summary'!AB13,NymexData!$S$12:$U$250,3),VLOOKUP(NymexData!AA13,NymexData!$AA$12:$AC$250,3))</f>
        <v>0.79500000000000004</v>
      </c>
      <c r="AO13" s="370">
        <f>AD13*24*VLOOKUP(AB13,Interest!$X$8:$AC$367,6)</f>
        <v>739.95622909053611</v>
      </c>
    </row>
    <row r="14" spans="1:41" ht="15.75" x14ac:dyDescent="0.25">
      <c r="A14" s="100">
        <f>TradeSum!A17</f>
        <v>37347</v>
      </c>
      <c r="B14" s="259">
        <f>IF($C$6=0,VLOOKUP(A14,NymexData!$A$12:$F$179,6),VLOOKUP(A14,NymexData!$A$12:$L$179,12))</f>
        <v>3.9023266827157825</v>
      </c>
      <c r="C14" s="260">
        <f>TradeSum!I17</f>
        <v>57.033472744236335</v>
      </c>
      <c r="D14" s="260">
        <f t="shared" si="0"/>
        <v>14.615248127956448</v>
      </c>
      <c r="E14" s="388">
        <f>TradeSum!I61</f>
        <v>44.377818484398865</v>
      </c>
      <c r="F14" s="260">
        <f t="shared" si="1"/>
        <v>11.37214336281928</v>
      </c>
      <c r="G14" s="260">
        <f>F14*TradeSum!F61*24/10000+(GasPosn!B334*1.055+GasPosn!C334+GasPosn!D17*1.055)/(VLOOKUP(A14,$AB$12:$AD$47,3))</f>
        <v>2.5335515443142409</v>
      </c>
      <c r="H14" s="379" t="str">
        <f>TradeSum!V17</f>
        <v>Q2 2003</v>
      </c>
      <c r="I14" s="132">
        <f t="array" ref="I14">SUM(IF((INT((MONTH(NymexData!$A$12:$A$47)-1)/3)=TradeSum!U17-1)*(YEAR(NymexData!$A$12:$A$47)=TradeSum!T17),NymexData!$F$12:$F$47*'Pricing Summary'!$AD$12:$AD$47))/SUM(IF((INT((MONTH(NymexData!$A$12:$A$47)-1)/3)=TradeSum!U17-1)*(YEAR(NymexData!$A$12:$A$47)=TradeSum!T17),'Pricing Summary'!$AD$12:$AD$47))</f>
        <v>4.6518547074834276</v>
      </c>
      <c r="J14" s="260">
        <f>TradeSum!W17</f>
        <v>47.181738100149737</v>
      </c>
      <c r="K14" s="260">
        <f t="shared" si="2"/>
        <v>10.142564862193264</v>
      </c>
      <c r="L14" s="132">
        <f>TradeSum!W61</f>
        <v>40.295740783808419</v>
      </c>
      <c r="M14" s="380">
        <f t="shared" si="3"/>
        <v>8.6622956471501045</v>
      </c>
      <c r="P14" s="268" t="str">
        <f t="shared" si="4"/>
        <v>Q2 2003</v>
      </c>
      <c r="Q14" s="132">
        <f t="array" ref="Q14">IF(NymexData!$AA$12="",'Pricing Summary'!I14,SUM(IF((INT((MONTH(NymexData!$A$12:$A$47)-1)/3)=TradeSum!U17-1)*(YEAR(NymexData!$A$12:$A$47)=TradeSum!T17),NymexData!$L$12:$L$47*'Pricing Summary'!$AD$12:$AD$47))/SUM(IF((INT((MONTH(NymexData!$A$12:$A$47)-1)/3)=TradeSum!U17-1)*(YEAR(NymexData!$A$12:$A$47)=TradeSum!T17),'Pricing Summary'!$AD$12:$AD$47)))</f>
        <v>4.5117844416927744</v>
      </c>
      <c r="R14" s="260">
        <f t="shared" si="5"/>
        <v>47.181738100149737</v>
      </c>
      <c r="S14" s="260">
        <f t="shared" si="6"/>
        <v>10.45744509958185</v>
      </c>
      <c r="T14" s="132">
        <f t="shared" si="7"/>
        <v>40.295740783808419</v>
      </c>
      <c r="U14" s="380">
        <f t="shared" si="8"/>
        <v>8.9312202975481423</v>
      </c>
      <c r="W14" s="396">
        <v>2002</v>
      </c>
      <c r="X14" s="392">
        <f t="array" ref="X14">SUM(IF(YEAR([4]EnergyCurve!$D$3:$D$272)=$W14,[4]EnergyCurve!$T$3:$T$272))+SUM(IF(YEAR([4]OperatingCurve!$D$3:$D$272)=$W14,[4]OperatingCurve!$T$3:$T$272))+SUM(IF(YEAR(TradeSum!$A$12:$A$40)=$W14,TradeSum!$K$12:$K$40))+SUM(IF(YEAR(TradeSum!$A$56:$A$84)=$W14,TradeSum!$K$56:$K$84))</f>
        <v>-1783068.132109477</v>
      </c>
      <c r="Y14" s="393">
        <f t="array" ref="Y14">SUM(IF(YEAR(GasPosn!$BG$12:$BG$188)=$W14,GasPosn!$BL$12:$BL$188))+SUM(IF(YEAR(GasPosn!$BG$200:$BG$316)=$W14,GasPosn!$BL$200:$BL$316))+SUM(IF(YEAR(GasPosn!$A$329:$A$445)=$W14,GasPosn!$J$329:$J$445))</f>
        <v>1566175.9974413333</v>
      </c>
      <c r="Z14" s="393">
        <f t="shared" si="9"/>
        <v>-216892.1346681437</v>
      </c>
      <c r="AB14" s="266">
        <f>[4]EnergyCurve!$D36</f>
        <v>37257</v>
      </c>
      <c r="AC14" s="30">
        <f>IF(TradeSum!$L$6=0,VLOOKUP(AB14,TradeSum!$DM$13:$DQ$252,2)+VLOOKUP(AB14,TradeSum!$DU$13:$DY$252,3),VLOOKUP(AB14,TradeSum!$DU$13:$DY$252,2)+VLOOKUP(AB14,TradeSum!$DU$13:$DY$252,3))</f>
        <v>26</v>
      </c>
      <c r="AD14" s="30">
        <f>VLOOKUP(AB14,TradeSum!$DM$13:$DR$252,6)</f>
        <v>31</v>
      </c>
      <c r="AE14" s="30">
        <f>IF(TradeSum!$L$6=0,VLOOKUP(AB14,TradeSum!$DM$13:$DQ$252,2),VLOOKUP(AB14,TradeSum!$DU$13:$DY$252,2))</f>
        <v>22</v>
      </c>
      <c r="AF14" s="274">
        <f>[4]EnergyCurve!$G36</f>
        <v>64.95851684570313</v>
      </c>
      <c r="AG14" s="274">
        <f>[4]EnergyCurve!$Y36</f>
        <v>54.488601201795085</v>
      </c>
      <c r="AH14" s="274">
        <f>[4]EnergyCurve!$AD36</f>
        <v>39.818593185927178</v>
      </c>
      <c r="AI14" s="274">
        <f>[4]EnergyCurve!$L36</f>
        <v>26.196442885478405</v>
      </c>
      <c r="AJ14">
        <f t="shared" si="10"/>
        <v>63.347760592794195</v>
      </c>
      <c r="AK14">
        <f t="shared" si="11"/>
        <v>48.433970022950547</v>
      </c>
      <c r="AM14">
        <f>IF(NymexData!AC14="",VLOOKUP('Pricing Summary'!AB14,NymexData!$S$12:$U$250,3),VLOOKUP(NymexData!AA14,NymexData!$AA$12:$AC$250,3))</f>
        <v>0.78500000000000003</v>
      </c>
      <c r="AO14" s="370">
        <f>AD14*24*VLOOKUP(AB14,Interest!$X$8:$AC$367,6)</f>
        <v>738.40544174863635</v>
      </c>
    </row>
    <row r="15" spans="1:41" ht="15.75" x14ac:dyDescent="0.25">
      <c r="A15" s="98">
        <f>TradeSum!A18</f>
        <v>37377</v>
      </c>
      <c r="B15" s="178">
        <f>IF($C$6=0,VLOOKUP(A15,NymexData!$A$12:$F$179,6),VLOOKUP(A15,NymexData!$A$12:$L$179,12))</f>
        <v>3.9474900575115317</v>
      </c>
      <c r="C15" s="258">
        <f>TradeSum!I18</f>
        <v>57.691494727767818</v>
      </c>
      <c r="D15" s="178">
        <f t="shared" si="0"/>
        <v>14.614728317805088</v>
      </c>
      <c r="E15" s="387">
        <f>TradeSum!I62</f>
        <v>44.513929891939583</v>
      </c>
      <c r="F15" s="178">
        <f t="shared" si="1"/>
        <v>11.27651475834263</v>
      </c>
      <c r="G15" s="178">
        <f>F15*TradeSum!F62*24/10000+(GasPosn!B335*1.055+GasPosn!C335+GasPosn!D18*1.055)/(VLOOKUP(A15,$AB$12:$AD$47,3))</f>
        <v>2.6398617596947842</v>
      </c>
      <c r="H15" s="383" t="str">
        <f>TradeSum!V18</f>
        <v>Q3 2003</v>
      </c>
      <c r="I15" s="178">
        <f t="array" ref="I15">SUM(IF((INT((MONTH(NymexData!$A$12:$A$47)-1)/3)=TradeSum!U18-1)*(YEAR(NymexData!$A$12:$A$47)=TradeSum!T18),NymexData!$F$12:$F$47*'Pricing Summary'!$AD$12:$AD$47))/SUM(IF((INT((MONTH(NymexData!$A$12:$A$47)-1)/3)=TradeSum!U18-1)*(YEAR(NymexData!$A$12:$A$47)=TradeSum!T18),'Pricing Summary'!$AD$12:$AD$47))</f>
        <v>4.7403164329586227</v>
      </c>
      <c r="J15" s="178">
        <f>TradeSum!W18</f>
        <v>48.142769614181539</v>
      </c>
      <c r="K15" s="178">
        <f t="shared" si="2"/>
        <v>10.156024454285996</v>
      </c>
      <c r="L15" s="258">
        <f>TradeSum!W62</f>
        <v>41.081512182802655</v>
      </c>
      <c r="M15" s="384">
        <f t="shared" si="3"/>
        <v>8.6664071404958989</v>
      </c>
      <c r="P15" s="269" t="str">
        <f t="shared" si="4"/>
        <v>Q3 2003</v>
      </c>
      <c r="Q15" s="178">
        <f t="array" ref="Q15">IF(NymexData!$AA$12="",'Pricing Summary'!I15,SUM(IF((INT((MONTH(NymexData!$A$12:$A$47)-1)/3)=TradeSum!U18-1)*(YEAR(NymexData!$A$12:$A$47)=TradeSum!T18),NymexData!$L$12:$L$47*'Pricing Summary'!$AD$12:$AD$47))/SUM(IF((INT((MONTH(NymexData!$A$12:$A$47)-1)/3)=TradeSum!U18-1)*(YEAR(NymexData!$A$12:$A$47)=TradeSum!T18),'Pricing Summary'!$AD$12:$AD$47)))</f>
        <v>4.6035804413662342</v>
      </c>
      <c r="R15" s="178">
        <f t="shared" si="5"/>
        <v>48.142769614181539</v>
      </c>
      <c r="S15" s="178">
        <f t="shared" si="6"/>
        <v>10.457679675060461</v>
      </c>
      <c r="T15" s="258">
        <f t="shared" si="7"/>
        <v>41.081512182802655</v>
      </c>
      <c r="U15" s="384">
        <f t="shared" si="8"/>
        <v>8.9238176037194705</v>
      </c>
      <c r="W15" s="397">
        <v>2003</v>
      </c>
      <c r="X15" s="394">
        <f t="array" ref="X15">SUM(IF(YEAR([4]EnergyCurve!$D$3:$D$272)=$W15,[4]EnergyCurve!$T$3:$T$272))+SUM(IF(YEAR([4]OperatingCurve!$D$3:$D$272)=$W15,[4]OperatingCurve!$T$3:$T$272))+SUM(IF(YEAR(TradeSum!$A$12:$A$40)=$W15,TradeSum!$K$12:$K$40))+SUM(IF(YEAR(TradeSum!$A$56:$A$84)=$W15,TradeSum!$K$56:$K$84))</f>
        <v>-5776995.1158334678</v>
      </c>
      <c r="Y15" s="394">
        <f t="array" ref="Y15">SUM(IF(YEAR(GasPosn!$BG$12:$BG$188)=$W15,GasPosn!$BL$12:$BL$188))+SUM(IF(YEAR(GasPosn!$BG$200:$BG$316)=$W15,GasPosn!$BL$200:$BL$316))+SUM(IF(YEAR(GasPosn!$A$329:$A$445)=$W15,GasPosn!$J$329:$J$445))</f>
        <v>5773231.7881649304</v>
      </c>
      <c r="Z15" s="394">
        <f t="shared" si="9"/>
        <v>-3763.3276685373858</v>
      </c>
      <c r="AB15" s="266">
        <f>[4]EnergyCurve!$D37</f>
        <v>37288</v>
      </c>
      <c r="AC15" s="30">
        <f>IF(TradeSum!$L$6=0,VLOOKUP(AB15,TradeSum!$DM$13:$DQ$252,2)+VLOOKUP(AB15,TradeSum!$DU$13:$DY$252,3),VLOOKUP(AB15,TradeSum!$DU$13:$DY$252,2)+VLOOKUP(AB15,TradeSum!$DU$13:$DY$252,3))</f>
        <v>24</v>
      </c>
      <c r="AD15" s="30">
        <f>VLOOKUP(AB15,TradeSum!$DM$13:$DR$252,6)</f>
        <v>28</v>
      </c>
      <c r="AE15" s="30">
        <f>IF(TradeSum!$L$6=0,VLOOKUP(AB15,TradeSum!$DM$13:$DQ$252,2),VLOOKUP(AB15,TradeSum!$DU$13:$DY$252,2))</f>
        <v>20</v>
      </c>
      <c r="AF15" s="274">
        <f>[4]EnergyCurve!$G37</f>
        <v>64.2347412109375</v>
      </c>
      <c r="AG15" s="274">
        <f>[4]EnergyCurve!$Y37</f>
        <v>53.870473039937146</v>
      </c>
      <c r="AH15" s="274">
        <f>[4]EnergyCurve!$AD37</f>
        <v>39.366884144569454</v>
      </c>
      <c r="AI15" s="274">
        <f>[4]EnergyCurve!$L37</f>
        <v>25.899265884585166</v>
      </c>
      <c r="AJ15">
        <f t="shared" si="10"/>
        <v>62.507363182437444</v>
      </c>
      <c r="AK15">
        <f t="shared" si="11"/>
        <v>48.100808936689731</v>
      </c>
      <c r="AM15">
        <f>IF(NymexData!AC15="",VLOOKUP('Pricing Summary'!AB15,NymexData!$S$12:$U$250,3),VLOOKUP(NymexData!AA15,NymexData!$AA$12:$AC$250,3))</f>
        <v>0.72499999999999998</v>
      </c>
      <c r="AO15" s="370">
        <f>AD15*24*VLOOKUP(AB15,Interest!$X$8:$AC$367,6)</f>
        <v>665.74315606605967</v>
      </c>
    </row>
    <row r="16" spans="1:41" ht="15.75" x14ac:dyDescent="0.25">
      <c r="A16" s="100">
        <f>TradeSum!A19</f>
        <v>37408</v>
      </c>
      <c r="B16" s="259">
        <f>IF($C$6=0,VLOOKUP(A16,NymexData!$A$12:$F$179,6),VLOOKUP(A16,NymexData!$A$12:$L$179,12))</f>
        <v>4.0075017658703</v>
      </c>
      <c r="C16" s="260">
        <f>TradeSum!I19</f>
        <v>58.108775605119355</v>
      </c>
      <c r="D16" s="260">
        <f t="shared" si="0"/>
        <v>14.500000000000002</v>
      </c>
      <c r="E16" s="388">
        <f>TradeSum!I63</f>
        <v>44.861755879048083</v>
      </c>
      <c r="F16" s="260">
        <f t="shared" si="1"/>
        <v>11.194444444444445</v>
      </c>
      <c r="G16" s="260">
        <f>F16*TradeSum!F63*24/10000+(GasPosn!B336*1.055+GasPosn!C336+GasPosn!D19*1.055)/(VLOOKUP(A16,$AB$12:$AD$47,3))</f>
        <v>2.6410982553732407</v>
      </c>
      <c r="H16" s="379" t="str">
        <f>TradeSum!V19</f>
        <v>Q4 2003</v>
      </c>
      <c r="I16" s="132">
        <f t="array" ref="I16">SUM(IF((INT((MONTH(NymexData!$A$12:$A$47)-1)/3)=TradeSum!U19-1)*(YEAR(NymexData!$A$12:$A$47)=TradeSum!T19),NymexData!$F$12:$F$47*'Pricing Summary'!$AD$12:$AD$47))/SUM(IF((INT((MONTH(NymexData!$A$12:$A$47)-1)/3)=TradeSum!U19-1)*(YEAR(NymexData!$A$12:$A$47)=TradeSum!T19),'Pricing Summary'!$AD$12:$AD$47))</f>
        <v>5.0330915405713128</v>
      </c>
      <c r="J16" s="260">
        <f>TradeSum!W19</f>
        <v>51.431726851279095</v>
      </c>
      <c r="K16" s="260">
        <f t="shared" si="2"/>
        <v>10.218714767393445</v>
      </c>
      <c r="L16" s="132">
        <f>TradeSum!W63</f>
        <v>43.890025269879928</v>
      </c>
      <c r="M16" s="380">
        <f t="shared" si="3"/>
        <v>8.7202914781275584</v>
      </c>
      <c r="P16" s="268" t="str">
        <f t="shared" si="4"/>
        <v>Q4 2003</v>
      </c>
      <c r="Q16" s="132">
        <f t="array" ref="Q16">IF(NymexData!$AA$12="",'Pricing Summary'!I16,SUM(IF((INT((MONTH(NymexData!$A$12:$A$47)-1)/3)=TradeSum!U19-1)*(YEAR(NymexData!$A$12:$A$47)=TradeSum!T19),NymexData!$L$12:$L$47*'Pricing Summary'!$AD$12:$AD$47))/SUM(IF((INT((MONTH(NymexData!$A$12:$A$47)-1)/3)=TradeSum!U19-1)*(YEAR(NymexData!$A$12:$A$47)=TradeSum!T19),'Pricing Summary'!$AD$12:$AD$47)))</f>
        <v>4.9218372062503164</v>
      </c>
      <c r="R16" s="260">
        <f t="shared" si="5"/>
        <v>51.431726851279095</v>
      </c>
      <c r="S16" s="260">
        <f t="shared" si="6"/>
        <v>10.449700934026254</v>
      </c>
      <c r="T16" s="132">
        <f t="shared" si="7"/>
        <v>43.890025269879928</v>
      </c>
      <c r="U16" s="380">
        <f t="shared" si="8"/>
        <v>8.9174069418922084</v>
      </c>
      <c r="W16" s="396">
        <v>2004</v>
      </c>
      <c r="X16" s="392">
        <f t="array" ref="X16">SUM(IF(YEAR([4]EnergyCurve!$D$3:$D$272)=$W16,[4]EnergyCurve!$T$3:$T$272))+SUM(IF(YEAR([4]OperatingCurve!$D$3:$D$272)=$W16,[4]OperatingCurve!$T$3:$T$272))+SUM(IF(YEAR(TradeSum!$A$12:$A$40)=$W16,TradeSum!$K$12:$K$40))+SUM(IF(YEAR(TradeSum!$A$56:$A$84)=$W16,TradeSum!$K$56:$K$84))</f>
        <v>-2279998.639366345</v>
      </c>
      <c r="Y16" s="393">
        <f t="array" ref="Y16">SUM(IF(YEAR(GasPosn!$BG$12:$BG$188)=$W16,GasPosn!$BL$12:$BL$188))+SUM(IF(YEAR(GasPosn!$BG$200:$BG$316)=$W16,GasPosn!$BL$200:$BL$316))+SUM(IF(YEAR(GasPosn!$A$329:$A$445)=$W16,GasPosn!$J$329:$J$445))</f>
        <v>2268474.2549522202</v>
      </c>
      <c r="Z16" s="393">
        <f t="shared" si="9"/>
        <v>-11524.384414124768</v>
      </c>
      <c r="AB16" s="266">
        <f>[4]EnergyCurve!$D38</f>
        <v>37316</v>
      </c>
      <c r="AC16" s="30">
        <f>IF(TradeSum!$L$6=0,VLOOKUP(AB16,TradeSum!$DM$13:$DQ$252,2)+VLOOKUP(AB16,TradeSum!$DU$13:$DY$252,3),VLOOKUP(AB16,TradeSum!$DU$13:$DY$252,2)+VLOOKUP(AB16,TradeSum!$DU$13:$DY$252,3))</f>
        <v>26</v>
      </c>
      <c r="AD16" s="30">
        <f>VLOOKUP(AB16,TradeSum!$DM$13:$DR$252,6)</f>
        <v>31</v>
      </c>
      <c r="AE16" s="30">
        <f>IF(TradeSum!$L$6=0,VLOOKUP(AB16,TradeSum!$DM$13:$DQ$252,2),VLOOKUP(AB16,TradeSum!$DU$13:$DY$252,2))</f>
        <v>21</v>
      </c>
      <c r="AF16" s="274">
        <f>[4]EnergyCurve!$G38</f>
        <v>62.329048461914063</v>
      </c>
      <c r="AG16" s="274">
        <f>[4]EnergyCurve!$Y38</f>
        <v>52.271740750213738</v>
      </c>
      <c r="AH16" s="274">
        <f>[4]EnergyCurve!$AD38</f>
        <v>38.198579779002351</v>
      </c>
      <c r="AI16" s="274">
        <f>[4]EnergyCurve!$L38</f>
        <v>25.130644591448913</v>
      </c>
      <c r="AJ16">
        <f t="shared" si="10"/>
        <v>60.39495082504861</v>
      </c>
      <c r="AK16">
        <f t="shared" si="11"/>
        <v>46.253475516424388</v>
      </c>
      <c r="AM16">
        <f>IF(NymexData!AC16="",VLOOKUP('Pricing Summary'!AB16,NymexData!$S$12:$U$250,3),VLOOKUP(NymexData!AA16,NymexData!$AA$12:$AC$250,3))</f>
        <v>0.65</v>
      </c>
      <c r="AO16" s="370">
        <f>AD16*24*VLOOKUP(AB16,Interest!$X$8:$AC$367,6)</f>
        <v>735.69324722545696</v>
      </c>
    </row>
    <row r="17" spans="1:41" ht="15.75" x14ac:dyDescent="0.25">
      <c r="A17" s="98">
        <f>TradeSum!A20</f>
        <v>37438</v>
      </c>
      <c r="B17" s="178">
        <f>IF($C$6=0,VLOOKUP(A17,NymexData!$A$12:$F$179,6),VLOOKUP(A17,NymexData!$A$12:$L$179,12))</f>
        <v>4.0600092445604075</v>
      </c>
      <c r="C17" s="258">
        <f>TradeSum!I20</f>
        <v>50.437807153577367</v>
      </c>
      <c r="D17" s="178">
        <f t="shared" si="0"/>
        <v>12.423076923076923</v>
      </c>
      <c r="E17" s="387">
        <f>TradeSum!I64</f>
        <v>40.807458509170331</v>
      </c>
      <c r="F17" s="178">
        <f t="shared" si="1"/>
        <v>10.051075268817204</v>
      </c>
      <c r="G17" s="178">
        <f>F17*TradeSum!F64*24/10000+(GasPosn!B337*1.055+GasPosn!C337+GasPosn!D20*1.055)/(VLOOKUP(A17,$AB$12:$AD$47,3))</f>
        <v>1.0350723142243012</v>
      </c>
      <c r="H17" s="383" t="str">
        <f>TradeSum!V20</f>
        <v>Bal 2002</v>
      </c>
      <c r="I17" s="178">
        <f t="array" ref="I17">SUM(IF((YEAR(NymexData!$A$12:$A$47)=TradeSum!T20),NymexData!$F$12:$F$47*'Pricing Summary'!$AD$12:$AD$47))/SUM(IF((YEAR(NymexData!$A$12:$A$47)=TradeSum!T20),'Pricing Summary'!$AD$12:$AD$47))</f>
        <v>4.2763215565140378</v>
      </c>
      <c r="J17" s="178">
        <f>TradeSum!W20</f>
        <v>57.512102257146779</v>
      </c>
      <c r="K17" s="178">
        <f t="shared" si="2"/>
        <v>13.448965775162465</v>
      </c>
      <c r="L17" s="258">
        <f>TradeSum!W64</f>
        <v>45.12030047200583</v>
      </c>
      <c r="M17" s="384">
        <f t="shared" si="3"/>
        <v>10.551194496418294</v>
      </c>
      <c r="P17" s="269" t="str">
        <f t="shared" si="4"/>
        <v>Bal 2002</v>
      </c>
      <c r="Q17" s="178">
        <f t="array" ref="Q17">IF(NymexData!$AA$12="",'Pricing Summary'!I17,SUM(IF((YEAR(NymexData!$A$12:$A$47)=TradeSum!T20),NymexData!$L$12:$L$47*'Pricing Summary'!$AD$12:$AD$47))/SUM(IF((YEAR(NymexData!$A$12:$A$47)=TradeSum!T20),'Pricing Summary'!$AD$12:$AD$47)))</f>
        <v>4.1653376453966686</v>
      </c>
      <c r="R17" s="178">
        <f t="shared" si="5"/>
        <v>57.512102257146779</v>
      </c>
      <c r="S17" s="178">
        <f t="shared" si="6"/>
        <v>13.807308591347066</v>
      </c>
      <c r="T17" s="258">
        <f t="shared" si="7"/>
        <v>45.12030047200583</v>
      </c>
      <c r="U17" s="384">
        <f t="shared" si="8"/>
        <v>10.832327247677178</v>
      </c>
      <c r="W17" s="397">
        <v>2005</v>
      </c>
      <c r="X17" s="394">
        <f t="array" ref="X17">SUM(IF(YEAR([4]EnergyCurve!$D$3:$D$272)=$W17,[4]EnergyCurve!$T$3:$T$272))+SUM(IF(YEAR([4]OperatingCurve!$D$3:$D$272)=$W17,[4]OperatingCurve!$T$3:$T$272))+SUM(IF(YEAR(TradeSum!$A$12:$A$40)=$W17,TradeSum!$K$12:$K$40))+SUM(IF(YEAR(TradeSum!$A$56:$A$84)=$W17,TradeSum!$K$56:$K$84))</f>
        <v>-1897744.8273958247</v>
      </c>
      <c r="Y17" s="394">
        <f t="array" ref="Y17">SUM(IF(YEAR(GasPosn!$BG$12:$BG$188)=$W17,GasPosn!$BL$12:$BL$188))+SUM(IF(YEAR(GasPosn!$BG$200:$BG$316)=$W17,GasPosn!$BL$200:$BL$316))+SUM(IF(YEAR(GasPosn!$A$329:$A$445)=$W17,GasPosn!$J$329:$J$445))</f>
        <v>1902713.4435203364</v>
      </c>
      <c r="Z17" s="394">
        <f t="shared" si="9"/>
        <v>4968.6161245116964</v>
      </c>
      <c r="AB17" s="266">
        <f>[4]EnergyCurve!$D39</f>
        <v>37347</v>
      </c>
      <c r="AC17" s="30">
        <f>IF(TradeSum!$L$6=0,VLOOKUP(AB17,TradeSum!$DM$13:$DQ$252,2)+VLOOKUP(AB17,TradeSum!$DU$13:$DY$252,3),VLOOKUP(AB17,TradeSum!$DU$13:$DY$252,2)+VLOOKUP(AB17,TradeSum!$DU$13:$DY$252,3))</f>
        <v>26</v>
      </c>
      <c r="AD17" s="30">
        <f>VLOOKUP(AB17,TradeSum!$DM$13:$DR$252,6)</f>
        <v>30</v>
      </c>
      <c r="AE17" s="30">
        <f>IF(TradeSum!$L$6=0,VLOOKUP(AB17,TradeSum!$DM$13:$DQ$252,2),VLOOKUP(AB17,TradeSum!$DU$13:$DY$252,2))</f>
        <v>22</v>
      </c>
      <c r="AF17" s="274">
        <f>[4]EnergyCurve!$G39</f>
        <v>58.534270782470706</v>
      </c>
      <c r="AG17" s="274">
        <f>[4]EnergyCurve!$Y39</f>
        <v>48.779083533947279</v>
      </c>
      <c r="AH17" s="274">
        <f>[4]EnergyCurve!$AD39</f>
        <v>37.072103485799936</v>
      </c>
      <c r="AI17" s="274">
        <f>[4]EnergyCurve!$L39</f>
        <v>24.38954176697364</v>
      </c>
      <c r="AJ17">
        <f t="shared" si="10"/>
        <v>57.033472744236335</v>
      </c>
      <c r="AK17">
        <f t="shared" si="11"/>
        <v>44.377818484398865</v>
      </c>
      <c r="AM17">
        <f>IF(NymexData!AC17="",VLOOKUP('Pricing Summary'!AB17,NymexData!$S$12:$U$250,3),VLOOKUP(NymexData!AA17,NymexData!$AA$12:$AC$250,3))</f>
        <v>0.52249999999999996</v>
      </c>
      <c r="AO17" s="370">
        <f>AD17*24*VLOOKUP(AB17,Interest!$X$8:$AC$367,6)</f>
        <v>710.67898323787892</v>
      </c>
    </row>
    <row r="18" spans="1:41" ht="15.75" x14ac:dyDescent="0.25">
      <c r="A18" s="100">
        <f>TradeSum!A21</f>
        <v>37469</v>
      </c>
      <c r="B18" s="259">
        <f>IF($C$6=0,VLOOKUP(A18,NymexData!$A$12:$F$179,6),VLOOKUP(A18,NymexData!$A$12:$L$179,12))</f>
        <v>4.1123961680983641</v>
      </c>
      <c r="C18" s="260">
        <f>TradeSum!I21</f>
        <v>51.024174678257481</v>
      </c>
      <c r="D18" s="260">
        <f t="shared" si="0"/>
        <v>12.407407407407408</v>
      </c>
      <c r="E18" s="388">
        <f>TradeSum!I65</f>
        <v>41.555099988929442</v>
      </c>
      <c r="F18" s="260">
        <f t="shared" si="1"/>
        <v>10.10483870967742</v>
      </c>
      <c r="G18" s="260">
        <f>F18*TradeSum!F65*24/10000+(GasPosn!B338*1.055+GasPosn!C338+GasPosn!D21*1.055)/(VLOOKUP(A18,$AB$12:$AD$47,3))</f>
        <v>1.0509840352026707</v>
      </c>
      <c r="H18" s="379" t="str">
        <f>"Cal "&amp;TradeSum!V21</f>
        <v>Cal 2003</v>
      </c>
      <c r="I18" s="132">
        <f t="array" ref="I18">SUM(IF((YEAR(NymexData!$A$12:$A$47)=TradeSum!T21),NymexData!$F$12:$F$47*'Pricing Summary'!$AD$12:$AD$47))/SUM(IF((YEAR(NymexData!$A$12:$A$47)=TradeSum!T21),'Pricing Summary'!$AD$12:$AD$47))</f>
        <v>4.8530701731816466</v>
      </c>
      <c r="J18" s="260">
        <f>TradeSum!W21</f>
        <v>49.365587730279607</v>
      </c>
      <c r="K18" s="260">
        <f t="shared" si="2"/>
        <v>10.172032542013666</v>
      </c>
      <c r="L18" s="132">
        <f>TradeSum!W65</f>
        <v>42.141559789745962</v>
      </c>
      <c r="M18" s="380">
        <f t="shared" si="3"/>
        <v>8.6834845336922424</v>
      </c>
      <c r="P18" s="268" t="str">
        <f t="shared" si="4"/>
        <v>Cal 2003</v>
      </c>
      <c r="Q18" s="132">
        <f t="array" ref="Q18">IF(NymexData!$AA$12="",'Pricing Summary'!I18,SUM(IF((YEAR(NymexData!$A$12:$A$47)=TradeSum!T21),NymexData!$L$12:$L$47*'Pricing Summary'!$AD$12:$AD$47))/SUM(IF((YEAR(NymexData!$A$12:$A$47)=TradeSum!T21),'Pricing Summary'!$AD$12:$AD$47)))</f>
        <v>4.7218051632545555</v>
      </c>
      <c r="R18" s="260">
        <f t="shared" si="5"/>
        <v>49.365587730279607</v>
      </c>
      <c r="S18" s="260">
        <f t="shared" si="6"/>
        <v>10.454812518408497</v>
      </c>
      <c r="T18" s="132">
        <f t="shared" si="7"/>
        <v>42.141559789745962</v>
      </c>
      <c r="U18" s="380">
        <f t="shared" si="8"/>
        <v>8.9248832454364617</v>
      </c>
      <c r="W18" s="396">
        <v>2006</v>
      </c>
      <c r="X18" s="392">
        <f t="array" ref="X18">SUM(IF(YEAR([4]EnergyCurve!$D$3:$D$272)=$W18,[4]EnergyCurve!$T$3:$T$272))+SUM(IF(YEAR([4]OperatingCurve!$D$3:$D$272)=$W18,[4]OperatingCurve!$T$3:$T$272))+SUM(IF(YEAR(TradeSum!$A$12:$A$40)=$W18,TradeSum!$K$12:$K$40))+SUM(IF(YEAR(TradeSum!$A$56:$A$84)=$W18,TradeSum!$K$56:$K$84))</f>
        <v>-1717334.4220458213</v>
      </c>
      <c r="Y18" s="393">
        <f t="array" ref="Y18">SUM(IF(YEAR(GasPosn!$BG$12:$BG$188)=$W18,GasPosn!$BL$12:$BL$188))+SUM(IF(YEAR(GasPosn!$BG$200:$BG$316)=$W18,GasPosn!$BL$200:$BL$316))+SUM(IF(YEAR(GasPosn!$A$329:$A$445)=$W18,GasPosn!$J$329:$J$445))</f>
        <v>1639054.5725099978</v>
      </c>
      <c r="Z18" s="393">
        <f t="shared" si="9"/>
        <v>-78279.849535823567</v>
      </c>
      <c r="AB18" s="266">
        <f>[4]EnergyCurve!$D40</f>
        <v>37377</v>
      </c>
      <c r="AC18" s="30">
        <f>IF(TradeSum!$L$6=0,VLOOKUP(AB18,TradeSum!$DM$13:$DQ$252,2)+VLOOKUP(AB18,TradeSum!$DU$13:$DY$252,3),VLOOKUP(AB18,TradeSum!$DU$13:$DY$252,2)+VLOOKUP(AB18,TradeSum!$DU$13:$DY$252,3))</f>
        <v>26</v>
      </c>
      <c r="AD18" s="30">
        <f>VLOOKUP(AB18,TradeSum!$DM$13:$DR$252,6)</f>
        <v>31</v>
      </c>
      <c r="AE18" s="30">
        <f>IF(TradeSum!$L$6=0,VLOOKUP(AB18,TradeSum!$DM$13:$DQ$252,2),VLOOKUP(AB18,TradeSum!$DU$13:$DY$252,2))</f>
        <v>22</v>
      </c>
      <c r="AF18" s="274">
        <f>[4]EnergyCurve!$G40</f>
        <v>59.209289093017581</v>
      </c>
      <c r="AG18" s="274">
        <f>[4]EnergyCurve!$Y40</f>
        <v>49.343625718894145</v>
      </c>
      <c r="AH18" s="274">
        <f>[4]EnergyCurve!$AD40</f>
        <v>37.501155546359549</v>
      </c>
      <c r="AI18" s="274">
        <f>[4]EnergyCurve!$L40</f>
        <v>24.671812859447073</v>
      </c>
      <c r="AJ18">
        <f t="shared" si="10"/>
        <v>57.691494727767818</v>
      </c>
      <c r="AK18">
        <f t="shared" si="11"/>
        <v>44.513929891939583</v>
      </c>
      <c r="AM18">
        <f>IF(NymexData!AC18="",VLOOKUP('Pricing Summary'!AB18,NymexData!$S$12:$U$250,3),VLOOKUP(NymexData!AA18,NymexData!$AA$12:$AC$250,3))</f>
        <v>0.47</v>
      </c>
      <c r="AO18" s="370">
        <f>AD18*24*VLOOKUP(AB18,Interest!$X$8:$AC$367,6)</f>
        <v>732.88274348312302</v>
      </c>
    </row>
    <row r="19" spans="1:41" ht="15.75" x14ac:dyDescent="0.25">
      <c r="A19" s="98">
        <f>TradeSum!A22</f>
        <v>37500</v>
      </c>
      <c r="B19" s="178">
        <f>IF($C$6=0,VLOOKUP(A19,NymexData!$A$12:$F$179,6),VLOOKUP(A19,NymexData!$A$12:$L$179,12))</f>
        <v>4.1124405483909783</v>
      </c>
      <c r="C19" s="258">
        <f>TradeSum!I22</f>
        <v>51.062803475854651</v>
      </c>
      <c r="D19" s="178">
        <f t="shared" si="0"/>
        <v>12.416666666666668</v>
      </c>
      <c r="E19" s="387">
        <f>TradeSum!I66</f>
        <v>41.010171024232257</v>
      </c>
      <c r="F19" s="178">
        <f t="shared" si="1"/>
        <v>9.9722222222222232</v>
      </c>
      <c r="G19" s="178">
        <f>F19*TradeSum!F66*24/10000+(GasPosn!B339*1.055+GasPosn!C339+GasPosn!D22*1.055)/(VLOOKUP(A19,$AB$12:$AD$47,3))</f>
        <v>1.1766750203350966</v>
      </c>
      <c r="H19" s="383" t="str">
        <f>"Cal "&amp;TradeSum!V22</f>
        <v>Cal 2004</v>
      </c>
      <c r="I19" s="178">
        <f t="array" ref="I19">SUM(IF((YEAR(NymexData!$A$12:$A$60)=TradeSum!T22),NymexData!$F$12:$F$60*'Pricing Summary'!$AD$12:$AD$60))/SUM(IF((YEAR(NymexData!$A$12:$A$60)=TradeSum!T22),'Pricing Summary'!$AD$12:$AD$60))</f>
        <v>4.9789398445760771</v>
      </c>
      <c r="J19" s="178">
        <f>TradeSum!W22</f>
        <v>47.302692903622351</v>
      </c>
      <c r="K19" s="178">
        <f t="shared" si="2"/>
        <v>9.5005552146111238</v>
      </c>
      <c r="L19" s="258">
        <f>TradeSum!W66</f>
        <v>41.255702912983054</v>
      </c>
      <c r="M19" s="384">
        <f t="shared" si="3"/>
        <v>8.2860416475860621</v>
      </c>
      <c r="P19" s="269" t="str">
        <f t="shared" si="4"/>
        <v>Cal 2004</v>
      </c>
      <c r="Q19" s="178">
        <f t="array" ref="Q19">IF(NymexData!$AA$12="",'Pricing Summary'!I19,SUM(IF((YEAR(NymexData!$A$12:$A$47)=TradeSum!T22),NymexData!$L$12:$L$47*'Pricing Summary'!$AD$12:$AD$47))/SUM(IF((YEAR(NymexData!$A$12:$A$47)=TradeSum!T22),'Pricing Summary'!$AD$12:$AD$47)))</f>
        <v>4.8333853969958707</v>
      </c>
      <c r="R19" s="178">
        <f t="shared" si="5"/>
        <v>47.302692903622351</v>
      </c>
      <c r="S19" s="178">
        <f t="shared" si="6"/>
        <v>9.7866586291717468</v>
      </c>
      <c r="T19" s="258">
        <f t="shared" si="7"/>
        <v>41.255702912983054</v>
      </c>
      <c r="U19" s="384">
        <f t="shared" si="8"/>
        <v>8.5355707282570545</v>
      </c>
      <c r="W19" s="397">
        <v>2007</v>
      </c>
      <c r="X19" s="394">
        <f t="array" ref="X19">SUM(IF(YEAR([4]EnergyCurve!$D$3:$D$272)=$W19,[4]EnergyCurve!$T$3:$T$272))+SUM(IF(YEAR([4]OperatingCurve!$D$3:$D$272)=$W19,[4]OperatingCurve!$T$3:$T$272))+SUM(IF(YEAR(TradeSum!$A$12:$A$40)=$W19,TradeSum!$K$12:$K$40))+SUM(IF(YEAR(TradeSum!$A$56:$A$84)=$W19,TradeSum!$K$56:$K$84))</f>
        <v>-1483840.8677021309</v>
      </c>
      <c r="Y19" s="394">
        <f t="array" ref="Y19">SUM(IF(YEAR(GasPosn!$BG$12:$BG$188)=$W19,GasPosn!$BL$12:$BL$188))+SUM(IF(YEAR(GasPosn!$BG$200:$BG$316)=$W19,GasPosn!$BL$200:$BL$316))+SUM(IF(YEAR(GasPosn!$A$329:$A$445)=$W19,GasPosn!$J$329:$J$445))</f>
        <v>1405844.3365031625</v>
      </c>
      <c r="Z19" s="394">
        <f t="shared" si="9"/>
        <v>-77996.531198968412</v>
      </c>
      <c r="AB19" s="266">
        <f>[4]EnergyCurve!$D41</f>
        <v>37408</v>
      </c>
      <c r="AC19" s="30">
        <f>IF(TradeSum!$L$6=0,VLOOKUP(AB19,TradeSum!$DM$13:$DQ$252,2)+VLOOKUP(AB19,TradeSum!$DU$13:$DY$252,3),VLOOKUP(AB19,TradeSum!$DU$13:$DY$252,2)+VLOOKUP(AB19,TradeSum!$DU$13:$DY$252,3))</f>
        <v>25</v>
      </c>
      <c r="AD19" s="30">
        <f>VLOOKUP(AB19,TradeSum!$DM$13:$DR$252,6)</f>
        <v>30</v>
      </c>
      <c r="AE19" s="30">
        <f>IF(TradeSum!$L$6=0,VLOOKUP(AB19,TradeSum!$DM$13:$DQ$252,2),VLOOKUP(AB19,TradeSum!$DU$13:$DY$252,2))</f>
        <v>20</v>
      </c>
      <c r="AF19" s="274">
        <f>[4]EnergyCurve!$G41</f>
        <v>60.112526488054499</v>
      </c>
      <c r="AG19" s="274">
        <f>[4]EnergyCurve!$Y41</f>
        <v>50.093772073378751</v>
      </c>
      <c r="AH19" s="274">
        <f>[4]EnergyCurve!$AD41</f>
        <v>38.071266775767853</v>
      </c>
      <c r="AI19" s="274">
        <f>[4]EnergyCurve!$L41</f>
        <v>25.046886036689376</v>
      </c>
      <c r="AJ19">
        <f t="shared" si="10"/>
        <v>58.108775605119355</v>
      </c>
      <c r="AK19">
        <f t="shared" si="11"/>
        <v>44.861755879048083</v>
      </c>
      <c r="AM19">
        <f>IF(NymexData!AC19="",VLOOKUP('Pricing Summary'!AB19,NymexData!$S$12:$U$250,3),VLOOKUP(NymexData!AA19,NymexData!$AA$12:$AC$250,3))</f>
        <v>0.45750000000000002</v>
      </c>
      <c r="AO19" s="370">
        <f>AD19*24*VLOOKUP(AB19,Interest!$X$8:$AC$367,6)</f>
        <v>707.87184331781043</v>
      </c>
    </row>
    <row r="20" spans="1:41" ht="15.75" x14ac:dyDescent="0.25">
      <c r="A20" s="100">
        <f>TradeSum!A23</f>
        <v>37530</v>
      </c>
      <c r="B20" s="259">
        <f>IF($C$6=0,VLOOKUP(A20,NymexData!$A$12:$F$179,6),VLOOKUP(A20,NymexData!$A$12:$L$179,12))</f>
        <v>4.1573109374282682</v>
      </c>
      <c r="C20" s="260">
        <f>TradeSum!I23</f>
        <v>55.353825259461566</v>
      </c>
      <c r="D20" s="260">
        <f t="shared" si="0"/>
        <v>13.314814814814813</v>
      </c>
      <c r="E20" s="388">
        <f>TradeSum!I67</f>
        <v>44.199367627765596</v>
      </c>
      <c r="F20" s="260">
        <f t="shared" si="1"/>
        <v>10.631720430107528</v>
      </c>
      <c r="G20" s="260">
        <f>F20*TradeSum!F67*24/10000+(GasPosn!B340*1.055+GasPosn!C340+GasPosn!D23*1.055)/(VLOOKUP(A20,$AB$12:$AD$47,3))</f>
        <v>2.9510524853386069</v>
      </c>
      <c r="H20" s="379" t="str">
        <f>"Cal "&amp;AA20</f>
        <v>Cal 2005</v>
      </c>
      <c r="I20" s="132">
        <f t="array" ref="I20">SUM(IF((YEAR(NymexData!$A$12:$A$244)=AA20),NymexData!$F$12:$F$244*'Pricing Summary'!$AD$12:$AD$244))/SUM(IF((YEAR(NymexData!$A$12:$A$244)=AA20),'Pricing Summary'!$AD$12:$AD$244))</f>
        <v>5.1031803006902647</v>
      </c>
      <c r="J20" s="260">
        <f t="array" ref="J20">SUM(IF((YEAR($AB$12:$AB$244)=AA20),$AJ$12:$AJ$244*$AC$12:$AC$244))/SUM(IF((YEAR($AB$12:$AB$244)=AA20),$AC$12:$AC$244))</f>
        <v>47.116446503398862</v>
      </c>
      <c r="K20" s="260">
        <f>J20/I20</f>
        <v>9.2327614795475306</v>
      </c>
      <c r="L20" s="260">
        <f t="array" ref="L20">SUM(IF((YEAR($AB$12:$AB$244)=AA20),$AK$12:$AK$244*$AD$12:$AD$244))/SUM(IF((YEAR($AB$12:$AB$244)=AA20),$AD$12:$AD$244))</f>
        <v>41.426773864787883</v>
      </c>
      <c r="M20" s="380">
        <f>L20/I20</f>
        <v>8.1178346489510531</v>
      </c>
      <c r="P20" s="268" t="str">
        <f t="shared" si="4"/>
        <v>Cal 2005</v>
      </c>
      <c r="Q20" s="132">
        <f t="array" ref="Q20">IF(NymexData!$AA$12="",'Pricing Summary'!I20,SUM(IF((YEAR(NymexData!$A$12:$A$178)=AA20),NymexData!$L$12:$L$178*'Pricing Summary'!$AD$12:$AD$178))/SUM(IF((YEAR(NymexData!$A$12:$A$178)=AA20),'Pricing Summary'!$AD$12:$AD$178)))</f>
        <v>5.0278854124519192</v>
      </c>
      <c r="R20" s="260">
        <f t="shared" si="5"/>
        <v>47.116446503398862</v>
      </c>
      <c r="S20" s="260">
        <f>R20/Q20</f>
        <v>9.3710263139075529</v>
      </c>
      <c r="T20" s="260">
        <f t="shared" si="7"/>
        <v>41.426773864787883</v>
      </c>
      <c r="U20" s="380">
        <f>T20/Q20</f>
        <v>8.2394029430725499</v>
      </c>
      <c r="W20" s="396">
        <v>2008</v>
      </c>
      <c r="X20" s="392">
        <f t="array" ref="X20">SUM(IF(YEAR([4]EnergyCurve!$D$3:$D$272)=$W20,[4]EnergyCurve!$T$3:$T$272))+SUM(IF(YEAR([4]OperatingCurve!$D$3:$D$272)=$W20,[4]OperatingCurve!$T$3:$T$272))+SUM(IF(YEAR(TradeSum!$A$12:$A$40)=$W20,TradeSum!$K$12:$K$40))+SUM(IF(YEAR(TradeSum!$A$56:$A$84)=$W20,TradeSum!$K$56:$K$84))</f>
        <v>-1283458.4376577765</v>
      </c>
      <c r="Y20" s="393">
        <f t="array" ref="Y20">SUM(IF(YEAR(GasPosn!$BG$12:$BG$188)=$W20,GasPosn!$BL$12:$BL$188))+SUM(IF(YEAR(GasPosn!$BG$200:$BG$316)=$W20,GasPosn!$BL$200:$BL$316))+SUM(IF(YEAR(GasPosn!$A$329:$A$445)=$W20,GasPosn!$J$329:$J$445))</f>
        <v>1183875.7408583937</v>
      </c>
      <c r="Z20" s="393">
        <f t="shared" si="9"/>
        <v>-99582.6967993828</v>
      </c>
      <c r="AA20">
        <f>TradeSum!T22+1</f>
        <v>2005</v>
      </c>
      <c r="AB20" s="266">
        <f>[4]EnergyCurve!$D42</f>
        <v>37438</v>
      </c>
      <c r="AC20" s="30">
        <f>IF(TradeSum!$L$6=0,VLOOKUP(AB20,TradeSum!$DM$13:$DQ$252,2)+VLOOKUP(AB20,TradeSum!$DU$13:$DY$252,3),VLOOKUP(AB20,TradeSum!$DU$13:$DY$252,2)+VLOOKUP(AB20,TradeSum!$DU$13:$DY$252,3))</f>
        <v>26</v>
      </c>
      <c r="AD20" s="30">
        <f>VLOOKUP(AB20,TradeSum!$DM$13:$DR$252,6)</f>
        <v>31</v>
      </c>
      <c r="AE20" s="30">
        <f>IF(TradeSum!$L$6=0,VLOOKUP(AB20,TradeSum!$DM$13:$DQ$252,2),VLOOKUP(AB20,TradeSum!$DU$13:$DY$252,2))</f>
        <v>22</v>
      </c>
      <c r="AF20" s="274">
        <f>[4]EnergyCurve!$G42</f>
        <v>50.750115557005095</v>
      </c>
      <c r="AG20" s="274">
        <f>[4]EnergyCurve!$Y42</f>
        <v>48.720110934724886</v>
      </c>
      <c r="AH20" s="274">
        <f>[4]EnergyCurve!$AD42</f>
        <v>38.570087823323874</v>
      </c>
      <c r="AI20" s="274">
        <f>[4]EnergyCurve!$L42</f>
        <v>25.375057778502548</v>
      </c>
      <c r="AJ20">
        <f t="shared" si="10"/>
        <v>50.437807153577367</v>
      </c>
      <c r="AK20">
        <f t="shared" si="11"/>
        <v>40.807458509170331</v>
      </c>
      <c r="AM20">
        <f>IF(NymexData!AC20="",VLOOKUP('Pricing Summary'!AB20,NymexData!$S$12:$U$250,3),VLOOKUP(NymexData!AA20,NymexData!$AA$12:$AC$250,3))</f>
        <v>0.45750000000000002</v>
      </c>
      <c r="AO20" s="370">
        <f>AD20*24*VLOOKUP(AB20,Interest!$X$8:$AC$367,6)</f>
        <v>729.94453443531984</v>
      </c>
    </row>
    <row r="21" spans="1:41" ht="15.75" x14ac:dyDescent="0.25">
      <c r="A21" s="98">
        <f>TradeSum!A24</f>
        <v>37561</v>
      </c>
      <c r="B21" s="178">
        <f>IF($C$6=0,VLOOKUP(A21,NymexData!$A$12:$F$179,6),VLOOKUP(A21,NymexData!$A$12:$L$179,12))</f>
        <v>4.5201423829791256</v>
      </c>
      <c r="C21" s="258">
        <f>TradeSum!I24</f>
        <v>59.891886574473411</v>
      </c>
      <c r="D21" s="178">
        <f t="shared" si="0"/>
        <v>13.25</v>
      </c>
      <c r="E21" s="387">
        <f>TradeSum!I68</f>
        <v>47.461495021280818</v>
      </c>
      <c r="F21" s="178">
        <f t="shared" si="1"/>
        <v>10.5</v>
      </c>
      <c r="G21" s="178">
        <f>F21*TradeSum!F68*24/10000+(GasPosn!B341*1.055+GasPosn!C341+GasPosn!D24*1.055)/(VLOOKUP(A21,$AB$12:$AD$47,3))</f>
        <v>3.4107890295884915</v>
      </c>
      <c r="H21" s="383" t="str">
        <f t="shared" ref="H21:H29" si="12">"Cal "&amp;AA21</f>
        <v>Cal 2006</v>
      </c>
      <c r="I21" s="178">
        <f t="array" ref="I21">SUM(IF((YEAR(NymexData!$A$12:$A$244)=AA21),NymexData!$F$12:$F$244*'Pricing Summary'!$AD$12:$AD$244))/SUM(IF((YEAR(NymexData!$A$12:$A$244)=AA21),'Pricing Summary'!$AD$12:$AD$244))</f>
        <v>5.2558502907917735</v>
      </c>
      <c r="J21" s="258">
        <f t="array" ref="J21">SUM(IF((YEAR($AB$12:$AB$244)=AA21),$AJ$12:$AJ$244*$AC$12:$AC$244))/SUM(IF((YEAR($AB$12:$AB$244)=AA21),$AC$12:$AC$244))</f>
        <v>44.190304418735998</v>
      </c>
      <c r="K21" s="178">
        <f t="shared" ref="K21:K36" si="13">J21/I21</f>
        <v>8.407831649268477</v>
      </c>
      <c r="L21" s="258">
        <f t="array" ref="L21">SUM(IF((YEAR($AB$12:$AB$244)=AA21),$AK$12:$AK$244*$AD$12:$AD$244))/SUM(IF((YEAR($AB$12:$AB$244)=AA21),$AD$12:$AD$244))</f>
        <v>38.031997577245129</v>
      </c>
      <c r="M21" s="384">
        <f t="shared" ref="M21:M36" si="14">L21/I21</f>
        <v>7.2361265015247902</v>
      </c>
      <c r="P21" s="269" t="str">
        <f t="shared" si="4"/>
        <v>Cal 2006</v>
      </c>
      <c r="Q21" s="178">
        <f t="array" ref="Q21">IF(NymexData!$AA$12="",'Pricing Summary'!I21,SUM(IF((YEAR(NymexData!$A$12:$A$178)=AA21),NymexData!$L$12:$L$178*'Pricing Summary'!$AD$12:$AD$178))/SUM(IF((YEAR(NymexData!$A$12:$A$178)=AA21),'Pricing Summary'!$AD$12:$AD$178)))</f>
        <v>5.1872747316815646</v>
      </c>
      <c r="R21" s="258">
        <f t="shared" si="5"/>
        <v>44.190304418735998</v>
      </c>
      <c r="S21" s="178">
        <f t="shared" ref="S21:S30" si="15">R21/Q21</f>
        <v>8.5189828386843089</v>
      </c>
      <c r="T21" s="258">
        <f t="shared" si="7"/>
        <v>38.031997577245129</v>
      </c>
      <c r="U21" s="384">
        <f t="shared" ref="U21:U30" si="16">T21/Q21</f>
        <v>7.3317877969644867</v>
      </c>
      <c r="W21" s="397">
        <v>2009</v>
      </c>
      <c r="X21" s="394">
        <f t="array" ref="X21">SUM(IF(YEAR([4]EnergyCurve!$D$3:$D$272)=$W21,[4]EnergyCurve!$T$3:$T$272))+SUM(IF(YEAR([4]OperatingCurve!$D$3:$D$272)=$W21,[4]OperatingCurve!$T$3:$T$272))+SUM(IF(YEAR(TradeSum!$A$12:$A$40)=$W21,TradeSum!$K$12:$K$40))+SUM(IF(YEAR(TradeSum!$A$56:$A$84)=$W21,TradeSum!$K$56:$K$84))</f>
        <v>-1089615.6996158725</v>
      </c>
      <c r="Y21" s="395">
        <f t="array" ref="Y21">SUM(IF(YEAR(GasPosn!$BG$12:$BG$188)=$W21,GasPosn!$BL$12:$BL$188))+SUM(IF(YEAR(GasPosn!$BG$200:$BG$316)=$W21,GasPosn!$BL$200:$BL$316))+SUM(IF(YEAR(GasPosn!$A$329:$A$445)=$W21,GasPosn!$J$329:$J$445))</f>
        <v>976356.09330099879</v>
      </c>
      <c r="Z21" s="394">
        <f t="shared" si="9"/>
        <v>-113259.60631487367</v>
      </c>
      <c r="AA21">
        <f t="shared" ref="AA21:AA36" si="17">AA20+1</f>
        <v>2006</v>
      </c>
      <c r="AB21" s="266">
        <f>[4]EnergyCurve!$D43</f>
        <v>37469</v>
      </c>
      <c r="AC21" s="30">
        <f>IF(TradeSum!$L$6=0,VLOOKUP(AB21,TradeSum!$DM$13:$DQ$252,2)+VLOOKUP(AB21,TradeSum!$DU$13:$DY$252,3),VLOOKUP(AB21,TradeSum!$DU$13:$DY$252,2)+VLOOKUP(AB21,TradeSum!$DU$13:$DY$252,3))</f>
        <v>27</v>
      </c>
      <c r="AD21" s="30">
        <f>VLOOKUP(AB21,TradeSum!$DM$13:$DR$252,6)</f>
        <v>31</v>
      </c>
      <c r="AE21" s="30">
        <f>IF(TradeSum!$L$6=0,VLOOKUP(AB21,TradeSum!$DM$13:$DQ$252,2),VLOOKUP(AB21,TradeSum!$DU$13:$DY$252,2))</f>
        <v>22</v>
      </c>
      <c r="AF21" s="274">
        <f>[4]EnergyCurve!$G43</f>
        <v>51.404952101229554</v>
      </c>
      <c r="AG21" s="274">
        <f>[4]EnergyCurve!$Y43</f>
        <v>49.348754017180369</v>
      </c>
      <c r="AH21" s="274">
        <f>[4]EnergyCurve!$AD43</f>
        <v>39.067763596934455</v>
      </c>
      <c r="AI21" s="274">
        <f>[4]EnergyCurve!$L43</f>
        <v>25.702476050614777</v>
      </c>
      <c r="AJ21">
        <f t="shared" si="10"/>
        <v>51.024174678257481</v>
      </c>
      <c r="AK21">
        <f t="shared" si="11"/>
        <v>41.555099988929442</v>
      </c>
      <c r="AM21">
        <f>IF(NymexData!AC21="",VLOOKUP('Pricing Summary'!AB21,NymexData!$S$12:$U$250,3),VLOOKUP(NymexData!AA21,NymexData!$AA$12:$AC$250,3))</f>
        <v>0.45750000000000002</v>
      </c>
      <c r="AO21" s="370">
        <f>AD21*24*VLOOKUP(AB21,Interest!$X$8:$AC$367,6)</f>
        <v>728.32149244044331</v>
      </c>
    </row>
    <row r="22" spans="1:41" ht="15.75" x14ac:dyDescent="0.25">
      <c r="A22" s="100">
        <f>TradeSum!A25</f>
        <v>37591</v>
      </c>
      <c r="B22" s="259">
        <f>IF($C$6=0,VLOOKUP(A22,NymexData!$A$12:$F$179,6),VLOOKUP(A22,NymexData!$A$12:$L$179,12))</f>
        <v>4.8023043705497273</v>
      </c>
      <c r="C22" s="260">
        <f>TradeSum!I25</f>
        <v>63.870648128311366</v>
      </c>
      <c r="D22" s="260">
        <f t="shared" si="0"/>
        <v>13.299999999999999</v>
      </c>
      <c r="E22" s="388">
        <f>TradeSum!I69</f>
        <v>50.230554585508038</v>
      </c>
      <c r="F22" s="260">
        <f t="shared" si="1"/>
        <v>10.45967741935484</v>
      </c>
      <c r="G22" s="260">
        <f>F22*TradeSum!F69*24/10000+(GasPosn!B342*1.055+GasPosn!C342+GasPosn!D25*1.055)/(VLOOKUP(A22,$AB$12:$AD$47,3))</f>
        <v>3.5441767953719534</v>
      </c>
      <c r="H22" s="379" t="str">
        <f t="shared" si="12"/>
        <v>Cal 2007</v>
      </c>
      <c r="I22" s="132">
        <f t="array" ref="I22">SUM(IF((YEAR(NymexData!$A$12:$A$244)=AA22),NymexData!$F$12:$F$244*'Pricing Summary'!$AD$12:$AD$244))/SUM(IF((YEAR(NymexData!$A$12:$A$244)=AA22),'Pricing Summary'!$AD$12:$AD$244))</f>
        <v>5.4014120546280884</v>
      </c>
      <c r="J22" s="260">
        <f t="array" ref="J22">SUM(IF((YEAR($AB$12:$AB$244)=AA22),$AJ$12:$AJ$244*$AC$12:$AC$244))/SUM(IF((YEAR($AB$12:$AB$244)=AA22),$AC$12:$AC$244))</f>
        <v>45.493024175988296</v>
      </c>
      <c r="K22" s="260">
        <f t="shared" si="13"/>
        <v>8.4224317115389375</v>
      </c>
      <c r="L22" s="132">
        <f t="array" ref="L22">SUM(IF((YEAR($AB$12:$AB$244)=AA22),$AK$12:$AK$244*$AD$12:$AD$244))/SUM(IF((YEAR($AB$12:$AB$244)=AA22),$AD$12:$AD$244))</f>
        <v>39.151209123279784</v>
      </c>
      <c r="M22" s="380">
        <f t="shared" si="14"/>
        <v>7.2483285347086008</v>
      </c>
      <c r="P22" s="268" t="str">
        <f t="shared" si="4"/>
        <v>Cal 2007</v>
      </c>
      <c r="Q22" s="132">
        <f t="array" ref="Q22">IF(NymexData!$AA$12="",'Pricing Summary'!I22,SUM(IF((YEAR(NymexData!$A$12:$A$178)=AA22),NymexData!$L$12:$L$178*'Pricing Summary'!$AD$12:$AD$178))/SUM(IF((YEAR(NymexData!$A$12:$A$178)=AA22),'Pricing Summary'!$AD$12:$AD$178)))</f>
        <v>5.3387041528704682</v>
      </c>
      <c r="R22" s="260">
        <f t="shared" si="5"/>
        <v>45.493024175988296</v>
      </c>
      <c r="S22" s="260">
        <f t="shared" si="15"/>
        <v>8.5213607784443344</v>
      </c>
      <c r="T22" s="132">
        <f t="shared" si="7"/>
        <v>39.151209123279784</v>
      </c>
      <c r="U22" s="380">
        <f t="shared" si="16"/>
        <v>7.3334666994478992</v>
      </c>
      <c r="W22" s="396">
        <v>2010</v>
      </c>
      <c r="X22" s="392">
        <f t="array" ref="X22">SUM(IF(YEAR([4]EnergyCurve!$D$3:$D$272)=$W22,[4]EnergyCurve!$T$3:$T$272))+SUM(IF(YEAR([4]OperatingCurve!$D$3:$D$272)=$W22,[4]OperatingCurve!$T$3:$T$272))+SUM(IF(YEAR(TradeSum!$A$12:$A$40)=$W22,TradeSum!$K$12:$K$40))+SUM(IF(YEAR(TradeSum!$A$56:$A$84)=$W22,TradeSum!$K$56:$K$84))</f>
        <v>-950824.7726138623</v>
      </c>
      <c r="Y22" s="393">
        <f t="array" ref="Y22">SUM(IF(YEAR(GasPosn!$BG$12:$BG$188)=$W22,GasPosn!$BL$12:$BL$188))+SUM(IF(YEAR(GasPosn!$BG$200:$BG$316)=$W22,GasPosn!$BL$200:$BL$316))+SUM(IF(YEAR(GasPosn!$A$329:$A$445)=$W22,GasPosn!$J$329:$J$445))</f>
        <v>791489.37526190281</v>
      </c>
      <c r="Z22" s="393">
        <f t="shared" si="9"/>
        <v>-159335.39735195949</v>
      </c>
      <c r="AA22">
        <f t="shared" si="17"/>
        <v>2007</v>
      </c>
      <c r="AB22" s="266">
        <f>[4]EnergyCurve!$D44</f>
        <v>37500</v>
      </c>
      <c r="AC22" s="30">
        <f>IF(TradeSum!$L$6=0,VLOOKUP(AB22,TradeSum!$DM$13:$DQ$252,2)+VLOOKUP(AB22,TradeSum!$DU$13:$DY$252,3),VLOOKUP(AB22,TradeSum!$DU$13:$DY$252,2)+VLOOKUP(AB22,TradeSum!$DU$13:$DY$252,3))</f>
        <v>24</v>
      </c>
      <c r="AD22" s="30">
        <f>VLOOKUP(AB22,TradeSum!$DM$13:$DR$252,6)</f>
        <v>30</v>
      </c>
      <c r="AE22" s="30">
        <f>IF(TradeSum!$L$6=0,VLOOKUP(AB22,TradeSum!$DM$13:$DQ$252,2),VLOOKUP(AB22,TradeSum!$DU$13:$DY$252,2))</f>
        <v>20</v>
      </c>
      <c r="AF22" s="274">
        <f>[4]EnergyCurve!$G44</f>
        <v>51.405506854887228</v>
      </c>
      <c r="AG22" s="274">
        <f>[4]EnergyCurve!$Y44</f>
        <v>49.349286580691739</v>
      </c>
      <c r="AH22" s="274">
        <f>[4]EnergyCurve!$AD44</f>
        <v>39.068185209714294</v>
      </c>
      <c r="AI22" s="274">
        <f>[4]EnergyCurve!$L44</f>
        <v>25.702753427443614</v>
      </c>
      <c r="AJ22">
        <f t="shared" si="10"/>
        <v>51.062803475854651</v>
      </c>
      <c r="AK22">
        <f t="shared" si="11"/>
        <v>41.010171024232257</v>
      </c>
      <c r="AM22">
        <f>IF(NymexData!AC22="",VLOOKUP('Pricing Summary'!AB22,NymexData!$S$12:$U$250,3),VLOOKUP(NymexData!AA22,NymexData!$AA$12:$AC$250,3))</f>
        <v>0.45750000000000002</v>
      </c>
      <c r="AO22" s="370">
        <f>AD22*24*VLOOKUP(AB22,Interest!$X$8:$AC$367,6)</f>
        <v>703.28798839712613</v>
      </c>
    </row>
    <row r="23" spans="1:41" ht="15.75" x14ac:dyDescent="0.25">
      <c r="A23" s="98">
        <f>TradeSum!A26</f>
        <v>37622</v>
      </c>
      <c r="B23" s="178">
        <f>IF($C$6=0,VLOOKUP(A23,NymexData!$A$12:$F$179,6),VLOOKUP(A23,NymexData!$A$12:$L$179,12))</f>
        <v>4.9891202981104277</v>
      </c>
      <c r="C23" s="258">
        <f>TradeSum!I26</f>
        <v>52.193873887924468</v>
      </c>
      <c r="D23" s="178">
        <f t="shared" si="0"/>
        <v>10.46153846153846</v>
      </c>
      <c r="E23" s="387">
        <f>TradeSum!I70</f>
        <v>44.539969112969708</v>
      </c>
      <c r="F23" s="178">
        <f t="shared" si="1"/>
        <v>8.92741935483871</v>
      </c>
      <c r="G23" s="178">
        <f>F23*TradeSum!F70*24/10000+(GasPosn!B343*1.055+GasPosn!C343+GasPosn!D26*1.055)/(VLOOKUP(A23,$AB$12:$AD$47,3))</f>
        <v>1.1291854955841067</v>
      </c>
      <c r="H23" s="383" t="str">
        <f t="shared" si="12"/>
        <v>Cal 2008</v>
      </c>
      <c r="I23" s="178">
        <f t="array" ref="I23">SUM(IF((YEAR(NymexData!$A$12:$A$244)=AA23),NymexData!$F$12:$F$244*'Pricing Summary'!$AD$12:$AD$244))/SUM(IF((YEAR(NymexData!$A$12:$A$244)=AA23),'Pricing Summary'!$AD$12:$AD$244))</f>
        <v>5.5304824858675792</v>
      </c>
      <c r="J23" s="258">
        <f t="array" ref="J23">SUM(IF((YEAR($AB$12:$AB$244)=AA23),$AJ$12:$AJ$244*$AC$12:$AC$244))/SUM(IF((YEAR($AB$12:$AB$244)=AA23),$AC$12:$AC$244))</f>
        <v>46.655097702121282</v>
      </c>
      <c r="K23" s="178">
        <f t="shared" si="13"/>
        <v>8.4359904983592742</v>
      </c>
      <c r="L23" s="258">
        <f t="array" ref="L23">SUM(IF((YEAR($AB$12:$AB$244)=AA23),$AK$12:$AK$244*$AD$12:$AD$244))/SUM(IF((YEAR($AB$12:$AB$244)=AA23),$AD$12:$AD$244))</f>
        <v>40.150380666638185</v>
      </c>
      <c r="M23" s="384">
        <f t="shared" si="14"/>
        <v>7.2598332549171261</v>
      </c>
      <c r="P23" s="269" t="str">
        <f t="shared" si="4"/>
        <v>Cal 2008</v>
      </c>
      <c r="Q23" s="178">
        <f t="array" ref="Q23">IF(NymexData!$AA$12="",'Pricing Summary'!I23,SUM(IF((YEAR(NymexData!$A$12:$A$178)=AA23),NymexData!$L$12:$L$178*'Pricing Summary'!$AD$12:$AD$178))/SUM(IF((YEAR(NymexData!$A$12:$A$178)=AA23),'Pricing Summary'!$AD$12:$AD$178)))</f>
        <v>5.4745767526977138</v>
      </c>
      <c r="R23" s="258">
        <f t="shared" si="5"/>
        <v>46.655097702121282</v>
      </c>
      <c r="S23" s="178">
        <f t="shared" si="15"/>
        <v>8.5221378399948442</v>
      </c>
      <c r="T23" s="258">
        <f t="shared" si="7"/>
        <v>40.150380666638185</v>
      </c>
      <c r="U23" s="384">
        <f t="shared" si="16"/>
        <v>7.3339698172745926</v>
      </c>
      <c r="W23" s="397">
        <v>2011</v>
      </c>
      <c r="X23" s="394">
        <f t="array" ref="X23">SUM(IF(YEAR([4]EnergyCurve!$D$3:$D$272)=$W23,[4]EnergyCurve!$T$3:$T$272))+SUM(IF(YEAR([4]OperatingCurve!$D$3:$D$272)=$W23,[4]OperatingCurve!$T$3:$T$272))+SUM(IF(YEAR(TradeSum!$A$12:$A$40)=$W23,TradeSum!$K$12:$K$40))+SUM(IF(YEAR(TradeSum!$A$56:$A$84)=$W23,TradeSum!$K$56:$K$84))</f>
        <v>20.42545635048009</v>
      </c>
      <c r="Y23" s="395">
        <f t="array" ref="Y23">SUM(IF(YEAR(GasPosn!$BG$12:$BG$188)=$W23,GasPosn!$BL$12:$BL$188))+SUM(IF(YEAR(GasPosn!$BG$200:$BG$316)=$W23,GasPosn!$BL$200:$BL$316))+SUM(IF(YEAR(GasPosn!$A$329:$A$445)=$W23,GasPosn!$J$329:$J$445))</f>
        <v>216159.35401236621</v>
      </c>
      <c r="Z23" s="394">
        <f t="shared" si="9"/>
        <v>216179.7794687167</v>
      </c>
      <c r="AA23">
        <f t="shared" si="17"/>
        <v>2008</v>
      </c>
      <c r="AB23" s="266">
        <f>[4]EnergyCurve!$D45</f>
        <v>37530</v>
      </c>
      <c r="AC23" s="30">
        <f>IF(TradeSum!$L$6=0,VLOOKUP(AB23,TradeSum!$DM$13:$DQ$252,2)+VLOOKUP(AB23,TradeSum!$DU$13:$DY$252,3),VLOOKUP(AB23,TradeSum!$DU$13:$DY$252,2)+VLOOKUP(AB23,TradeSum!$DU$13:$DY$252,3))</f>
        <v>27</v>
      </c>
      <c r="AD23" s="30">
        <f>VLOOKUP(AB23,TradeSum!$DM$13:$DR$252,6)</f>
        <v>31</v>
      </c>
      <c r="AE23" s="30">
        <f>IF(TradeSum!$L$6=0,VLOOKUP(AB23,TradeSum!$DM$13:$DQ$252,2),VLOOKUP(AB23,TradeSum!$DU$13:$DY$252,2))</f>
        <v>23</v>
      </c>
      <c r="AF23" s="274">
        <f>[4]EnergyCurve!$G45</f>
        <v>56.123697655281617</v>
      </c>
      <c r="AG23" s="274">
        <f>[4]EnergyCurve!$Y45</f>
        <v>50.927058983496288</v>
      </c>
      <c r="AH23" s="274">
        <f>[4]EnergyCurve!$AD45</f>
        <v>39.494453905568548</v>
      </c>
      <c r="AI23" s="274">
        <f>[4]EnergyCurve!$L45</f>
        <v>25.983193358926677</v>
      </c>
      <c r="AJ23">
        <f t="shared" si="10"/>
        <v>55.353825259461566</v>
      </c>
      <c r="AK23">
        <f t="shared" si="11"/>
        <v>44.199367627765596</v>
      </c>
      <c r="AM23">
        <f>IF(NymexData!AC23="",VLOOKUP('Pricing Summary'!AB23,NymexData!$S$12:$U$250,3),VLOOKUP(NymexData!AA23,NymexData!$AA$12:$AC$250,3))</f>
        <v>0.45750000000000002</v>
      </c>
      <c r="AO23" s="370">
        <f>AD23*24*VLOOKUP(AB23,Interest!$X$8:$AC$367,6)</f>
        <v>724.99664207020851</v>
      </c>
    </row>
    <row r="24" spans="1:41" ht="15.75" x14ac:dyDescent="0.25">
      <c r="A24" s="100">
        <f>TradeSum!A27</f>
        <v>37653</v>
      </c>
      <c r="B24" s="259">
        <f>IF($C$6=0,VLOOKUP(A24,NymexData!$A$12:$F$179,6),VLOOKUP(A24,NymexData!$A$12:$L$179,12))</f>
        <v>4.8520986318367543</v>
      </c>
      <c r="C24" s="260">
        <f>TradeSum!I27</f>
        <v>50.744864857959385</v>
      </c>
      <c r="D24" s="260">
        <f t="shared" si="0"/>
        <v>10.458333333333332</v>
      </c>
      <c r="E24" s="388">
        <f>TradeSum!I71</f>
        <v>43.380072291778596</v>
      </c>
      <c r="F24" s="260">
        <f t="shared" si="1"/>
        <v>8.9404761904761898</v>
      </c>
      <c r="G24" s="260">
        <f>F24*TradeSum!F71*24/10000+(GasPosn!B344*1.055+GasPosn!C344+GasPosn!D27*1.055)/(VLOOKUP(A24,$AB$12:$AD$47,3))</f>
        <v>1.1799774599775095</v>
      </c>
      <c r="H24" s="379" t="str">
        <f t="shared" si="12"/>
        <v>Cal 2009</v>
      </c>
      <c r="I24" s="132">
        <f t="array" ref="I24">SUM(IF((YEAR(NymexData!$A$12:$A$244)=AA24),NymexData!$F$12:$F$244*'Pricing Summary'!$AD$12:$AD$244))/SUM(IF((YEAR(NymexData!$A$12:$A$244)=AA24),'Pricing Summary'!$AD$12:$AD$244))</f>
        <v>5.6359504730588563</v>
      </c>
      <c r="J24" s="260">
        <f t="array" ref="J24">SUM(IF((YEAR($AB$12:$AB$244)=AA24),$AJ$12:$AJ$244*$AC$12:$AC$244))/SUM(IF((YEAR($AB$12:$AB$244)=AA24),$AC$12:$AC$244))</f>
        <v>47.604567052430255</v>
      </c>
      <c r="K24" s="260">
        <f t="shared" si="13"/>
        <v>8.4465907356693553</v>
      </c>
      <c r="L24" s="132">
        <f t="array" ref="L24">SUM(IF((YEAR($AB$12:$AB$244)=AA24),$AK$12:$AK$244*$AD$12:$AD$244))/SUM(IF((YEAR($AB$12:$AB$244)=AA24),$AD$12:$AD$244))</f>
        <v>40.964656895523838</v>
      </c>
      <c r="M24" s="380">
        <f t="shared" si="14"/>
        <v>7.2684557984219964</v>
      </c>
      <c r="P24" s="268" t="str">
        <f t="shared" si="4"/>
        <v>Cal 2009</v>
      </c>
      <c r="Q24" s="132">
        <f t="array" ref="Q24">IF(NymexData!$AA$12="",'Pricing Summary'!I24,SUM(IF((YEAR(NymexData!$A$12:$A$178)=AA24),NymexData!$L$12:$L$178*'Pricing Summary'!$AD$12:$AD$178))/SUM(IF((YEAR(NymexData!$A$12:$A$178)=AA24),'Pricing Summary'!$AD$12:$AD$178)))</f>
        <v>5.5850964981149112</v>
      </c>
      <c r="R24" s="260">
        <f t="shared" si="5"/>
        <v>47.604567052430255</v>
      </c>
      <c r="S24" s="260">
        <f t="shared" si="15"/>
        <v>8.5234994719424826</v>
      </c>
      <c r="T24" s="132">
        <f t="shared" si="7"/>
        <v>40.964656895523838</v>
      </c>
      <c r="U24" s="380">
        <f t="shared" si="16"/>
        <v>7.3346372635370365</v>
      </c>
      <c r="W24" s="396">
        <v>2012</v>
      </c>
      <c r="X24" s="392">
        <f t="array" ref="X24">SUM(IF(YEAR([4]EnergyCurve!$D$3:$D$272)=$W24,[4]EnergyCurve!$T$3:$T$272))+SUM(IF(YEAR([4]OperatingCurve!$D$3:$D$272)=$W24,[4]OperatingCurve!$T$3:$T$272))+SUM(IF(YEAR(TradeSum!$A$12:$A$40)=$W24,TradeSum!$K$12:$K$40))+SUM(IF(YEAR(TradeSum!$A$56:$A$84)=$W24,TradeSum!$K$56:$K$84))</f>
        <v>81.455666661800237</v>
      </c>
      <c r="Y24" s="393">
        <f t="array" ref="Y24">SUM(IF(YEAR(GasPosn!$BG$12:$BG$188)=$W24,GasPosn!$BL$12:$BL$188))+SUM(IF(YEAR(GasPosn!$BG$200:$BG$316)=$W24,GasPosn!$BL$200:$BL$316))+SUM(IF(YEAR(GasPosn!$A$329:$A$445)=$W24,GasPosn!$J$329:$J$445))</f>
        <v>165587.72930624618</v>
      </c>
      <c r="Z24" s="393">
        <f t="shared" si="9"/>
        <v>165669.18497290797</v>
      </c>
      <c r="AA24">
        <f t="shared" si="17"/>
        <v>2009</v>
      </c>
      <c r="AB24" s="266">
        <f>[4]EnergyCurve!$D46</f>
        <v>37561</v>
      </c>
      <c r="AC24" s="30">
        <f>IF(TradeSum!$L$6=0,VLOOKUP(AB24,TradeSum!$DM$13:$DQ$252,2)+VLOOKUP(AB24,TradeSum!$DU$13:$DY$252,3),VLOOKUP(AB24,TradeSum!$DU$13:$DY$252,2)+VLOOKUP(AB24,TradeSum!$DU$13:$DY$252,3))</f>
        <v>25</v>
      </c>
      <c r="AD24" s="30">
        <f>VLOOKUP(AB24,TradeSum!$DM$13:$DR$252,6)</f>
        <v>30</v>
      </c>
      <c r="AE24" s="30">
        <f>IF(TradeSum!$L$6=0,VLOOKUP(AB24,TradeSum!$DM$13:$DQ$252,2),VLOOKUP(AB24,TradeSum!$DU$13:$DY$252,2))</f>
        <v>20</v>
      </c>
      <c r="AF24" s="274">
        <f>[4]EnergyCurve!$G46</f>
        <v>61.021922170218197</v>
      </c>
      <c r="AG24" s="274">
        <f>[4]EnergyCurve!$Y46</f>
        <v>55.371744191494287</v>
      </c>
      <c r="AH24" s="274">
        <f>[4]EnergyCurve!$AD46</f>
        <v>42.941352638301694</v>
      </c>
      <c r="AI24" s="274">
        <f>[4]EnergyCurve!$L46</f>
        <v>28.250889893619537</v>
      </c>
      <c r="AJ24">
        <f t="shared" si="10"/>
        <v>59.891886574473411</v>
      </c>
      <c r="AK24">
        <f t="shared" si="11"/>
        <v>47.461495021280818</v>
      </c>
      <c r="AM24">
        <f>IF(NymexData!AC24="",VLOOKUP('Pricing Summary'!AB24,NymexData!$S$12:$U$250,3),VLOOKUP(NymexData!AA24,NymexData!$AA$12:$AC$250,3))</f>
        <v>0.45500000000000002</v>
      </c>
      <c r="AO24" s="370">
        <f>AD24*24*VLOOKUP(AB24,Interest!$X$8:$AC$367,6)</f>
        <v>699.85256125822434</v>
      </c>
    </row>
    <row r="25" spans="1:41" ht="15.75" x14ac:dyDescent="0.25">
      <c r="A25" s="98">
        <f>TradeSum!A28</f>
        <v>37681</v>
      </c>
      <c r="B25" s="178">
        <f>IF($C$6=0,VLOOKUP(A25,NymexData!$A$12:$F$179,6),VLOOKUP(A25,NymexData!$A$12:$L$179,12))</f>
        <v>4.7105350283966123</v>
      </c>
      <c r="C25" s="258">
        <f>TradeSum!I28</f>
        <v>49.234149767953049</v>
      </c>
      <c r="D25" s="178">
        <f t="shared" si="0"/>
        <v>10.451923076923077</v>
      </c>
      <c r="E25" s="387">
        <f>TradeSum!I72</f>
        <v>42.027596127011705</v>
      </c>
      <c r="F25" s="178">
        <f t="shared" si="1"/>
        <v>8.9220430107526862</v>
      </c>
      <c r="G25" s="178">
        <f>F25*TradeSum!F72*24/10000+(GasPosn!B345*1.055+GasPosn!C345+GasPosn!D28*1.055)/(VLOOKUP(A25,$AB$12:$AD$47,3))</f>
        <v>1.1920676963979471</v>
      </c>
      <c r="H25" s="383" t="str">
        <f t="shared" si="12"/>
        <v>Cal 2010</v>
      </c>
      <c r="I25" s="178">
        <f t="array" ref="I25">SUM(IF((YEAR(NymexData!$A$12:$A$244)=AA25),NymexData!$F$12:$F$244*'Pricing Summary'!$AD$12:$AD$244))/SUM(IF((YEAR(NymexData!$A$12:$A$244)=AA25),'Pricing Summary'!$AD$12:$AD$244))</f>
        <v>5.7533673298992243</v>
      </c>
      <c r="J25" s="258">
        <f t="array" ref="J25">SUM(IF((YEAR($AB$12:$AB$244)=AA25),$AJ$12:$AJ$244*$AC$12:$AC$244))/SUM(IF((YEAR($AB$12:$AB$244)=AA25),$AC$12:$AC$244))</f>
        <v>48.639109425004165</v>
      </c>
      <c r="K25" s="178">
        <f t="shared" si="13"/>
        <v>8.4540246843331879</v>
      </c>
      <c r="L25" s="258">
        <f t="array" ref="L25">SUM(IF((YEAR($AB$12:$AB$244)=AA25),$AK$12:$AK$244*$AD$12:$AD$244))/SUM(IF((YEAR($AB$12:$AB$244)=AA25),$AD$12:$AD$244))</f>
        <v>41.854147199139412</v>
      </c>
      <c r="M25" s="384">
        <f t="shared" si="14"/>
        <v>7.2747218801119944</v>
      </c>
      <c r="P25" s="269" t="str">
        <f t="shared" si="4"/>
        <v>Cal 2010</v>
      </c>
      <c r="Q25" s="178">
        <f t="array" ref="Q25">IF(NymexData!$AA$12="",'Pricing Summary'!I25,SUM(IF((YEAR(NymexData!$A$12:$A$178)=AA25),NymexData!$L$12:$L$178*'Pricing Summary'!$AD$12:$AD$178))/SUM(IF((YEAR(NymexData!$A$12:$A$178)=AA25),'Pricing Summary'!$AD$12:$AD$178)))</f>
        <v>5.7062723723871365</v>
      </c>
      <c r="R25" s="258">
        <f t="shared" si="5"/>
        <v>48.639109425004165</v>
      </c>
      <c r="S25" s="178">
        <f t="shared" si="15"/>
        <v>8.5237973673269813</v>
      </c>
      <c r="T25" s="258">
        <f t="shared" si="7"/>
        <v>41.854147199139412</v>
      </c>
      <c r="U25" s="384">
        <f t="shared" si="16"/>
        <v>7.3347615514592643</v>
      </c>
      <c r="W25" s="397">
        <v>2013</v>
      </c>
      <c r="X25" s="394">
        <f t="array" ref="X25">SUM(IF(YEAR([4]EnergyCurve!$D$3:$D$272)=$W25,[4]EnergyCurve!$T$3:$T$272))+SUM(IF(YEAR([4]OperatingCurve!$D$3:$D$272)=$W25,[4]OperatingCurve!$T$3:$T$272))+SUM(IF(YEAR(TradeSum!$A$12:$A$40)=$W25,TradeSum!$K$12:$K$40))+SUM(IF(YEAR(TradeSum!$A$56:$A$84)=$W25,TradeSum!$K$56:$K$84))</f>
        <v>-28.841744097804067</v>
      </c>
      <c r="Y25" s="395">
        <f t="array" ref="Y25">SUM(IF(YEAR(GasPosn!$BG$12:$BG$188)=$W25,GasPosn!$BL$12:$BL$188))+SUM(IF(YEAR(GasPosn!$BG$200:$BG$316)=$W25,GasPosn!$BL$200:$BL$316))+SUM(IF(YEAR(GasPosn!$A$329:$A$445)=$W25,GasPosn!$J$329:$J$445))</f>
        <v>119647.72292701298</v>
      </c>
      <c r="Z25" s="394">
        <f t="shared" si="9"/>
        <v>119618.88118291517</v>
      </c>
      <c r="AA25">
        <f t="shared" si="17"/>
        <v>2010</v>
      </c>
      <c r="AB25" s="266">
        <f>[4]EnergyCurve!$D47</f>
        <v>37591</v>
      </c>
      <c r="AC25" s="30">
        <f>IF(TradeSum!$L$6=0,VLOOKUP(AB25,TradeSum!$DM$13:$DQ$252,2)+VLOOKUP(AB25,TradeSum!$DU$13:$DY$252,3),VLOOKUP(AB25,TradeSum!$DU$13:$DY$252,2)+VLOOKUP(AB25,TradeSum!$DU$13:$DY$252,3))</f>
        <v>25</v>
      </c>
      <c r="AD25" s="30">
        <f>VLOOKUP(AB25,TradeSum!$DM$13:$DR$252,6)</f>
        <v>31</v>
      </c>
      <c r="AE25" s="30">
        <f>IF(TradeSum!$L$6=0,VLOOKUP(AB25,TradeSum!$DM$13:$DQ$252,2),VLOOKUP(AB25,TradeSum!$DU$13:$DY$252,2))</f>
        <v>21</v>
      </c>
      <c r="AF25" s="274">
        <f>[4]EnergyCurve!$G47</f>
        <v>64.831109002421314</v>
      </c>
      <c r="AG25" s="274">
        <f>[4]EnergyCurve!$Y47</f>
        <v>58.828228539234161</v>
      </c>
      <c r="AH25" s="274">
        <f>[4]EnergyCurve!$AD47</f>
        <v>45.621891520222405</v>
      </c>
      <c r="AI25" s="274">
        <f>[4]EnergyCurve!$L47</f>
        <v>30.014402315935797</v>
      </c>
      <c r="AJ25">
        <f t="shared" si="10"/>
        <v>63.870648128311366</v>
      </c>
      <c r="AK25">
        <f t="shared" si="11"/>
        <v>50.230554585508038</v>
      </c>
      <c r="AM25">
        <f>IF(NymexData!AC25="",VLOOKUP('Pricing Summary'!AB25,NymexData!$S$12:$U$250,3),VLOOKUP(NymexData!AA25,NymexData!$AA$12:$AC$250,3))</f>
        <v>0.45250000000000001</v>
      </c>
      <c r="AO25" s="370">
        <f>AD25*24*VLOOKUP(AB25,Interest!$X$8:$AC$367,6)</f>
        <v>721.28258171363336</v>
      </c>
    </row>
    <row r="26" spans="1:41" ht="15.75" x14ac:dyDescent="0.25">
      <c r="A26" s="100">
        <f>TradeSum!A29</f>
        <v>37712</v>
      </c>
      <c r="B26" s="259">
        <f>IF($C$6=0,VLOOKUP(A26,NymexData!$A$12:$F$179,6),VLOOKUP(A26,NymexData!$A$12:$L$179,12))</f>
        <v>4.5017370210894203</v>
      </c>
      <c r="C26" s="260">
        <f>TradeSum!I29</f>
        <v>47.095094989858552</v>
      </c>
      <c r="D26" s="260">
        <f t="shared" si="0"/>
        <v>10.461538461538462</v>
      </c>
      <c r="E26" s="388">
        <f>TradeSum!I73</f>
        <v>40.290546338750318</v>
      </c>
      <c r="F26" s="260">
        <f t="shared" si="1"/>
        <v>8.9500000000000011</v>
      </c>
      <c r="G26" s="260">
        <f>F26*TradeSum!F73*24/10000+(GasPosn!B346*1.055+GasPosn!C346+GasPosn!D29*1.055)/(VLOOKUP(A26,$AB$12:$AD$47,3))</f>
        <v>1.2534947887567007</v>
      </c>
      <c r="H26" s="379" t="str">
        <f t="shared" si="12"/>
        <v>Cal 2011</v>
      </c>
      <c r="I26" s="132">
        <f t="array" ref="I26">SUM(IF((YEAR(NymexData!$A$12:$A$244)=AA26),NymexData!$F$12:$F$244*'Pricing Summary'!$AD$12:$AD$244))/SUM(IF((YEAR(NymexData!$A$12:$A$244)=AA26),'Pricing Summary'!$AD$12:$AD$244))</f>
        <v>5.9826102322781916</v>
      </c>
      <c r="J26" s="260">
        <f t="array" ref="J26">SUM(IF((YEAR($AB$12:$AB$244)=AA26),$AJ$12:$AJ$244*$AC$12:$AC$244))/SUM(IF((YEAR($AB$12:$AB$244)=AA26),$AC$12:$AC$244))</f>
        <v>39.647748253116156</v>
      </c>
      <c r="K26" s="260">
        <f t="shared" si="13"/>
        <v>6.6271655203615367</v>
      </c>
      <c r="L26" s="132">
        <f t="array" ref="L26">SUM(IF((YEAR($AB$12:$AB$244)=AA26),$AK$12:$AK$244*$AD$12:$AD$244))/SUM(IF((YEAR($AB$12:$AB$244)=AA26),$AD$12:$AD$244))</f>
        <v>33.653590889103398</v>
      </c>
      <c r="M26" s="380">
        <f t="shared" si="14"/>
        <v>5.6252354043609545</v>
      </c>
      <c r="P26" s="268" t="str">
        <f t="shared" si="4"/>
        <v>Cal 2011</v>
      </c>
      <c r="Q26" s="132">
        <f t="array" ref="Q26">IF(NymexData!$AA$12="",'Pricing Summary'!I26,SUM(IF((YEAR(NymexData!$A$12:$A$178)=AA26),NymexData!$L$12:$L$178*'Pricing Summary'!$AD$12:$AD$178))/SUM(IF((YEAR(NymexData!$A$12:$A$178)=AA26),'Pricing Summary'!$AD$12:$AD$178)))</f>
        <v>5.938262846749347</v>
      </c>
      <c r="R26" s="260">
        <f t="shared" si="5"/>
        <v>39.647748253116156</v>
      </c>
      <c r="S26" s="260">
        <f t="shared" si="15"/>
        <v>6.6766576819380186</v>
      </c>
      <c r="T26" s="132">
        <f t="shared" si="7"/>
        <v>33.653590889103398</v>
      </c>
      <c r="U26" s="380">
        <f t="shared" si="16"/>
        <v>5.6672450778304038</v>
      </c>
      <c r="W26" s="396">
        <v>2014</v>
      </c>
      <c r="X26" s="392">
        <f t="array" ref="X26">SUM(IF(YEAR([4]EnergyCurve!$D$3:$D$272)=$W26,[4]EnergyCurve!$T$3:$T$272))+SUM(IF(YEAR([4]OperatingCurve!$D$3:$D$272)=$W26,[4]OperatingCurve!$T$3:$T$272))+SUM(IF(YEAR(TradeSum!$A$12:$A$40)=$W26,TradeSum!$K$12:$K$40))+SUM(IF(YEAR(TradeSum!$A$56:$A$84)=$W26,TradeSum!$K$56:$K$84))</f>
        <v>-8.1526415783526289</v>
      </c>
      <c r="Y26" s="393">
        <f t="array" ref="Y26">SUM(IF(YEAR(GasPosn!$BG$12:$BG$188)=$W26,GasPosn!$BL$12:$BL$188))+SUM(IF(YEAR(GasPosn!$BG$200:$BG$316)=$W26,GasPosn!$BL$200:$BL$316))+SUM(IF(YEAR(GasPosn!$A$329:$A$445)=$W26,GasPosn!$J$329:$J$445))</f>
        <v>78881.497995479411</v>
      </c>
      <c r="Z26" s="393">
        <f t="shared" si="9"/>
        <v>78873.345353901052</v>
      </c>
      <c r="AA26">
        <f t="shared" si="17"/>
        <v>2011</v>
      </c>
      <c r="AB26" s="266">
        <f>[4]EnergyCurve!$D48</f>
        <v>37622</v>
      </c>
      <c r="AC26" s="30">
        <f>IF(TradeSum!$L$6=0,VLOOKUP(AB26,TradeSum!$DM$13:$DQ$252,2)+VLOOKUP(AB26,TradeSum!$DU$13:$DY$252,3),VLOOKUP(AB26,TradeSum!$DU$13:$DY$252,2)+VLOOKUP(AB26,TradeSum!$DU$13:$DY$252,3))</f>
        <v>26</v>
      </c>
      <c r="AD26" s="30">
        <f>VLOOKUP(AB26,TradeSum!$DM$13:$DR$252,6)</f>
        <v>31</v>
      </c>
      <c r="AE26" s="30">
        <f>IF(TradeSum!$L$6=0,VLOOKUP(AB26,TradeSum!$DM$13:$DQ$252,2),VLOOKUP(AB26,TradeSum!$DU$13:$DY$252,2))</f>
        <v>22</v>
      </c>
      <c r="AF26" s="274">
        <f>[4]EnergyCurve!$G48</f>
        <v>52.385763130159489</v>
      </c>
      <c r="AG26" s="274">
        <f>[4]EnergyCurve!$Y48</f>
        <v>51.13848305563188</v>
      </c>
      <c r="AH26" s="274">
        <f>[4]EnergyCurve!$AD48</f>
        <v>46.149362757521459</v>
      </c>
      <c r="AI26" s="274">
        <f>[4]EnergyCurve!$L48</f>
        <v>31.182001863190173</v>
      </c>
      <c r="AJ26">
        <f t="shared" si="10"/>
        <v>52.193873887924468</v>
      </c>
      <c r="AK26">
        <f t="shared" si="11"/>
        <v>44.539969112969708</v>
      </c>
      <c r="AM26">
        <f>IF(NymexData!AC26="",VLOOKUP('Pricing Summary'!AB26,NymexData!$S$12:$U$250,3),VLOOKUP(NymexData!AA26,NymexData!$AA$12:$AC$250,3))</f>
        <v>0.45250000000000001</v>
      </c>
      <c r="AO26" s="370">
        <f>AD26*24*VLOOKUP(AB26,Interest!$X$8:$AC$367,6)</f>
        <v>719.24115281345246</v>
      </c>
    </row>
    <row r="27" spans="1:41" ht="15.75" x14ac:dyDescent="0.25">
      <c r="A27" s="98">
        <f>TradeSum!A30</f>
        <v>37742</v>
      </c>
      <c r="B27" s="178">
        <f>IF($C$6=0,VLOOKUP(A27,NymexData!$A$12:$F$179,6),VLOOKUP(A27,NymexData!$A$12:$L$179,12))</f>
        <v>4.5019431078394776</v>
      </c>
      <c r="C27" s="258">
        <f>TradeSum!I30</f>
        <v>47.05396305982223</v>
      </c>
      <c r="D27" s="178">
        <f t="shared" si="0"/>
        <v>10.451923076923077</v>
      </c>
      <c r="E27" s="387">
        <f>TradeSum!I74</f>
        <v>40.166530040105442</v>
      </c>
      <c r="F27" s="178">
        <f t="shared" si="1"/>
        <v>8.922043010752688</v>
      </c>
      <c r="G27" s="178">
        <f>F27*TradeSum!F74*24/10000+(GasPosn!B347*1.055+GasPosn!C347+GasPosn!D30*1.055)/(VLOOKUP(A27,$AB$12:$AD$47,3))</f>
        <v>1.2672469987378943</v>
      </c>
      <c r="H27" s="383" t="str">
        <f t="shared" si="12"/>
        <v>Cal 2012</v>
      </c>
      <c r="I27" s="178">
        <f t="array" ref="I27">SUM(IF((YEAR(NymexData!$A$12:$A$244)=AA27),NymexData!$F$12:$F$244*'Pricing Summary'!$AD$12:$AD$244))/SUM(IF((YEAR(NymexData!$A$12:$A$244)=AA27),'Pricing Summary'!$AD$12:$AD$244))</f>
        <v>6.1421200644040201</v>
      </c>
      <c r="J27" s="258">
        <f t="array" ref="J27">SUM(IF((YEAR($AB$12:$AB$244)=AA27),$AJ$12:$AJ$244*$AC$12:$AC$244))/SUM(IF((YEAR($AB$12:$AB$244)=AA27),$AC$12:$AC$244))</f>
        <v>39.643485152291284</v>
      </c>
      <c r="K27" s="178">
        <f t="shared" si="13"/>
        <v>6.4543650623244462</v>
      </c>
      <c r="L27" s="258">
        <f t="array" ref="L27">SUM(IF((YEAR($AB$12:$AB$244)=AA27),$AK$12:$AK$244*$AD$12:$AD$244))/SUM(IF((YEAR($AB$12:$AB$244)=AA27),$AD$12:$AD$244))</f>
        <v>33.635008616186703</v>
      </c>
      <c r="M27" s="384">
        <f t="shared" si="14"/>
        <v>5.4761235963319388</v>
      </c>
      <c r="P27" s="269" t="str">
        <f t="shared" si="4"/>
        <v>Cal 2012</v>
      </c>
      <c r="Q27" s="178">
        <f t="array" ref="Q27">IF(NymexData!$AA$12="",'Pricing Summary'!I27,SUM(IF((YEAR(NymexData!$A$12:$A$178)=AA27),NymexData!$L$12:$L$178*'Pricing Summary'!$AD$12:$AD$178))/SUM(IF((YEAR(NymexData!$A$12:$A$178)=AA27),'Pricing Summary'!$AD$12:$AD$178)))</f>
        <v>6.105515323897917</v>
      </c>
      <c r="R27" s="258">
        <f t="shared" si="5"/>
        <v>39.643485152291284</v>
      </c>
      <c r="S27" s="178">
        <f t="shared" si="15"/>
        <v>6.4930612813501005</v>
      </c>
      <c r="T27" s="258">
        <f t="shared" si="7"/>
        <v>33.635008616186703</v>
      </c>
      <c r="U27" s="384">
        <f t="shared" si="16"/>
        <v>5.5089549091022922</v>
      </c>
      <c r="W27" s="397">
        <v>2015</v>
      </c>
      <c r="X27" s="394">
        <f t="array" ref="X27">SUM(IF(YEAR([4]EnergyCurve!$D$3:$D$272)=$W27,[4]EnergyCurve!$T$3:$T$272))+SUM(IF(YEAR([4]OperatingCurve!$D$3:$D$272)=$W27,[4]OperatingCurve!$T$3:$T$272))+SUM(IF(YEAR(TradeSum!$A$12:$A$40)=$W27,TradeSum!$K$12:$K$40))+SUM(IF(YEAR(TradeSum!$A$56:$A$84)=$W27,TradeSum!$K$56:$K$84))</f>
        <v>-60.064160253806463</v>
      </c>
      <c r="Y27" s="395">
        <f t="array" ref="Y27">SUM(IF(YEAR(GasPosn!$BG$12:$BG$188)=$W27,GasPosn!$BL$12:$BL$188))+SUM(IF(YEAR(GasPosn!$BG$200:$BG$316)=$W27,GasPosn!$BL$200:$BL$316))+SUM(IF(YEAR(GasPosn!$A$329:$A$445)=$W27,GasPosn!$J$329:$J$445))</f>
        <v>42537.703708026456</v>
      </c>
      <c r="Z27" s="394">
        <f t="shared" si="9"/>
        <v>42477.639547772647</v>
      </c>
      <c r="AA27">
        <f t="shared" si="17"/>
        <v>2012</v>
      </c>
      <c r="AB27" s="266">
        <f>[4]EnergyCurve!$D49</f>
        <v>37653</v>
      </c>
      <c r="AC27" s="30">
        <f>IF(TradeSum!$L$6=0,VLOOKUP(AB27,TradeSum!$DM$13:$DQ$252,2)+VLOOKUP(AB27,TradeSum!$DU$13:$DY$252,3),VLOOKUP(AB27,TradeSum!$DU$13:$DY$252,2)+VLOOKUP(AB27,TradeSum!$DU$13:$DY$252,3))</f>
        <v>24</v>
      </c>
      <c r="AD27" s="30">
        <f>VLOOKUP(AB27,TradeSum!$DM$13:$DR$252,6)</f>
        <v>28</v>
      </c>
      <c r="AE27" s="30">
        <f>IF(TradeSum!$L$6=0,VLOOKUP(AB27,TradeSum!$DM$13:$DQ$252,2),VLOOKUP(AB27,TradeSum!$DU$13:$DY$252,2))</f>
        <v>20</v>
      </c>
      <c r="AF27" s="274">
        <f>[4]EnergyCurve!$G49</f>
        <v>50.947035634285918</v>
      </c>
      <c r="AG27" s="274">
        <f>[4]EnergyCurve!$Y49</f>
        <v>49.734010976326729</v>
      </c>
      <c r="AH27" s="274">
        <f>[4]EnergyCurve!$AD49</f>
        <v>44.881912344489976</v>
      </c>
      <c r="AI27" s="274">
        <f>[4]EnergyCurve!$L49</f>
        <v>30.325616448979716</v>
      </c>
      <c r="AJ27">
        <f t="shared" si="10"/>
        <v>50.744864857959385</v>
      </c>
      <c r="AK27">
        <f t="shared" si="11"/>
        <v>43.380072291778603</v>
      </c>
      <c r="AM27">
        <f>IF(NymexData!AC27="",VLOOKUP('Pricing Summary'!AB27,NymexData!$S$12:$U$250,3),VLOOKUP(NymexData!AA27,NymexData!$AA$12:$AC$250,3))</f>
        <v>0.44500000000000001</v>
      </c>
      <c r="AO27" s="370">
        <f>AD27*24*VLOOKUP(AB27,Interest!$X$8:$AC$367,6)</f>
        <v>647.80760658623149</v>
      </c>
    </row>
    <row r="28" spans="1:41" ht="15.75" x14ac:dyDescent="0.25">
      <c r="A28" s="100">
        <f>TradeSum!A31</f>
        <v>37773</v>
      </c>
      <c r="B28" s="259">
        <f>IF($C$6=0,VLOOKUP(A28,NymexData!$A$12:$F$179,6),VLOOKUP(A28,NymexData!$A$12:$L$179,12))</f>
        <v>4.5320012406112022</v>
      </c>
      <c r="C28" s="260">
        <f>TradeSum!I31</f>
        <v>47.404732976793177</v>
      </c>
      <c r="D28" s="260">
        <f t="shared" si="0"/>
        <v>10.46</v>
      </c>
      <c r="E28" s="388">
        <f>TradeSum!I75</f>
        <v>40.435522180119953</v>
      </c>
      <c r="F28" s="260">
        <f t="shared" si="1"/>
        <v>8.9222222222222225</v>
      </c>
      <c r="G28" s="260">
        <f>F28*TradeSum!F75*24/10000+(GasPosn!B348*1.055+GasPosn!C348+GasPosn!D31*1.055)/(VLOOKUP(A28,$AB$12:$AD$47,3))</f>
        <v>1.3019467798775182</v>
      </c>
      <c r="H28" s="379" t="str">
        <f t="shared" si="12"/>
        <v>Cal 2013</v>
      </c>
      <c r="I28" s="132">
        <f t="array" ref="I28">SUM(IF((YEAR(NymexData!$A$12:$A$244)=AA28),NymexData!$F$12:$F$244*'Pricing Summary'!$AD$12:$AD$244))/SUM(IF((YEAR(NymexData!$A$12:$A$244)=AA28),'Pricing Summary'!$AD$12:$AD$244))</f>
        <v>6.281549317042054</v>
      </c>
      <c r="J28" s="260">
        <f t="array" ref="J28">SUM(IF((YEAR($AB$12:$AB$244)=AA28),$AJ$12:$AJ$244*$AC$12:$AC$244))/SUM(IF((YEAR($AB$12:$AB$244)=AA28),$AC$12:$AC$244))</f>
        <v>39.639939986758932</v>
      </c>
      <c r="K28" s="260">
        <f t="shared" si="13"/>
        <v>6.3105355042289402</v>
      </c>
      <c r="L28" s="132">
        <f t="array" ref="L28">SUM(IF((YEAR($AB$12:$AB$244)=AA28),$AK$12:$AK$244*$AD$12:$AD$244))/SUM(IF((YEAR($AB$12:$AB$244)=AA28),$AD$12:$AD$244))</f>
        <v>33.652032302822775</v>
      </c>
      <c r="M28" s="380">
        <f t="shared" si="14"/>
        <v>5.3572821933473769</v>
      </c>
      <c r="P28" s="268" t="str">
        <f t="shared" si="4"/>
        <v>Cal 2013</v>
      </c>
      <c r="Q28" s="132">
        <f t="array" ref="Q28">IF(NymexData!$AA$12="",'Pricing Summary'!I28,SUM(IF((YEAR(NymexData!$A$12:$A$178)=AA28),NymexData!$L$12:$L$178*'Pricing Summary'!$AD$12:$AD$178))/SUM(IF((YEAR(NymexData!$A$12:$A$178)=AA28),'Pricing Summary'!$AD$12:$AD$178)))</f>
        <v>6.2572267930469625</v>
      </c>
      <c r="R28" s="260">
        <f t="shared" si="5"/>
        <v>39.639939986758932</v>
      </c>
      <c r="S28" s="260">
        <f t="shared" si="15"/>
        <v>6.3350652450070815</v>
      </c>
      <c r="T28" s="132">
        <f t="shared" si="7"/>
        <v>33.652032302822775</v>
      </c>
      <c r="U28" s="380">
        <f t="shared" si="16"/>
        <v>5.3781065343862799</v>
      </c>
      <c r="W28" s="396">
        <v>2016</v>
      </c>
      <c r="X28" s="392">
        <f t="array" ref="X28">SUM(IF(YEAR([4]EnergyCurve!$D$3:$D$272)=$W28,[4]EnergyCurve!$T$3:$T$272))+SUM(IF(YEAR([4]OperatingCurve!$D$3:$D$272)=$W28,[4]OperatingCurve!$T$3:$T$272))+SUM(IF(YEAR(TradeSum!$A$12:$A$40)=$W28,TradeSum!$K$12:$K$40))+SUM(IF(YEAR(TradeSum!$A$56:$A$84)=$W28,TradeSum!$K$56:$K$84))</f>
        <v>132.54735840711641</v>
      </c>
      <c r="Y28" s="393">
        <f t="array" ref="Y28">SUM(IF(YEAR(GasPosn!$BG$12:$BG$188)=$W28,GasPosn!$BL$12:$BL$188))+SUM(IF(YEAR(GasPosn!$BG$200:$BG$316)=$W28,GasPosn!$BL$200:$BL$316))+SUM(IF(YEAR(GasPosn!$A$329:$A$445)=$W28,GasPosn!$J$329:$J$445))</f>
        <v>0</v>
      </c>
      <c r="Z28" s="393">
        <f t="shared" si="9"/>
        <v>132.54735840711641</v>
      </c>
      <c r="AA28">
        <f t="shared" si="17"/>
        <v>2013</v>
      </c>
      <c r="AB28" s="266">
        <f>[4]EnergyCurve!$D50</f>
        <v>37681</v>
      </c>
      <c r="AC28" s="30">
        <f>IF(TradeSum!$L$6=0,VLOOKUP(AB28,TradeSum!$DM$13:$DQ$252,2)+VLOOKUP(AB28,TradeSum!$DU$13:$DY$252,3),VLOOKUP(AB28,TradeSum!$DU$13:$DY$252,2)+VLOOKUP(AB28,TradeSum!$DU$13:$DY$252,3))</f>
        <v>26</v>
      </c>
      <c r="AD28" s="30">
        <f>VLOOKUP(AB28,TradeSum!$DM$13:$DR$252,6)</f>
        <v>31</v>
      </c>
      <c r="AE28" s="30">
        <f>IF(TradeSum!$L$6=0,VLOOKUP(AB28,TradeSum!$DM$13:$DQ$252,2),VLOOKUP(AB28,TradeSum!$DU$13:$DY$252,2))</f>
        <v>21</v>
      </c>
      <c r="AF28" s="274">
        <f>[4]EnergyCurve!$G50</f>
        <v>49.460617798164428</v>
      </c>
      <c r="AG28" s="274">
        <f>[4]EnergyCurve!$Y50</f>
        <v>48.282984041065276</v>
      </c>
      <c r="AH28" s="274">
        <f>[4]EnergyCurve!$AD50</f>
        <v>43.572449012668663</v>
      </c>
      <c r="AI28" s="274">
        <f>[4]EnergyCurve!$L50</f>
        <v>29.440843927478827</v>
      </c>
      <c r="AJ28">
        <f t="shared" si="10"/>
        <v>49.234149767953049</v>
      </c>
      <c r="AK28">
        <f t="shared" si="11"/>
        <v>42.027596127011705</v>
      </c>
      <c r="AM28">
        <f>IF(NymexData!AC28="",VLOOKUP('Pricing Summary'!AB28,NymexData!$S$12:$U$250,3),VLOOKUP(NymexData!AA28,NymexData!$AA$12:$AC$250,3))</f>
        <v>0.42499999999999999</v>
      </c>
      <c r="AO28" s="370">
        <f>AD28*24*VLOOKUP(AB28,Interest!$X$8:$AC$367,6)</f>
        <v>715.02807427431526</v>
      </c>
    </row>
    <row r="29" spans="1:41" ht="15.75" x14ac:dyDescent="0.25">
      <c r="A29" s="98">
        <f>TradeSum!A32</f>
        <v>37803</v>
      </c>
      <c r="B29" s="178">
        <f>IF($C$6=0,VLOOKUP(A29,NymexData!$A$12:$F$179,6),VLOOKUP(A29,NymexData!$A$12:$L$179,12))</f>
        <v>4.5694517236432839</v>
      </c>
      <c r="C29" s="258">
        <f>TradeSum!I32</f>
        <v>47.803494955037429</v>
      </c>
      <c r="D29" s="178">
        <f t="shared" si="0"/>
        <v>10.461538461538462</v>
      </c>
      <c r="E29" s="387">
        <f>TradeSum!I76</f>
        <v>40.793411758654159</v>
      </c>
      <c r="F29" s="178">
        <f t="shared" si="1"/>
        <v>8.92741935483871</v>
      </c>
      <c r="G29" s="178">
        <f>F29*TradeSum!F76*24/10000+(GasPosn!B349*1.055+GasPosn!C349+GasPosn!D32*1.055)/(VLOOKUP(A29,$AB$12:$AD$47,3))</f>
        <v>1.3383399949335324</v>
      </c>
      <c r="H29" s="383" t="str">
        <f t="shared" si="12"/>
        <v>Cal 2014</v>
      </c>
      <c r="I29" s="178">
        <f t="array" ref="I29">SUM(IF((YEAR(NymexData!$A$12:$A$244)=AA29),NymexData!$F$12:$F$244*'Pricing Summary'!$AD$12:$AD$244))/SUM(IF((YEAR(NymexData!$A$12:$A$244)=AA29),'Pricing Summary'!$AD$12:$AD$244))</f>
        <v>6.4254505029767355</v>
      </c>
      <c r="J29" s="258">
        <f t="array" ref="J29">SUM(IF((YEAR($AB$12:$AB$244)=AA29),$AJ$12:$AJ$244*$AC$12:$AC$244))/SUM(IF((YEAR($AB$12:$AB$244)=AA29),$AC$12:$AC$244))</f>
        <v>39.645303379743126</v>
      </c>
      <c r="K29" s="178">
        <f t="shared" si="13"/>
        <v>6.1700426081216468</v>
      </c>
      <c r="L29" s="258">
        <f t="array" ref="L29">SUM(IF((YEAR($AB$12:$AB$244)=AA29),$AK$12:$AK$244*$AD$12:$AD$244))/SUM(IF((YEAR($AB$12:$AB$244)=AA29),$AD$12:$AD$244))</f>
        <v>33.653110449334271</v>
      </c>
      <c r="M29" s="384">
        <f t="shared" si="14"/>
        <v>5.237470965458952</v>
      </c>
      <c r="P29" s="269" t="str">
        <f t="shared" si="4"/>
        <v>Cal 2014</v>
      </c>
      <c r="Q29" s="178">
        <f t="array" ref="Q29">IF(NymexData!$AA$12="",'Pricing Summary'!I29,SUM(IF((YEAR(NymexData!$A$12:$A$178)=AA29),NymexData!$L$12:$L$178*'Pricing Summary'!$AD$12:$AD$178))/SUM(IF((YEAR(NymexData!$A$12:$A$178)=AA29),'Pricing Summary'!$AD$12:$AD$178)))</f>
        <v>6.4146327044125071</v>
      </c>
      <c r="R29" s="258">
        <f t="shared" si="5"/>
        <v>39.645303379743126</v>
      </c>
      <c r="S29" s="178">
        <f t="shared" si="15"/>
        <v>6.1804479237715135</v>
      </c>
      <c r="T29" s="258">
        <f t="shared" si="7"/>
        <v>33.653110449334271</v>
      </c>
      <c r="U29" s="384">
        <f t="shared" si="16"/>
        <v>5.2463035687429027</v>
      </c>
      <c r="W29" s="397">
        <v>2017</v>
      </c>
      <c r="X29" s="394">
        <f t="array" ref="X29">SUM(IF(YEAR([4]EnergyCurve!$D$3:$D$272)=$W29,[4]EnergyCurve!$T$3:$T$272))+SUM(IF(YEAR([4]OperatingCurve!$D$3:$D$272)=$W29,[4]OperatingCurve!$T$3:$T$272))+SUM(IF(YEAR(TradeSum!$A$12:$A$40)=$W29,TradeSum!$K$12:$K$40))+SUM(IF(YEAR(TradeSum!$A$56:$A$84)=$W29,TradeSum!$K$56:$K$84))</f>
        <v>-93.466726878317459</v>
      </c>
      <c r="Y29" s="395">
        <f t="array" ref="Y29">SUM(IF(YEAR(GasPosn!$BG$12:$BG$188)=$W29,GasPosn!$BL$12:$BL$188))+SUM(IF(YEAR(GasPosn!$BG$200:$BG$316)=$W29,GasPosn!$BL$200:$BL$316))+SUM(IF(YEAR(GasPosn!$A$329:$A$445)=$W29,GasPosn!$J$329:$J$445))</f>
        <v>0</v>
      </c>
      <c r="Z29" s="394">
        <f t="shared" si="9"/>
        <v>-93.466726878317459</v>
      </c>
      <c r="AA29">
        <f t="shared" si="17"/>
        <v>2014</v>
      </c>
      <c r="AB29" s="266">
        <f>[4]EnergyCurve!$D51</f>
        <v>37712</v>
      </c>
      <c r="AC29" s="30">
        <f>IF(TradeSum!$L$6=0,VLOOKUP(AB29,TradeSum!$DM$13:$DQ$252,2)+VLOOKUP(AB29,TradeSum!$DU$13:$DY$252,3),VLOOKUP(AB29,TradeSum!$DU$13:$DY$252,2)+VLOOKUP(AB29,TradeSum!$DU$13:$DY$252,3))</f>
        <v>26</v>
      </c>
      <c r="AD29" s="30">
        <f>VLOOKUP(AB29,TradeSum!$DM$13:$DR$252,6)</f>
        <v>30</v>
      </c>
      <c r="AE29" s="30">
        <f>IF(TradeSum!$L$6=0,VLOOKUP(AB29,TradeSum!$DM$13:$DQ$252,2),VLOOKUP(AB29,TradeSum!$DU$13:$DY$252,2))</f>
        <v>22</v>
      </c>
      <c r="AF29" s="274">
        <f>[4]EnergyCurve!$G51</f>
        <v>47.268238721438912</v>
      </c>
      <c r="AG29" s="274">
        <f>[4]EnergyCurve!$Y51</f>
        <v>46.14280446616656</v>
      </c>
      <c r="AH29" s="274">
        <f>[4]EnergyCurve!$AD51</f>
        <v>41.641067445077141</v>
      </c>
      <c r="AI29" s="274">
        <f>[4]EnergyCurve!$L51</f>
        <v>28.135856381808878</v>
      </c>
      <c r="AJ29">
        <f t="shared" si="10"/>
        <v>47.095094989858552</v>
      </c>
      <c r="AK29">
        <f t="shared" si="11"/>
        <v>40.29054633875031</v>
      </c>
      <c r="AM29">
        <f>IF(NymexData!AC29="",VLOOKUP('Pricing Summary'!AB29,NymexData!$S$12:$U$250,3),VLOOKUP(NymexData!AA29,NymexData!$AA$12:$AC$250,3))</f>
        <v>0.3775</v>
      </c>
      <c r="AO29" s="370">
        <f>AD29*24*VLOOKUP(AB29,Interest!$X$8:$AC$367,6)</f>
        <v>689.78380404122868</v>
      </c>
    </row>
    <row r="30" spans="1:41" ht="15.75" x14ac:dyDescent="0.25">
      <c r="A30" s="100">
        <f>TradeSum!A33</f>
        <v>37834</v>
      </c>
      <c r="B30" s="259">
        <f>IF($C$6=0,VLOOKUP(A30,NymexData!$A$12:$F$179,6),VLOOKUP(A30,NymexData!$A$12:$L$179,12))</f>
        <v>4.617258329468906</v>
      </c>
      <c r="C30" s="260">
        <f>TradeSum!I33</f>
        <v>48.259228885891353</v>
      </c>
      <c r="D30" s="260">
        <f t="shared" si="0"/>
        <v>10.451923076923077</v>
      </c>
      <c r="E30" s="388">
        <f>TradeSum!I77</f>
        <v>41.195377407277689</v>
      </c>
      <c r="F30" s="260">
        <f t="shared" si="1"/>
        <v>8.9220430107526898</v>
      </c>
      <c r="G30" s="260">
        <f>F30*TradeSum!F77*24/10000+(GasPosn!B350*1.055+GasPosn!C350+GasPosn!D33*1.055)/(VLOOKUP(A30,$AB$12:$AD$47,3))</f>
        <v>1.3758841299805251</v>
      </c>
      <c r="H30" s="379" t="str">
        <f>"Cal "&amp;AA30</f>
        <v>Cal 2015</v>
      </c>
      <c r="I30" s="132">
        <f t="array" ref="I30">SUM(IF((YEAR(NymexData!$A$12:$A$244)=AA30),NymexData!$F$12:$F$244*'Pricing Summary'!$AD$12:$AD$244))/SUM(IF((YEAR(NymexData!$A$12:$A$244)=AA30),'Pricing Summary'!$AD$12:$AD$244))</f>
        <v>6.5217962796617641</v>
      </c>
      <c r="J30" s="260">
        <f t="array" ref="J30">SUM(IF((YEAR($AB$12:$AB$244)=AA30),$AJ$12:$AJ$244*$AC$12:$AC$244))/SUM(IF((YEAR($AB$12:$AB$244)=AA30),$AC$12:$AC$244))</f>
        <v>39.653005529887935</v>
      </c>
      <c r="K30" s="260">
        <f t="shared" si="13"/>
        <v>6.0800742356129582</v>
      </c>
      <c r="L30" s="132">
        <f t="array" ref="L30">SUM(IF((YEAR($AB$12:$AB$244)=AA30),$AK$12:$AK$244*$AD$12:$AD$244))/SUM(IF((YEAR($AB$12:$AB$244)=AA30),$AD$12:$AD$244))</f>
        <v>33.656918280049631</v>
      </c>
      <c r="M30" s="380">
        <f t="shared" si="14"/>
        <v>5.1606822471607714</v>
      </c>
      <c r="P30" s="268" t="str">
        <f t="shared" si="4"/>
        <v>Cal 2015</v>
      </c>
      <c r="Q30" s="132">
        <f t="array" ref="Q30">IF(NymexData!$AA$12="",'Pricing Summary'!I30,SUM(IF((YEAR(NymexData!$A$12:$A$244)=AA30),NymexData!$L$12:$L$244*'Pricing Summary'!$AD$12:$AD$244))/SUM(IF((YEAR(NymexData!$A$12:$A$244)=AA30),'Pricing Summary'!$AD$12:$AD$244)))</f>
        <v>6.525693974155776</v>
      </c>
      <c r="R30" s="260">
        <f t="shared" si="5"/>
        <v>39.653005529887935</v>
      </c>
      <c r="S30" s="260">
        <f t="shared" si="15"/>
        <v>6.0764427027882215</v>
      </c>
      <c r="T30" s="132">
        <f t="shared" si="7"/>
        <v>33.656918280049631</v>
      </c>
      <c r="U30" s="380">
        <f t="shared" si="16"/>
        <v>5.1575998527273565</v>
      </c>
      <c r="W30" s="396">
        <v>2018</v>
      </c>
      <c r="X30" s="392">
        <f t="array" ref="X30">SUM(IF(YEAR([4]EnergyCurve!$D$3:$D$272)=$W30,[4]EnergyCurve!$T$3:$T$272))+SUM(IF(YEAR([4]OperatingCurve!$D$3:$D$272)=$W30,[4]OperatingCurve!$T$3:$T$272))+SUM(IF(YEAR(TradeSum!$A$12:$A$40)=$W30,TradeSum!$K$12:$K$40))+SUM(IF(YEAR(TradeSum!$A$56:$A$84)=$W30,TradeSum!$K$56:$K$84))</f>
        <v>-58.136844619587819</v>
      </c>
      <c r="Y30" s="393">
        <f t="array" ref="Y30">SUM(IF(YEAR(GasPosn!$BG$12:$BG$188)=$W30,GasPosn!$BL$12:$BL$188))+SUM(IF(YEAR(GasPosn!$BG$200:$BG$316)=$W30,GasPosn!$BL$200:$BL$316))+SUM(IF(YEAR(GasPosn!$A$329:$A$445)=$W30,GasPosn!$J$329:$J$445))</f>
        <v>0</v>
      </c>
      <c r="Z30" s="393">
        <f t="shared" si="9"/>
        <v>-58.136844619587819</v>
      </c>
      <c r="AA30">
        <f t="shared" si="17"/>
        <v>2015</v>
      </c>
      <c r="AB30" s="266">
        <f>[4]EnergyCurve!$D52</f>
        <v>37742</v>
      </c>
      <c r="AC30" s="30">
        <f>IF(TradeSum!$L$6=0,VLOOKUP(AB30,TradeSum!$DM$13:$DQ$252,2)+VLOOKUP(AB30,TradeSum!$DU$13:$DY$252,3),VLOOKUP(AB30,TradeSum!$DU$13:$DY$252,2)+VLOOKUP(AB30,TradeSum!$DU$13:$DY$252,3))</f>
        <v>26</v>
      </c>
      <c r="AD30" s="30">
        <f>VLOOKUP(AB30,TradeSum!$DM$13:$DR$252,6)</f>
        <v>31</v>
      </c>
      <c r="AE30" s="30">
        <f>IF(TradeSum!$L$6=0,VLOOKUP(AB30,TradeSum!$DM$13:$DQ$252,2),VLOOKUP(AB30,TradeSum!$DU$13:$DY$252,2))</f>
        <v>21</v>
      </c>
      <c r="AF30" s="274">
        <f>[4]EnergyCurve!$G52</f>
        <v>47.270402632314514</v>
      </c>
      <c r="AG30" s="274">
        <f>[4]EnergyCurve!$Y52</f>
        <v>46.144916855354644</v>
      </c>
      <c r="AH30" s="274">
        <f>[4]EnergyCurve!$AD52</f>
        <v>41.642973747515171</v>
      </c>
      <c r="AI30" s="274">
        <f>[4]EnergyCurve!$L52</f>
        <v>28.137144423996734</v>
      </c>
      <c r="AJ30">
        <f t="shared" si="10"/>
        <v>47.05396305982223</v>
      </c>
      <c r="AK30">
        <f t="shared" si="11"/>
        <v>40.166530040105442</v>
      </c>
      <c r="AM30">
        <f>IF(NymexData!AC30="",VLOOKUP('Pricing Summary'!AB30,NymexData!$S$12:$U$250,3),VLOOKUP(NymexData!AA30,NymexData!$AA$12:$AC$250,3))</f>
        <v>0.36</v>
      </c>
      <c r="AO30" s="370">
        <f>AD30*24*VLOOKUP(AB30,Interest!$X$8:$AC$367,6)</f>
        <v>710.4298482283458</v>
      </c>
    </row>
    <row r="31" spans="1:41" ht="15.75" x14ac:dyDescent="0.25">
      <c r="A31" s="98">
        <f>TradeSum!A34</f>
        <v>37865</v>
      </c>
      <c r="B31" s="178">
        <f>IF($C$6=0,VLOOKUP(A31,NymexData!$A$12:$F$179,6),VLOOKUP(A31,NymexData!$A$12:$L$179,12))</f>
        <v>4.6247129653071903</v>
      </c>
      <c r="C31" s="258">
        <f>TradeSum!I34</f>
        <v>48.374497617113214</v>
      </c>
      <c r="D31" s="178">
        <f t="shared" si="0"/>
        <v>10.46</v>
      </c>
      <c r="E31" s="387">
        <f>TradeSum!I78</f>
        <v>41.262716790463045</v>
      </c>
      <c r="F31" s="178">
        <f t="shared" si="1"/>
        <v>8.9222222222222225</v>
      </c>
      <c r="G31" s="178">
        <f>F31*TradeSum!F78*24/10000+(GasPosn!B351*1.055+GasPosn!C351+GasPosn!D34*1.055)/(VLOOKUP(A31,$AB$12:$AD$47,3))</f>
        <v>1.4266571548138991</v>
      </c>
      <c r="H31" s="383" t="str">
        <f t="shared" ref="H31:H36" si="18">"Cal "&amp;AA31</f>
        <v>Cal 2016</v>
      </c>
      <c r="I31" s="178">
        <f t="array" ref="I31">SUM(IF((YEAR(NymexData!$A$12:$A$244)=AA31),NymexData!$F$12:$F$244*'Pricing Summary'!$AD$12:$AD$244))/SUM(IF((YEAR(NymexData!$A$12:$A$244)=AA31),'Pricing Summary'!$AD$12:$AD$244))</f>
        <v>6.7287530582060393</v>
      </c>
      <c r="J31" s="258">
        <f t="array" ref="J31">SUM(IF((YEAR($AB$12:$AB$244)=AA31),$AJ$12:$AJ$244*$AC$12:$AC$244))/SUM(IF((YEAR($AB$12:$AB$244)=AA31),$AC$12:$AC$244))</f>
        <v>39.647955774493475</v>
      </c>
      <c r="K31" s="178">
        <f t="shared" si="13"/>
        <v>5.8923184476417783</v>
      </c>
      <c r="L31" s="258">
        <f t="array" ref="L31">SUM(IF((YEAR($AB$12:$AB$244)=AA31),$AK$12:$AK$244*$AD$12:$AD$244))/SUM(IF((YEAR($AB$12:$AB$244)=AA31),$AD$12:$AD$244))</f>
        <v>33.658750431172109</v>
      </c>
      <c r="M31" s="384">
        <f t="shared" si="14"/>
        <v>5.0022270307755816</v>
      </c>
      <c r="P31" s="269" t="str">
        <f t="shared" ref="P31:P36" si="19">H31</f>
        <v>Cal 2016</v>
      </c>
      <c r="Q31" s="178">
        <f t="array" ref="Q31">IF(NymexData!$AA$12="",'Pricing Summary'!I31,SUM(IF((YEAR(NymexData!$A$12:$A$244)=AA31),NymexData!$L$12:$L$244*'Pricing Summary'!$AD$12:$AD$244))/SUM(IF((YEAR(NymexData!$A$12:$A$244)=AA31),'Pricing Summary'!$AD$12:$AD$244)))</f>
        <v>6.7490147277701631</v>
      </c>
      <c r="R31" s="258">
        <f t="shared" ref="R31:R36" si="20">J31</f>
        <v>39.647955774493475</v>
      </c>
      <c r="S31" s="178">
        <f t="shared" ref="S31:S36" si="21">R31/Q31</f>
        <v>5.8746287234126306</v>
      </c>
      <c r="T31" s="258">
        <f t="shared" ref="T31:T36" si="22">L31</f>
        <v>33.658750431172109</v>
      </c>
      <c r="U31" s="384">
        <f t="shared" ref="U31:U36" si="23">T31/Q31</f>
        <v>4.9872095096602012</v>
      </c>
      <c r="W31" s="397">
        <v>2019</v>
      </c>
      <c r="X31" s="394">
        <f t="array" ref="X31">SUM(IF(YEAR([4]EnergyCurve!$D$3:$D$272)=$W31,[4]EnergyCurve!$T$3:$T$272))+SUM(IF(YEAR([4]OperatingCurve!$D$3:$D$272)=$W31,[4]OperatingCurve!$T$3:$T$272))+SUM(IF(YEAR(TradeSum!$A$12:$A$40)=$W31,TradeSum!$K$12:$K$40))+SUM(IF(YEAR(TradeSum!$A$56:$A$84)=$W31,TradeSum!$K$56:$K$84))</f>
        <v>-59.032862011937929</v>
      </c>
      <c r="Y31" s="395">
        <f t="array" ref="Y31">SUM(IF(YEAR(GasPosn!$BG$12:$BG$188)=$W31,GasPosn!$BL$12:$BL$188))+SUM(IF(YEAR(GasPosn!$BG$200:$BG$316)=$W31,GasPosn!$BL$200:$BL$316))+SUM(IF(YEAR(GasPosn!$A$329:$A$445)=$W31,GasPosn!$J$329:$J$445))</f>
        <v>0</v>
      </c>
      <c r="Z31" s="394">
        <f t="shared" si="9"/>
        <v>-59.032862011937929</v>
      </c>
      <c r="AA31">
        <f t="shared" si="17"/>
        <v>2016</v>
      </c>
      <c r="AB31" s="266">
        <f>[4]EnergyCurve!$D53</f>
        <v>37773</v>
      </c>
      <c r="AC31" s="30">
        <f>IF(TradeSum!$L$6=0,VLOOKUP(AB31,TradeSum!$DM$13:$DQ$252,2)+VLOOKUP(AB31,TradeSum!$DU$13:$DY$252,3),VLOOKUP(AB31,TradeSum!$DU$13:$DY$252,2)+VLOOKUP(AB31,TradeSum!$DU$13:$DY$252,3))</f>
        <v>25</v>
      </c>
      <c r="AD31" s="30">
        <f>VLOOKUP(AB31,TradeSum!$DM$13:$DR$252,6)</f>
        <v>30</v>
      </c>
      <c r="AE31" s="30">
        <f>IF(TradeSum!$L$6=0,VLOOKUP(AB31,TradeSum!$DM$13:$DQ$252,2),VLOOKUP(AB31,TradeSum!$DU$13:$DY$252,2))</f>
        <v>21</v>
      </c>
      <c r="AF31" s="274">
        <f>[4]EnergyCurve!$G53</f>
        <v>47.586013026417625</v>
      </c>
      <c r="AG31" s="274">
        <f>[4]EnergyCurve!$Y53</f>
        <v>46.453012716264823</v>
      </c>
      <c r="AH31" s="274">
        <f>[4]EnergyCurve!$AD53</f>
        <v>41.921011475653621</v>
      </c>
      <c r="AI31" s="274">
        <f>[4]EnergyCurve!$L53</f>
        <v>28.325007753820014</v>
      </c>
      <c r="AJ31">
        <f t="shared" si="10"/>
        <v>47.404732976793177</v>
      </c>
      <c r="AK31">
        <f t="shared" si="11"/>
        <v>40.435522180119953</v>
      </c>
      <c r="AM31">
        <f>IF(NymexData!AC31="",VLOOKUP('Pricing Summary'!AB31,NymexData!$S$12:$U$250,3),VLOOKUP(NymexData!AA31,NymexData!$AA$12:$AC$250,3))</f>
        <v>0.35499999999999998</v>
      </c>
      <c r="AO31" s="370">
        <f>AD31*24*VLOOKUP(AB31,Interest!$X$8:$AC$367,6)</f>
        <v>685.21648730569427</v>
      </c>
    </row>
    <row r="32" spans="1:41" ht="16.5" thickBot="1" x14ac:dyDescent="0.3">
      <c r="A32" s="100">
        <f>TradeSum!A35</f>
        <v>37895</v>
      </c>
      <c r="B32" s="259">
        <f>IF($C$6=0,VLOOKUP(A32,NymexData!$A$12:$F$179,6),VLOOKUP(A32,NymexData!$A$12:$L$179,12))</f>
        <v>4.6545785620379485</v>
      </c>
      <c r="C32" s="260">
        <f>TradeSum!I35</f>
        <v>48.700683102804454</v>
      </c>
      <c r="D32" s="260">
        <f t="shared" si="0"/>
        <v>10.462962962962962</v>
      </c>
      <c r="E32" s="388">
        <f>TradeSum!I79</f>
        <v>41.67849782297958</v>
      </c>
      <c r="F32" s="260">
        <f t="shared" si="1"/>
        <v>8.9543010752688161</v>
      </c>
      <c r="G32" s="260">
        <f>F32*TradeSum!F79*24/10000+(GasPosn!B352*1.055+GasPosn!C352+GasPosn!D35*1.055)/(VLOOKUP(A32,$AB$12:$AD$47,3))</f>
        <v>1.5211528835967876</v>
      </c>
      <c r="H32" s="379" t="str">
        <f t="shared" si="18"/>
        <v>Cal 2017</v>
      </c>
      <c r="I32" s="132">
        <f t="array" ref="I32">SUM(IF((YEAR(NymexData!$A$12:$A$244)=AA32),NymexData!$F$12:$F$244*'Pricing Summary'!$AD$12:$AD$244))/SUM(IF((YEAR(NymexData!$A$12:$A$244)=AA32),'Pricing Summary'!$AD$12:$AD$244))</f>
        <v>6.9182536645613553</v>
      </c>
      <c r="J32" s="260">
        <f t="array" ref="J32">SUM(IF((YEAR($AB$12:$AB$244)=AA32),$AJ$12:$AJ$244*$AC$12:$AC$244))/SUM(IF((YEAR($AB$12:$AB$244)=AA32),$AC$12:$AC$244))</f>
        <v>39.636536959038914</v>
      </c>
      <c r="K32" s="260">
        <f t="shared" si="13"/>
        <v>5.7292691018365582</v>
      </c>
      <c r="L32" s="132">
        <f t="array" ref="L32">SUM(IF((YEAR($AB$12:$AB$244)=AA32),$AK$12:$AK$244*$AD$12:$AD$244))/SUM(IF((YEAR($AB$12:$AB$244)=AA32),$AD$12:$AD$244))</f>
        <v>33.626053604238408</v>
      </c>
      <c r="M32" s="380">
        <f t="shared" si="14"/>
        <v>4.8604828956312103</v>
      </c>
      <c r="P32" s="268" t="str">
        <f t="shared" si="19"/>
        <v>Cal 2017</v>
      </c>
      <c r="Q32" s="132">
        <f t="array" ref="Q32">IF(NymexData!$AA$12="",'Pricing Summary'!I32,SUM(IF((YEAR(NymexData!$A$12:$A$244)=AA32),NymexData!$L$12:$L$244*'Pricing Summary'!$AD$12:$AD$244))/SUM(IF((YEAR(NymexData!$A$12:$A$244)=AA32),'Pricing Summary'!$AD$12:$AD$244)))</f>
        <v>6.9536567608429509</v>
      </c>
      <c r="R32" s="260">
        <f t="shared" si="20"/>
        <v>39.636536959038914</v>
      </c>
      <c r="S32" s="260">
        <f t="shared" si="21"/>
        <v>5.7000997205151105</v>
      </c>
      <c r="T32" s="132">
        <f t="shared" si="22"/>
        <v>33.626053604238408</v>
      </c>
      <c r="U32" s="380">
        <f t="shared" si="23"/>
        <v>4.8357367584767186</v>
      </c>
      <c r="W32" s="400">
        <v>2020</v>
      </c>
      <c r="X32" s="401">
        <f t="array" ref="X32">SUM(IF(YEAR([4]EnergyCurve!$D$3:$D$272)=$W32,[4]EnergyCurve!$T$3:$T$272))+SUM(IF(YEAR([4]OperatingCurve!$D$3:$D$272)=$W32,[4]OperatingCurve!$T$3:$T$272))+SUM(IF(YEAR(TradeSum!$A$12:$A$40)=$W32,TradeSum!$K$12:$K$40))+SUM(IF(YEAR(TradeSum!$A$56:$A$84)=$W32,TradeSum!$K$56:$K$84))</f>
        <v>-101.32461754586467</v>
      </c>
      <c r="Y32" s="402">
        <f t="array" ref="Y32">SUM(IF(YEAR(GasPosn!$BG$12:$BG$188)=$W32,GasPosn!$BL$12:$BL$188))+SUM(IF(YEAR(GasPosn!$BG$200:$BG$316)=$W32,GasPosn!$BL$200:$BL$316))+SUM(IF(YEAR(GasPosn!$A$329:$A$445)=$W32,GasPosn!$J$329:$J$445))</f>
        <v>0</v>
      </c>
      <c r="Z32" s="401">
        <f t="shared" si="9"/>
        <v>-101.32461754586467</v>
      </c>
      <c r="AA32">
        <f t="shared" si="17"/>
        <v>2017</v>
      </c>
      <c r="AB32" s="266">
        <f>[4]EnergyCurve!$D54</f>
        <v>37803</v>
      </c>
      <c r="AC32" s="30">
        <f>IF(TradeSum!$L$6=0,VLOOKUP(AB32,TradeSum!$DM$13:$DQ$252,2)+VLOOKUP(AB32,TradeSum!$DU$13:$DY$252,3),VLOOKUP(AB32,TradeSum!$DU$13:$DY$252,2)+VLOOKUP(AB32,TradeSum!$DU$13:$DY$252,3))</f>
        <v>26</v>
      </c>
      <c r="AD32" s="30">
        <f>VLOOKUP(AB32,TradeSum!$DM$13:$DR$252,6)</f>
        <v>31</v>
      </c>
      <c r="AE32" s="30">
        <f>IF(TradeSum!$L$6=0,VLOOKUP(AB32,TradeSum!$DM$13:$DQ$252,2),VLOOKUP(AB32,TradeSum!$DU$13:$DY$252,2))</f>
        <v>22</v>
      </c>
      <c r="AF32" s="274">
        <f>[4]EnergyCurve!$G54</f>
        <v>47.979243098254479</v>
      </c>
      <c r="AG32" s="274">
        <f>[4]EnergyCurve!$Y54</f>
        <v>46.836880167343658</v>
      </c>
      <c r="AH32" s="274">
        <f>[4]EnergyCurve!$AD54</f>
        <v>42.267428443700375</v>
      </c>
      <c r="AI32" s="274">
        <f>[4]EnergyCurve!$L54</f>
        <v>28.559073272770526</v>
      </c>
      <c r="AJ32">
        <f t="shared" si="10"/>
        <v>47.803494955037429</v>
      </c>
      <c r="AK32">
        <f t="shared" si="11"/>
        <v>40.793411758654159</v>
      </c>
      <c r="AM32">
        <f>IF(NymexData!AC32="",VLOOKUP('Pricing Summary'!AB32,NymexData!$S$12:$U$250,3),VLOOKUP(NymexData!AA32,NymexData!$AA$12:$AC$250,3))</f>
        <v>0.35499999999999998</v>
      </c>
      <c r="AO32" s="370">
        <f>AD32*24*VLOOKUP(AB32,Interest!$X$8:$AC$367,6)</f>
        <v>705.59053196554328</v>
      </c>
    </row>
    <row r="33" spans="1:41" ht="15.75" x14ac:dyDescent="0.25">
      <c r="A33" s="98">
        <f>TradeSum!A36</f>
        <v>37926</v>
      </c>
      <c r="B33" s="178">
        <f>IF($C$6=0,VLOOKUP(A33,NymexData!$A$12:$F$179,6),VLOOKUP(A33,NymexData!$A$12:$L$179,12))</f>
        <v>4.9426957392322883</v>
      </c>
      <c r="C33" s="258">
        <f>TradeSum!I36</f>
        <v>51.64087319218735</v>
      </c>
      <c r="D33" s="178">
        <f t="shared" si="0"/>
        <v>10.447916666666668</v>
      </c>
      <c r="E33" s="387">
        <f>TradeSum!I80</f>
        <v>43.935073237620344</v>
      </c>
      <c r="F33" s="178">
        <f t="shared" si="1"/>
        <v>8.8888888888888893</v>
      </c>
      <c r="G33" s="178">
        <f>F33*TradeSum!F80*24/10000+(GasPosn!B353*1.055+GasPosn!C353+GasPosn!D36*1.055)/(VLOOKUP(A33,$AB$12:$AD$47,3))</f>
        <v>1.4847011307758677</v>
      </c>
      <c r="H33" s="383" t="str">
        <f t="shared" si="18"/>
        <v>Cal 2018</v>
      </c>
      <c r="I33" s="178">
        <f t="array" ref="I33">SUM(IF((YEAR(NymexData!$A$12:$A$244)=AA33),NymexData!$F$12:$F$244*'Pricing Summary'!$AD$12:$AD$244))/SUM(IF((YEAR(NymexData!$A$12:$A$244)=AA33),'Pricing Summary'!$AD$12:$AD$244))</f>
        <v>7.0859801957266066</v>
      </c>
      <c r="J33" s="258">
        <f t="array" ref="J33">SUM(IF((YEAR($AB$12:$AB$244)=AA33),$AJ$12:$AJ$244*$AC$12:$AC$244))/SUM(IF((YEAR($AB$12:$AB$244)=AA33),$AC$12:$AC$244))</f>
        <v>39.646482599609506</v>
      </c>
      <c r="K33" s="178">
        <f t="shared" si="13"/>
        <v>5.5950597524276739</v>
      </c>
      <c r="L33" s="258">
        <f t="array" ref="L33">SUM(IF((YEAR($AB$12:$AB$244)=AA33),$AK$12:$AK$244*$AD$12:$AD$244))/SUM(IF((YEAR($AB$12:$AB$244)=AA33),$AD$12:$AD$244))</f>
        <v>33.653219864337366</v>
      </c>
      <c r="M33" s="384">
        <f t="shared" si="14"/>
        <v>4.7492681230795499</v>
      </c>
      <c r="P33" s="269" t="str">
        <f t="shared" si="19"/>
        <v>Cal 2018</v>
      </c>
      <c r="Q33" s="178">
        <f t="array" ref="Q33">IF(NymexData!$AA$12="",'Pricing Summary'!I33,SUM(IF((YEAR(NymexData!$A$12:$A$244)=AA33),NymexData!$L$12:$L$244*'Pricing Summary'!$AD$12:$AD$244))/SUM(IF((YEAR(NymexData!$A$12:$A$244)=AA33),'Pricing Summary'!$AD$12:$AD$244)))</f>
        <v>7.1355228395836292</v>
      </c>
      <c r="R33" s="258">
        <f t="shared" si="20"/>
        <v>39.646482599609506</v>
      </c>
      <c r="S33" s="178">
        <f t="shared" si="21"/>
        <v>5.5562126968011993</v>
      </c>
      <c r="T33" s="258">
        <f t="shared" si="22"/>
        <v>33.653219864337366</v>
      </c>
      <c r="U33" s="384">
        <f t="shared" si="23"/>
        <v>4.7162934827493448</v>
      </c>
      <c r="W33" s="398"/>
      <c r="X33" s="284"/>
      <c r="Y33" s="284"/>
      <c r="Z33" s="399"/>
      <c r="AA33">
        <f t="shared" si="17"/>
        <v>2018</v>
      </c>
      <c r="AB33" s="266">
        <f>[4]EnergyCurve!$D55</f>
        <v>37834</v>
      </c>
      <c r="AC33" s="30">
        <f>IF(TradeSum!$L$6=0,VLOOKUP(AB33,TradeSum!$DM$13:$DQ$252,2)+VLOOKUP(AB33,TradeSum!$DU$13:$DY$252,3),VLOOKUP(AB33,TradeSum!$DU$13:$DY$252,2)+VLOOKUP(AB33,TradeSum!$DU$13:$DY$252,3))</f>
        <v>26</v>
      </c>
      <c r="AD33" s="30">
        <f>VLOOKUP(AB33,TradeSum!$DM$13:$DR$252,6)</f>
        <v>31</v>
      </c>
      <c r="AE33" s="30">
        <f>IF(TradeSum!$L$6=0,VLOOKUP(AB33,TradeSum!$DM$13:$DQ$252,2),VLOOKUP(AB33,TradeSum!$DU$13:$DY$252,2))</f>
        <v>21</v>
      </c>
      <c r="AF33" s="274">
        <f>[4]EnergyCurve!$G55</f>
        <v>48.48121245942351</v>
      </c>
      <c r="AG33" s="274">
        <f>[4]EnergyCurve!$Y55</f>
        <v>47.32689787705629</v>
      </c>
      <c r="AH33" s="274">
        <f>[4]EnergyCurve!$AD55</f>
        <v>42.709639547587379</v>
      </c>
      <c r="AI33" s="274">
        <f>[4]EnergyCurve!$L55</f>
        <v>28.857864559180662</v>
      </c>
      <c r="AJ33">
        <f t="shared" si="10"/>
        <v>48.259228885891353</v>
      </c>
      <c r="AK33">
        <f t="shared" si="11"/>
        <v>41.195377407277682</v>
      </c>
      <c r="AM33">
        <f>IF(NymexData!AC33="",VLOOKUP('Pricing Summary'!AB33,NymexData!$S$12:$U$250,3),VLOOKUP(NymexData!AA33,NymexData!$AA$12:$AC$250,3))</f>
        <v>0.35499999999999998</v>
      </c>
      <c r="AO33" s="370">
        <f>AD33*24*VLOOKUP(AB33,Interest!$X$8:$AC$367,6)</f>
        <v>703.04059062153453</v>
      </c>
    </row>
    <row r="34" spans="1:41" ht="15.75" x14ac:dyDescent="0.25">
      <c r="A34" s="100">
        <f>TradeSum!A37</f>
        <v>37956</v>
      </c>
      <c r="B34" s="259">
        <f>IF($C$6=0,VLOOKUP(A34,NymexData!$A$12:$F$179,6),VLOOKUP(A34,NymexData!$A$12:$L$179,12))</f>
        <v>5.1689101733833569</v>
      </c>
      <c r="C34" s="260">
        <f>TradeSum!I37</f>
        <v>54.074752583087424</v>
      </c>
      <c r="D34" s="260">
        <f t="shared" si="0"/>
        <v>10.461538461538462</v>
      </c>
      <c r="E34" s="388">
        <f>TradeSum!I81</f>
        <v>46.145028725285293</v>
      </c>
      <c r="F34" s="260">
        <f t="shared" si="1"/>
        <v>8.92741935483871</v>
      </c>
      <c r="G34" s="260">
        <f>F34*TradeSum!F81*24/10000+(GasPosn!B354*1.055+GasPosn!C354+GasPosn!D37*1.055)/(VLOOKUP(A34,$AB$12:$AD$47,3))</f>
        <v>1.5817317122326653</v>
      </c>
      <c r="H34" s="379" t="str">
        <f t="shared" si="18"/>
        <v>Cal 2019</v>
      </c>
      <c r="I34" s="132">
        <f t="array" ref="I34">SUM(IF((YEAR(NymexData!$A$12:$A$244)=AA34),NymexData!$F$12:$F$244*'Pricing Summary'!$AD$12:$AD$244))/SUM(IF((YEAR(NymexData!$A$12:$A$244)=AA34),'Pricing Summary'!$AD$12:$AD$244))</f>
        <v>7.2488211645106926</v>
      </c>
      <c r="J34" s="260">
        <f t="array" ref="J34">SUM(IF((YEAR($AB$12:$AB$244)=AA34),$AJ$12:$AJ$244*$AC$12:$AC$244))/SUM(IF((YEAR($AB$12:$AB$244)=AA34),$AC$12:$AC$244))</f>
        <v>39.639939986758932</v>
      </c>
      <c r="K34" s="260">
        <f t="shared" si="13"/>
        <v>5.468467091012128</v>
      </c>
      <c r="L34" s="132">
        <f t="array" ref="L34">SUM(IF((YEAR($AB$12:$AB$244)=AA34),$AK$12:$AK$244*$AD$12:$AD$244))/SUM(IF((YEAR($AB$12:$AB$244)=AA34),$AD$12:$AD$244))</f>
        <v>33.652032302822775</v>
      </c>
      <c r="M34" s="380">
        <f t="shared" si="14"/>
        <v>4.6424144752775591</v>
      </c>
      <c r="P34" s="268" t="str">
        <f t="shared" si="19"/>
        <v>Cal 2019</v>
      </c>
      <c r="Q34" s="132">
        <f t="array" ref="Q34">IF(NymexData!$AA$12="",'Pricing Summary'!I34,SUM(IF((YEAR(NymexData!$A$12:$A$244)=AA34),NymexData!$L$12:$L$244*'Pricing Summary'!$AD$12:$AD$244))/SUM(IF((YEAR(NymexData!$A$12:$A$244)=AA34),'Pricing Summary'!$AD$12:$AD$244)))</f>
        <v>7.3131626317162963</v>
      </c>
      <c r="R34" s="260">
        <f t="shared" si="20"/>
        <v>39.639939986758932</v>
      </c>
      <c r="S34" s="260">
        <f t="shared" si="21"/>
        <v>5.4203553213551325</v>
      </c>
      <c r="T34" s="132">
        <f t="shared" si="22"/>
        <v>33.652032302822775</v>
      </c>
      <c r="U34" s="380">
        <f t="shared" si="23"/>
        <v>4.6015703461697965</v>
      </c>
      <c r="W34" s="390"/>
      <c r="AA34">
        <f t="shared" si="17"/>
        <v>2019</v>
      </c>
      <c r="AB34" s="266">
        <f>[4]EnergyCurve!$D56</f>
        <v>37865</v>
      </c>
      <c r="AC34" s="30">
        <f>IF(TradeSum!$L$6=0,VLOOKUP(AB34,TradeSum!$DM$13:$DQ$252,2)+VLOOKUP(AB34,TradeSum!$DU$13:$DY$252,3),VLOOKUP(AB34,TradeSum!$DU$13:$DY$252,2)+VLOOKUP(AB34,TradeSum!$DU$13:$DY$252,3))</f>
        <v>25</v>
      </c>
      <c r="AD34" s="30">
        <f>VLOOKUP(AB34,TradeSum!$DM$13:$DR$252,6)</f>
        <v>30</v>
      </c>
      <c r="AE34" s="30">
        <f>IF(TradeSum!$L$6=0,VLOOKUP(AB34,TradeSum!$DM$13:$DQ$252,2),VLOOKUP(AB34,TradeSum!$DU$13:$DY$252,2))</f>
        <v>21</v>
      </c>
      <c r="AF34" s="274">
        <f>[4]EnergyCurve!$G56</f>
        <v>48.5594861357255</v>
      </c>
      <c r="AG34" s="274">
        <f>[4]EnergyCurve!$Y56</f>
        <v>47.403307894398701</v>
      </c>
      <c r="AH34" s="274">
        <f>[4]EnergyCurve!$AD56</f>
        <v>42.778594929091511</v>
      </c>
      <c r="AI34" s="274">
        <f>[4]EnergyCurve!$L56</f>
        <v>28.904456033169939</v>
      </c>
      <c r="AJ34">
        <f t="shared" si="10"/>
        <v>48.374497617113214</v>
      </c>
      <c r="AK34">
        <f t="shared" si="11"/>
        <v>41.262716790463045</v>
      </c>
      <c r="AM34">
        <f>IF(NymexData!AC34="",VLOOKUP('Pricing Summary'!AB34,NymexData!$S$12:$U$250,3),VLOOKUP(NymexData!AA34,NymexData!$AA$12:$AC$250,3))</f>
        <v>0.35499999999999998</v>
      </c>
      <c r="AO34" s="370">
        <f>AD34*24*VLOOKUP(AB34,Interest!$X$8:$AC$367,6)</f>
        <v>677.89357265483716</v>
      </c>
    </row>
    <row r="35" spans="1:41" ht="15.75" x14ac:dyDescent="0.25">
      <c r="A35" s="98">
        <f>TradeSum!A38</f>
        <v>37987</v>
      </c>
      <c r="B35" s="178">
        <f>IF($C$6=0,VLOOKUP(A35,NymexData!$A$12:$F$179,6),VLOOKUP(A35,NymexData!$A$12:$L$179,12))</f>
        <v>5.2427088847610239</v>
      </c>
      <c r="C35" s="258">
        <f>TradeSum!I38</f>
        <v>50.612305002885265</v>
      </c>
      <c r="D35" s="178">
        <f t="shared" si="0"/>
        <v>9.6538461538461533</v>
      </c>
      <c r="E35" s="387">
        <f>TradeSum!I82</f>
        <v>44.154319720312593</v>
      </c>
      <c r="F35" s="178">
        <f t="shared" si="1"/>
        <v>8.4220430107526862</v>
      </c>
      <c r="G35" s="178">
        <f>F35*TradeSum!F82*24/10000+(GasPosn!B355*1.055+GasPosn!C355+GasPosn!D38*1.055)/(VLOOKUP(A35,$AB$12:$AD$47,3))</f>
        <v>1.4177924241970077</v>
      </c>
      <c r="H35" s="383" t="str">
        <f t="shared" si="18"/>
        <v>Cal 2020</v>
      </c>
      <c r="I35" s="178">
        <f t="array" ref="I35">SUM(IF((YEAR(NymexData!$A$12:$A$244)=AA35),NymexData!$F$12:$F$244*'Pricing Summary'!$AD$12:$AD$244))/SUM(IF((YEAR(NymexData!$A$12:$A$244)=AA35),'Pricing Summary'!$AD$12:$AD$244))</f>
        <v>7.4072468283083701</v>
      </c>
      <c r="J35" s="258">
        <f t="array" ref="J35">SUM(IF((YEAR($AB$12:$AB$244)=AA35),$AJ$12:$AJ$244*$AC$12:$AC$244))/SUM(IF((YEAR($AB$12:$AB$244)=AA35),$AC$12:$AC$244))</f>
        <v>39.66028861490431</v>
      </c>
      <c r="K35" s="178">
        <f t="shared" si="13"/>
        <v>5.3542550335077372</v>
      </c>
      <c r="L35" s="258">
        <f t="array" ref="L35">SUM(IF((YEAR($AB$12:$AB$244)=AA35),$AK$12:$AK$244*$AD$12:$AD$244))/SUM(IF((YEAR($AB$12:$AB$244)=AA35),$AD$12:$AD$244))</f>
        <v>33.666047839952917</v>
      </c>
      <c r="M35" s="384">
        <f t="shared" si="14"/>
        <v>4.545014986039206</v>
      </c>
      <c r="P35" s="269" t="str">
        <f t="shared" si="19"/>
        <v>Cal 2020</v>
      </c>
      <c r="Q35" s="178">
        <f t="array" ref="Q35">IF(NymexData!$AA$12="",'Pricing Summary'!I35,SUM(IF((YEAR(NymexData!$A$12:$A$244)=AA35),NymexData!$L$12:$L$244*'Pricing Summary'!$AD$12:$AD$244))/SUM(IF((YEAR(NymexData!$A$12:$A$244)=AA35),'Pricing Summary'!$AD$12:$AD$244)))</f>
        <v>7.4870629190481877</v>
      </c>
      <c r="R35" s="258">
        <f t="shared" si="20"/>
        <v>39.66028861490431</v>
      </c>
      <c r="S35" s="178">
        <f t="shared" si="21"/>
        <v>5.2971758142973142</v>
      </c>
      <c r="T35" s="258">
        <f t="shared" si="22"/>
        <v>33.666047839952917</v>
      </c>
      <c r="U35" s="384">
        <f t="shared" si="23"/>
        <v>4.4965626980777129</v>
      </c>
      <c r="W35" s="254"/>
      <c r="AA35">
        <f t="shared" si="17"/>
        <v>2020</v>
      </c>
      <c r="AB35" s="266">
        <f>[4]EnergyCurve!$D57</f>
        <v>37895</v>
      </c>
      <c r="AC35" s="30">
        <f>IF(TradeSum!$L$6=0,VLOOKUP(AB35,TradeSum!$DM$13:$DQ$252,2)+VLOOKUP(AB35,TradeSum!$DU$13:$DY$252,3),VLOOKUP(AB35,TradeSum!$DU$13:$DY$252,2)+VLOOKUP(AB35,TradeSum!$DU$13:$DY$252,3))</f>
        <v>27</v>
      </c>
      <c r="AD35" s="30">
        <f>VLOOKUP(AB35,TradeSum!$DM$13:$DR$252,6)</f>
        <v>31</v>
      </c>
      <c r="AE35" s="30">
        <f>IF(TradeSum!$L$6=0,VLOOKUP(AB35,TradeSum!$DM$13:$DQ$252,2),VLOOKUP(AB35,TradeSum!$DU$13:$DY$252,2))</f>
        <v>23</v>
      </c>
      <c r="AF35" s="274">
        <f>[4]EnergyCurve!$G57</f>
        <v>48.873074901398461</v>
      </c>
      <c r="AG35" s="274">
        <f>[4]EnergyCurve!$Y57</f>
        <v>47.709430260888972</v>
      </c>
      <c r="AH35" s="274">
        <f>[4]EnergyCurve!$AD57</f>
        <v>43.054851698851024</v>
      </c>
      <c r="AI35" s="274">
        <f>[4]EnergyCurve!$L57</f>
        <v>29.091116012737178</v>
      </c>
      <c r="AJ35">
        <f t="shared" si="10"/>
        <v>48.700683102804454</v>
      </c>
      <c r="AK35">
        <f t="shared" si="11"/>
        <v>41.678497822979587</v>
      </c>
      <c r="AM35">
        <f>IF(NymexData!AC35="",VLOOKUP('Pricing Summary'!AB35,NymexData!$S$12:$U$250,3),VLOOKUP(NymexData!AA35,NymexData!$AA$12:$AC$250,3))</f>
        <v>0.35499999999999998</v>
      </c>
      <c r="AO35" s="370">
        <f>AD35*24*VLOOKUP(AB35,Interest!$X$8:$AC$367,6)</f>
        <v>697.84827519087719</v>
      </c>
    </row>
    <row r="36" spans="1:41" ht="16.5" thickBot="1" x14ac:dyDescent="0.3">
      <c r="A36" s="100">
        <f>TradeSum!A39</f>
        <v>38018</v>
      </c>
      <c r="B36" s="259">
        <f>IF($C$6=0,VLOOKUP(A36,NymexData!$A$12:$F$179,6),VLOOKUP(A36,NymexData!$A$12:$L$179,12))</f>
        <v>5.1104616463435217</v>
      </c>
      <c r="C36" s="260">
        <f>TradeSum!I39</f>
        <v>49.40112924798737</v>
      </c>
      <c r="D36" s="260">
        <f t="shared" si="0"/>
        <v>9.6666666666666661</v>
      </c>
      <c r="E36" s="388">
        <f>TradeSum!I83</f>
        <v>43.042422659289826</v>
      </c>
      <c r="F36" s="260">
        <f t="shared" si="1"/>
        <v>8.4224137931034466</v>
      </c>
      <c r="G36" s="260">
        <f>F36*TradeSum!F83*24/10000+(GasPosn!B356*1.055+GasPosn!C356+GasPosn!D39*1.055)/(VLOOKUP(A36,$AB$12:$AD$47,3))</f>
        <v>1.4390659123437315</v>
      </c>
      <c r="H36" s="385" t="str">
        <f t="shared" si="18"/>
        <v>Cal 2021</v>
      </c>
      <c r="I36" s="265" t="e">
        <f t="array" ref="I36">SUM(IF((YEAR(NymexData!$A$12:$A$244)=AA36),NymexData!$F$12:$F$244*'Pricing Summary'!$AD$12:$AD$244))/SUM(IF((YEAR(NymexData!$A$12:$A$244)=AA36),'Pricing Summary'!$AD$12:$AD$244))</f>
        <v>#DIV/0!</v>
      </c>
      <c r="J36" s="264">
        <f t="array" ref="J36">SUM(IF((YEAR($AB$12:$AB$244)=AA36),$AJ$12:$AJ$244*$AC$12:$AC$244))/SUM(IF((YEAR($AB$12:$AB$244)=AA36),$AC$12:$AC$244))</f>
        <v>42.822325646526622</v>
      </c>
      <c r="K36" s="264" t="e">
        <f t="shared" si="13"/>
        <v>#DIV/0!</v>
      </c>
      <c r="L36" s="265">
        <f t="array" ref="L36">SUM(IF((YEAR($AB$12:$AB$244)=AA36),$AK$12:$AK$244*$AD$12:$AD$244))/SUM(IF((YEAR($AB$12:$AB$244)=AA36),$AD$12:$AD$244))</f>
        <v>36.309919783220145</v>
      </c>
      <c r="M36" s="386" t="e">
        <f t="shared" si="14"/>
        <v>#DIV/0!</v>
      </c>
      <c r="P36" s="270" t="str">
        <f t="shared" si="19"/>
        <v>Cal 2021</v>
      </c>
      <c r="Q36" s="265" t="e">
        <f t="array" ref="Q36">IF(NymexData!$AA$12="",'Pricing Summary'!I36,SUM(IF((YEAR(NymexData!$A$12:$A$244)=AA36),NymexData!$L$12:$L$244*'Pricing Summary'!$AD$12:$AD$244))/SUM(IF((YEAR(NymexData!$A$12:$A$244)=AA36),'Pricing Summary'!$AD$12:$AD$244)))</f>
        <v>#DIV/0!</v>
      </c>
      <c r="R36" s="264">
        <f t="shared" si="20"/>
        <v>42.822325646526622</v>
      </c>
      <c r="S36" s="264" t="e">
        <f t="shared" si="21"/>
        <v>#DIV/0!</v>
      </c>
      <c r="T36" s="265">
        <f t="shared" si="22"/>
        <v>36.309919783220145</v>
      </c>
      <c r="U36" s="386" t="e">
        <f t="shared" si="23"/>
        <v>#DIV/0!</v>
      </c>
      <c r="W36" s="254"/>
      <c r="AA36">
        <f t="shared" si="17"/>
        <v>2021</v>
      </c>
      <c r="AB36" s="266">
        <f>[4]EnergyCurve!$D58</f>
        <v>37926</v>
      </c>
      <c r="AC36" s="30">
        <f>IF(TradeSum!$L$6=0,VLOOKUP(AB36,TradeSum!$DM$13:$DQ$252,2)+VLOOKUP(AB36,TradeSum!$DU$13:$DY$252,3),VLOOKUP(AB36,TradeSum!$DU$13:$DY$252,2)+VLOOKUP(AB36,TradeSum!$DU$13:$DY$252,3))</f>
        <v>24</v>
      </c>
      <c r="AD36" s="30">
        <f>VLOOKUP(AB36,TradeSum!$DM$13:$DR$252,6)</f>
        <v>30</v>
      </c>
      <c r="AE36" s="30">
        <f>IF(TradeSum!$L$6=0,VLOOKUP(AB36,TradeSum!$DM$13:$DQ$252,2),VLOOKUP(AB36,TradeSum!$DU$13:$DY$252,2))</f>
        <v>19</v>
      </c>
      <c r="AF36" s="274">
        <f>[4]EnergyCurve!$G58</f>
        <v>51.898305261939029</v>
      </c>
      <c r="AG36" s="274">
        <f>[4]EnergyCurve!$Y58</f>
        <v>50.662631327130953</v>
      </c>
      <c r="AH36" s="274">
        <f>[4]EnergyCurve!$AD58</f>
        <v>45.719935587898668</v>
      </c>
      <c r="AI36" s="274">
        <f>[4]EnergyCurve!$L58</f>
        <v>30.891848370201803</v>
      </c>
      <c r="AJ36">
        <f t="shared" si="10"/>
        <v>51.64087319218735</v>
      </c>
      <c r="AK36">
        <f t="shared" si="11"/>
        <v>43.935073237620344</v>
      </c>
      <c r="AM36">
        <f>IF(NymexData!AC36="",VLOOKUP('Pricing Summary'!AB36,NymexData!$S$12:$U$250,3),VLOOKUP(NymexData!AA36,NymexData!$AA$12:$AC$250,3))</f>
        <v>0.35749999999999998</v>
      </c>
      <c r="AO36" s="370">
        <f>AD36*24*VLOOKUP(AB36,Interest!$X$8:$AC$367,6)</f>
        <v>672.79740099692015</v>
      </c>
    </row>
    <row r="37" spans="1:41" ht="15.75" x14ac:dyDescent="0.25">
      <c r="A37" s="98">
        <f>TradeSum!A40</f>
        <v>38047</v>
      </c>
      <c r="B37" s="178">
        <f>IF($C$6=0,VLOOKUP(A37,NymexData!$A$12:$F$179,6),VLOOKUP(A37,NymexData!$A$12:$L$179,12))</f>
        <v>4.9021349316763674</v>
      </c>
      <c r="C37" s="258">
        <f>TradeSum!I40</f>
        <v>47.432694477794477</v>
      </c>
      <c r="D37" s="178">
        <f t="shared" si="0"/>
        <v>9.6759259259259256</v>
      </c>
      <c r="E37" s="387">
        <f>TradeSum!I84</f>
        <v>41.444124623984337</v>
      </c>
      <c r="F37" s="178">
        <f t="shared" si="1"/>
        <v>8.4543010752688161</v>
      </c>
      <c r="G37" s="178">
        <f>F37*TradeSum!F84*24/10000+(GasPosn!B357*1.055+GasPosn!C357+GasPosn!D40*1.055)/(VLOOKUP(A37,$AB$12:$AD$47,3))</f>
        <v>1.4995242662575672</v>
      </c>
      <c r="H37" s="271"/>
      <c r="I37" s="272"/>
      <c r="J37" s="273"/>
      <c r="K37" s="272"/>
      <c r="L37" s="273"/>
      <c r="M37" s="272"/>
      <c r="N37" s="277"/>
      <c r="O37" s="277"/>
      <c r="AB37" s="266">
        <f>[4]EnergyCurve!$D59</f>
        <v>37956</v>
      </c>
      <c r="AC37" s="30">
        <f>IF(TradeSum!$L$6=0,VLOOKUP(AB37,TradeSum!$DM$13:$DQ$252,2)+VLOOKUP(AB37,TradeSum!$DU$13:$DY$252,3),VLOOKUP(AB37,TradeSum!$DU$13:$DY$252,2)+VLOOKUP(AB37,TradeSum!$DU$13:$DY$252,3))</f>
        <v>26</v>
      </c>
      <c r="AD37" s="30">
        <f>VLOOKUP(AB37,TradeSum!$DM$13:$DR$252,6)</f>
        <v>31</v>
      </c>
      <c r="AE37" s="30">
        <f>IF(TradeSum!$L$6=0,VLOOKUP(AB37,TradeSum!$DM$13:$DQ$252,2),VLOOKUP(AB37,TradeSum!$DU$13:$DY$252,2))</f>
        <v>22</v>
      </c>
      <c r="AF37" s="274">
        <f>[4]EnergyCurve!$G59</f>
        <v>54.273556820525251</v>
      </c>
      <c r="AG37" s="274">
        <f>[4]EnergyCurve!$Y59</f>
        <v>52.981329277179405</v>
      </c>
      <c r="AH37" s="274">
        <f>[4]EnergyCurve!$AD59</f>
        <v>47.812419103796053</v>
      </c>
      <c r="AI37" s="274">
        <f>[4]EnergyCurve!$L59</f>
        <v>32.305688583645981</v>
      </c>
      <c r="AJ37">
        <f t="shared" si="10"/>
        <v>54.074752583087424</v>
      </c>
      <c r="AK37">
        <f t="shared" si="11"/>
        <v>46.145028725285293</v>
      </c>
      <c r="AM37">
        <f>IF(NymexData!AC37="",VLOOKUP('Pricing Summary'!AB37,NymexData!$S$12:$U$250,3),VLOOKUP(NymexData!AA37,NymexData!$AA$12:$AC$250,3))</f>
        <v>0.35749999999999998</v>
      </c>
      <c r="AO37" s="370">
        <f>AD37*24*VLOOKUP(AB37,Interest!$X$8:$AC$367,6)</f>
        <v>692.6285030376979</v>
      </c>
    </row>
    <row r="38" spans="1:41" ht="15.75" x14ac:dyDescent="0.25">
      <c r="A38" s="100">
        <f>TradeSum!A41</f>
        <v>38078</v>
      </c>
      <c r="B38" s="259">
        <f>IF($C$6=0,VLOOKUP(A38,NymexData!$A$12:$F$179,6),VLOOKUP(A38,NymexData!$A$12:$L$179,12))</f>
        <v>4.6195056793248268</v>
      </c>
      <c r="C38" s="260">
        <f>TradeSum!I41</f>
        <v>44.684833782699762</v>
      </c>
      <c r="D38" s="260">
        <f t="shared" si="0"/>
        <v>9.6730769230769216</v>
      </c>
      <c r="E38" s="388">
        <f>TradeSum!I85</f>
        <v>39.034822990294785</v>
      </c>
      <c r="F38" s="260">
        <f t="shared" si="1"/>
        <v>8.4499999999999993</v>
      </c>
      <c r="G38" s="260">
        <f>F38*TradeSum!F85*24/10000+(GasPosn!B358*1.055+GasPosn!C358+GasPosn!D41*1.055)/(VLOOKUP(A38,$AB$12:$AD$47,3))</f>
        <v>1.5335155473547779</v>
      </c>
      <c r="H38" s="271"/>
      <c r="I38" s="273"/>
      <c r="J38" s="272"/>
      <c r="K38" s="272"/>
      <c r="L38" s="273"/>
      <c r="M38" s="272"/>
      <c r="N38" s="277"/>
      <c r="O38" s="277"/>
      <c r="AB38" s="266">
        <f>[4]EnergyCurve!$D60</f>
        <v>37987</v>
      </c>
      <c r="AC38" s="30">
        <f>IF(TradeSum!$L$6=0,VLOOKUP(AB38,TradeSum!$DM$13:$DQ$252,2)+VLOOKUP(AB38,TradeSum!$DU$13:$DY$252,3),VLOOKUP(AB38,TradeSum!$DU$13:$DY$252,2)+VLOOKUP(AB38,TradeSum!$DU$13:$DY$252,3))</f>
        <v>26</v>
      </c>
      <c r="AD38" s="30">
        <f>VLOOKUP(AB38,TradeSum!$DM$13:$DR$252,6)</f>
        <v>31</v>
      </c>
      <c r="AE38" s="30">
        <f>IF(TradeSum!$L$6=0,VLOOKUP(AB38,TradeSum!$DM$13:$DQ$252,2),VLOOKUP(AB38,TradeSum!$DU$13:$DY$252,2))</f>
        <v>21</v>
      </c>
      <c r="AF38" s="274">
        <f>[4]EnergyCurve!$G60</f>
        <v>51.116411626419982</v>
      </c>
      <c r="AG38" s="274">
        <f>[4]EnergyCurve!$Y60</f>
        <v>48.495057184039474</v>
      </c>
      <c r="AH38" s="274">
        <f>[4]EnergyCurve!$AD60</f>
        <v>45.87370274165896</v>
      </c>
      <c r="AI38" s="274">
        <f>[4]EnergyCurve!$L60</f>
        <v>32.766930529756401</v>
      </c>
      <c r="AJ38">
        <f t="shared" si="10"/>
        <v>50.612305002885265</v>
      </c>
      <c r="AK38">
        <f t="shared" si="11"/>
        <v>44.154319720312607</v>
      </c>
      <c r="AM38">
        <f>IF(NymexData!AC38="",VLOOKUP('Pricing Summary'!AB38,NymexData!$S$12:$U$250,3),VLOOKUP(NymexData!AA38,NymexData!$AA$12:$AC$250,3))</f>
        <v>0.35249999999999998</v>
      </c>
      <c r="AO38" s="370">
        <f>AD38*24*VLOOKUP(AB38,Interest!$X$8:$AC$367,6)</f>
        <v>689.96458364506861</v>
      </c>
    </row>
    <row r="39" spans="1:41" ht="15.75" x14ac:dyDescent="0.25">
      <c r="A39" s="98">
        <f>TradeSum!A42</f>
        <v>38108</v>
      </c>
      <c r="B39" s="178">
        <f>IF($C$6=0,VLOOKUP(A39,NymexData!$A$12:$F$179,6),VLOOKUP(A39,NymexData!$A$12:$L$179,12))</f>
        <v>4.6267255734062847</v>
      </c>
      <c r="C39" s="258">
        <f>TradeSum!I42</f>
        <v>44.647901783370642</v>
      </c>
      <c r="D39" s="178">
        <f t="shared" si="0"/>
        <v>9.6499999999999986</v>
      </c>
      <c r="E39" s="387">
        <f>TradeSum!I86</f>
        <v>38.866982303480214</v>
      </c>
      <c r="F39" s="178">
        <f t="shared" si="1"/>
        <v>8.400537634408602</v>
      </c>
      <c r="G39" s="178">
        <f>F39*TradeSum!F86*24/10000+(GasPosn!B359*1.055+GasPosn!C359+GasPosn!D42*1.055)/(VLOOKUP(A39,$AB$12:$AD$47,3))</f>
        <v>1.5261445657771118</v>
      </c>
      <c r="H39" s="271"/>
      <c r="I39" s="272"/>
      <c r="J39" s="273"/>
      <c r="K39" s="277"/>
      <c r="L39" s="277"/>
      <c r="M39" s="277"/>
      <c r="N39" s="277"/>
      <c r="O39" s="277"/>
      <c r="AB39" s="266">
        <f>[4]EnergyCurve!$D61</f>
        <v>38018</v>
      </c>
      <c r="AC39" s="30">
        <f>IF(TradeSum!$L$6=0,VLOOKUP(AB39,TradeSum!$DM$13:$DQ$252,2)+VLOOKUP(AB39,TradeSum!$DU$13:$DY$252,3),VLOOKUP(AB39,TradeSum!$DU$13:$DY$252,2)+VLOOKUP(AB39,TradeSum!$DU$13:$DY$252,3))</f>
        <v>24</v>
      </c>
      <c r="AD39" s="30">
        <f>VLOOKUP(AB39,TradeSum!$DM$13:$DR$252,6)</f>
        <v>29</v>
      </c>
      <c r="AE39" s="30">
        <f>IF(TradeSum!$L$6=0,VLOOKUP(AB39,TradeSum!$DM$13:$DQ$252,2),VLOOKUP(AB39,TradeSum!$DU$13:$DY$252,2))</f>
        <v>20</v>
      </c>
      <c r="AF39" s="274">
        <f>[4]EnergyCurve!$G61</f>
        <v>49.827001051849336</v>
      </c>
      <c r="AG39" s="274">
        <f>[4]EnergyCurve!$Y61</f>
        <v>47.271770228677575</v>
      </c>
      <c r="AH39" s="274">
        <f>[4]EnergyCurve!$AD61</f>
        <v>44.716539405505813</v>
      </c>
      <c r="AI39" s="274">
        <f>[4]EnergyCurve!$L61</f>
        <v>31.940385289647011</v>
      </c>
      <c r="AJ39">
        <f t="shared" si="10"/>
        <v>49.40112924798737</v>
      </c>
      <c r="AK39">
        <f t="shared" si="11"/>
        <v>43.042422659289834</v>
      </c>
      <c r="AM39">
        <f>IF(NymexData!AC39="",VLOOKUP('Pricing Summary'!AB39,NymexData!$S$12:$U$250,3),VLOOKUP(NymexData!AA39,NymexData!$AA$12:$AC$250,3))</f>
        <v>0.34749999999999998</v>
      </c>
      <c r="AO39" s="370">
        <f>AD39*24*VLOOKUP(AB39,Interest!$X$8:$AC$367,6)</f>
        <v>643.03445926130109</v>
      </c>
    </row>
    <row r="40" spans="1:41" ht="15.75" x14ac:dyDescent="0.25">
      <c r="A40" s="100">
        <f>TradeSum!A43</f>
        <v>38139</v>
      </c>
      <c r="B40" s="259">
        <f>IF($C$6=0,VLOOKUP(A40,NymexData!$A$12:$F$179,6),VLOOKUP(A40,NymexData!$A$12:$L$179,12))</f>
        <v>4.6831453627963668</v>
      </c>
      <c r="C40" s="260">
        <f>TradeSum!I43</f>
        <v>45.300425336280234</v>
      </c>
      <c r="D40" s="260">
        <f t="shared" si="0"/>
        <v>9.6730769230769216</v>
      </c>
      <c r="E40" s="388">
        <f>TradeSum!I87</f>
        <v>39.572578315629301</v>
      </c>
      <c r="F40" s="260">
        <f t="shared" si="1"/>
        <v>8.4499999999999993</v>
      </c>
      <c r="G40" s="260">
        <f>F40*TradeSum!F87*24/10000+(GasPosn!B360*1.055+GasPosn!C360+GasPosn!D43*1.055)/(VLOOKUP(A40,$AB$12:$AD$47,3))</f>
        <v>1.6082794465704264</v>
      </c>
      <c r="H40" s="271"/>
      <c r="I40" s="273"/>
      <c r="J40" s="272"/>
      <c r="K40" s="277"/>
      <c r="L40" s="277"/>
      <c r="M40" s="277"/>
      <c r="N40" s="277"/>
      <c r="O40" s="277"/>
      <c r="AB40" s="266">
        <f>[4]EnergyCurve!$D62</f>
        <v>38047</v>
      </c>
      <c r="AC40" s="30">
        <f>IF(TradeSum!$L$6=0,VLOOKUP(AB40,TradeSum!$DM$13:$DQ$252,2)+VLOOKUP(AB40,TradeSum!$DU$13:$DY$252,3),VLOOKUP(AB40,TradeSum!$DU$13:$DY$252,2)+VLOOKUP(AB40,TradeSum!$DU$13:$DY$252,3))</f>
        <v>27</v>
      </c>
      <c r="AD40" s="30">
        <f>VLOOKUP(AB40,TradeSum!$DM$13:$DR$252,6)</f>
        <v>31</v>
      </c>
      <c r="AE40" s="30">
        <f>IF(TradeSum!$L$6=0,VLOOKUP(AB40,TradeSum!$DM$13:$DQ$252,2),VLOOKUP(AB40,TradeSum!$DU$13:$DY$252,2))</f>
        <v>23</v>
      </c>
      <c r="AF40" s="274">
        <f>[4]EnergyCurve!$G62</f>
        <v>47.795815583844579</v>
      </c>
      <c r="AG40" s="274">
        <f>[4]EnergyCurve!$Y62</f>
        <v>45.3447481180064</v>
      </c>
      <c r="AH40" s="274">
        <f>[4]EnergyCurve!$AD62</f>
        <v>42.893680652168214</v>
      </c>
      <c r="AI40" s="274">
        <f>[4]EnergyCurve!$L62</f>
        <v>30.638343322977295</v>
      </c>
      <c r="AJ40">
        <f t="shared" si="10"/>
        <v>47.432694477794477</v>
      </c>
      <c r="AK40">
        <f t="shared" si="11"/>
        <v>41.444124623984337</v>
      </c>
      <c r="AM40">
        <f>IF(NymexData!AC40="",VLOOKUP('Pricing Summary'!AB40,NymexData!$S$12:$U$250,3),VLOOKUP(NymexData!AA40,NymexData!$AA$12:$AC$250,3))</f>
        <v>0.33500000000000002</v>
      </c>
      <c r="AO40" s="370">
        <f>AD40*24*VLOOKUP(AB40,Interest!$X$8:$AC$367,6)</f>
        <v>684.68069973694014</v>
      </c>
    </row>
    <row r="41" spans="1:41" ht="15.75" x14ac:dyDescent="0.25">
      <c r="A41" s="98">
        <f>TradeSum!A44</f>
        <v>38169</v>
      </c>
      <c r="B41" s="178">
        <f>IF($C$6=0,VLOOKUP(A41,NymexData!$A$12:$F$179,6),VLOOKUP(A41,NymexData!$A$12:$L$179,12))</f>
        <v>4.7502028748865159</v>
      </c>
      <c r="C41" s="258">
        <f>TradeSum!I44</f>
        <v>45.857727753712133</v>
      </c>
      <c r="D41" s="178">
        <f t="shared" si="0"/>
        <v>9.6538461538461533</v>
      </c>
      <c r="E41" s="387">
        <f>TradeSum!I88</f>
        <v>40.006412922095315</v>
      </c>
      <c r="F41" s="178">
        <f t="shared" si="1"/>
        <v>8.4220430107526898</v>
      </c>
      <c r="G41" s="178">
        <f>F41*TradeSum!F88*24/10000+(GasPosn!B361*1.055+GasPosn!C361+GasPosn!D44*1.055)/(VLOOKUP(A41,$AB$12:$AD$47,3))</f>
        <v>1.6185549049719841</v>
      </c>
      <c r="H41" s="271"/>
      <c r="I41" s="272"/>
      <c r="J41" s="273"/>
      <c r="K41" s="277"/>
      <c r="AB41" s="266">
        <f>[4]EnergyCurve!$D63</f>
        <v>38078</v>
      </c>
      <c r="AC41" s="30">
        <f>IF(TradeSum!$L$6=0,VLOOKUP(AB41,TradeSum!$DM$13:$DQ$252,2)+VLOOKUP(AB41,TradeSum!$DU$13:$DY$252,3),VLOOKUP(AB41,TradeSum!$DU$13:$DY$252,2)+VLOOKUP(AB41,TradeSum!$DU$13:$DY$252,3))</f>
        <v>26</v>
      </c>
      <c r="AD41" s="30">
        <f>VLOOKUP(AB41,TradeSum!$DM$13:$DR$252,6)</f>
        <v>30</v>
      </c>
      <c r="AE41" s="30">
        <f>IF(TradeSum!$L$6=0,VLOOKUP(AB41,TradeSum!$DM$13:$DQ$252,2),VLOOKUP(AB41,TradeSum!$DU$13:$DY$252,2))</f>
        <v>22</v>
      </c>
      <c r="AF41" s="274">
        <f>[4]EnergyCurve!$G63</f>
        <v>45.040180373417058</v>
      </c>
      <c r="AG41" s="274">
        <f>[4]EnergyCurve!$Y63</f>
        <v>42.73042753375465</v>
      </c>
      <c r="AH41" s="274">
        <f>[4]EnergyCurve!$AD63</f>
        <v>40.420674694092234</v>
      </c>
      <c r="AI41" s="274">
        <f>[4]EnergyCurve!$L63</f>
        <v>28.871910495780167</v>
      </c>
      <c r="AJ41">
        <f t="shared" si="10"/>
        <v>44.684833782699762</v>
      </c>
      <c r="AK41">
        <f t="shared" si="11"/>
        <v>39.034822990294785</v>
      </c>
      <c r="AM41">
        <f>IF(NymexData!AC41="",VLOOKUP('Pricing Summary'!AB41,NymexData!$S$12:$U$250,3),VLOOKUP(NymexData!AA41,NymexData!$AA$12:$AC$250,3))</f>
        <v>0.3075</v>
      </c>
      <c r="AO41" s="370">
        <f>AD41*24*VLOOKUP(AB41,Interest!$X$8:$AC$367,6)</f>
        <v>659.95177903877789</v>
      </c>
    </row>
    <row r="42" spans="1:41" ht="15.75" x14ac:dyDescent="0.25">
      <c r="A42" s="100">
        <f>TradeSum!A45</f>
        <v>38200</v>
      </c>
      <c r="B42" s="259">
        <f>IF($C$6=0,VLOOKUP(A42,NymexData!$A$12:$F$179,6),VLOOKUP(A42,NymexData!$A$12:$L$179,12))</f>
        <v>4.8070492942911747</v>
      </c>
      <c r="C42" s="260">
        <f>TradeSum!I45</f>
        <v>46.498957596701175</v>
      </c>
      <c r="D42" s="260">
        <f t="shared" si="0"/>
        <v>9.6730769230769234</v>
      </c>
      <c r="E42" s="388">
        <f>TradeSum!I89</f>
        <v>40.536864613417784</v>
      </c>
      <c r="F42" s="260">
        <f t="shared" si="1"/>
        <v>8.4327956989247319</v>
      </c>
      <c r="G42" s="260">
        <f>F42*TradeSum!F89*24/10000+(GasPosn!B362*1.055+GasPosn!C362+GasPosn!D45*1.055)/(VLOOKUP(A42,$AB$12:$AD$47,3))</f>
        <v>1.6646631502555174</v>
      </c>
      <c r="H42" s="271"/>
      <c r="I42" s="273"/>
      <c r="J42" s="272"/>
      <c r="K42" s="277"/>
      <c r="AB42" s="266">
        <f>[4]EnergyCurve!$D64</f>
        <v>38108</v>
      </c>
      <c r="AC42" s="30">
        <f>IF(TradeSum!$L$6=0,VLOOKUP(AB42,TradeSum!$DM$13:$DQ$252,2)+VLOOKUP(AB42,TradeSum!$DU$13:$DY$252,3),VLOOKUP(AB42,TradeSum!$DU$13:$DY$252,2)+VLOOKUP(AB42,TradeSum!$DU$13:$DY$252,3))</f>
        <v>25</v>
      </c>
      <c r="AD42" s="30">
        <f>VLOOKUP(AB42,TradeSum!$DM$13:$DR$252,6)</f>
        <v>31</v>
      </c>
      <c r="AE42" s="30">
        <f>IF(TradeSum!$L$6=0,VLOOKUP(AB42,TradeSum!$DM$13:$DQ$252,2),VLOOKUP(AB42,TradeSum!$DU$13:$DY$252,2))</f>
        <v>20</v>
      </c>
      <c r="AF42" s="274">
        <f>[4]EnergyCurve!$G64</f>
        <v>45.110574340711274</v>
      </c>
      <c r="AG42" s="274">
        <f>[4]EnergyCurve!$Y64</f>
        <v>42.797211554008136</v>
      </c>
      <c r="AH42" s="274">
        <f>[4]EnergyCurve!$AD64</f>
        <v>40.483848767304991</v>
      </c>
      <c r="AI42" s="274">
        <f>[4]EnergyCurve!$L64</f>
        <v>28.91703483378928</v>
      </c>
      <c r="AJ42">
        <f t="shared" si="10"/>
        <v>44.647901783370642</v>
      </c>
      <c r="AK42">
        <f t="shared" si="11"/>
        <v>38.866982303480214</v>
      </c>
      <c r="AM42">
        <f>IF(NymexData!AC42="",VLOOKUP('Pricing Summary'!AB42,NymexData!$S$12:$U$250,3),VLOOKUP(NymexData!AA42,NymexData!$AA$12:$AC$250,3))</f>
        <v>0.30249999999999999</v>
      </c>
      <c r="AO42" s="370">
        <f>AD42*24*VLOOKUP(AB42,Interest!$X$8:$AC$367,6)</f>
        <v>679.13985020940254</v>
      </c>
    </row>
    <row r="43" spans="1:41" ht="15.75" x14ac:dyDescent="0.25">
      <c r="A43" s="98">
        <f>TradeSum!A46</f>
        <v>38231</v>
      </c>
      <c r="B43" s="178">
        <f>IF($C$6=0,VLOOKUP(A43,NymexData!$A$12:$F$179,6),VLOOKUP(A43,NymexData!$A$12:$L$179,12))</f>
        <v>4.7982549276275401</v>
      </c>
      <c r="C43" s="258">
        <f>TradeSum!I46</f>
        <v>46.399125150158305</v>
      </c>
      <c r="D43" s="178">
        <f t="shared" si="0"/>
        <v>9.6699999999999982</v>
      </c>
      <c r="E43" s="387">
        <f>TradeSum!I90</f>
        <v>40.438626251172103</v>
      </c>
      <c r="F43" s="178">
        <f t="shared" si="1"/>
        <v>8.4277777777777771</v>
      </c>
      <c r="G43" s="178">
        <f>F43*TradeSum!F90*24/10000+(GasPosn!B363*1.055+GasPosn!C363+GasPosn!D46*1.055)/(VLOOKUP(A43,$AB$12:$AD$47,3))</f>
        <v>1.6885090498595012</v>
      </c>
      <c r="H43" s="271"/>
      <c r="I43" s="272"/>
      <c r="J43" s="273"/>
      <c r="K43" s="277"/>
      <c r="AB43" s="266">
        <f>[4]EnergyCurve!$D65</f>
        <v>38139</v>
      </c>
      <c r="AC43" s="30">
        <f>IF(TradeSum!$L$6=0,VLOOKUP(AB43,TradeSum!$DM$13:$DQ$252,2)+VLOOKUP(AB43,TradeSum!$DU$13:$DY$252,3),VLOOKUP(AB43,TradeSum!$DU$13:$DY$252,2)+VLOOKUP(AB43,TradeSum!$DU$13:$DY$252,3))</f>
        <v>26</v>
      </c>
      <c r="AD43" s="30">
        <f>VLOOKUP(AB43,TradeSum!$DM$13:$DR$252,6)</f>
        <v>30</v>
      </c>
      <c r="AE43" s="30">
        <f>IF(TradeSum!$L$6=0,VLOOKUP(AB43,TradeSum!$DM$13:$DQ$252,2),VLOOKUP(AB43,TradeSum!$DU$13:$DY$252,2))</f>
        <v>22</v>
      </c>
      <c r="AF43" s="274">
        <f>[4]EnergyCurve!$G65</f>
        <v>45.660667287264573</v>
      </c>
      <c r="AG43" s="274">
        <f>[4]EnergyCurve!$Y65</f>
        <v>43.319094605866397</v>
      </c>
      <c r="AH43" s="274">
        <f>[4]EnergyCurve!$AD65</f>
        <v>40.977521924468206</v>
      </c>
      <c r="AI43" s="274">
        <f>[4]EnergyCurve!$L65</f>
        <v>29.269658517477293</v>
      </c>
      <c r="AJ43">
        <f t="shared" si="10"/>
        <v>45.300425336280234</v>
      </c>
      <c r="AK43">
        <f t="shared" si="11"/>
        <v>39.572578315629293</v>
      </c>
      <c r="AM43">
        <f>IF(NymexData!AC43="",VLOOKUP('Pricing Summary'!AB43,NymexData!$S$12:$U$250,3),VLOOKUP(NymexData!AA43,NymexData!$AA$12:$AC$250,3))</f>
        <v>0.30249999999999999</v>
      </c>
      <c r="AO43" s="370">
        <f>AD43*24*VLOOKUP(AB43,Interest!$X$8:$AC$367,6)</f>
        <v>654.5089048307949</v>
      </c>
    </row>
    <row r="44" spans="1:41" ht="15.75" x14ac:dyDescent="0.25">
      <c r="A44" s="100">
        <f>TradeSum!A47</f>
        <v>38261</v>
      </c>
      <c r="B44" s="259">
        <f>IF($C$6=0,VLOOKUP(A44,NymexData!$A$12:$F$179,6),VLOOKUP(A44,NymexData!$A$12:$L$179,12))</f>
        <v>4.7986616425049728</v>
      </c>
      <c r="C44" s="260">
        <f>TradeSum!I47</f>
        <v>46.325541241105697</v>
      </c>
      <c r="D44" s="260">
        <f t="shared" si="0"/>
        <v>9.6538461538461533</v>
      </c>
      <c r="E44" s="388">
        <f>TradeSum!I91</f>
        <v>40.414534747226021</v>
      </c>
      <c r="F44" s="260">
        <f t="shared" si="1"/>
        <v>8.422043010752688</v>
      </c>
      <c r="G44" s="260">
        <f>F44*TradeSum!F91*24/10000+(GasPosn!B364*1.055+GasPosn!C364+GasPosn!D47*1.055)/(VLOOKUP(A44,$AB$12:$AD$47,3))</f>
        <v>1.7312662768224492</v>
      </c>
      <c r="H44" s="271"/>
      <c r="I44" s="272"/>
      <c r="J44" s="272"/>
      <c r="K44" s="277"/>
      <c r="AB44" s="266">
        <f>[4]EnergyCurve!$D66</f>
        <v>38169</v>
      </c>
      <c r="AC44" s="30">
        <f>IF(TradeSum!$L$6=0,VLOOKUP(AB44,TradeSum!$DM$13:$DQ$252,2)+VLOOKUP(AB44,TradeSum!$DU$13:$DY$252,3),VLOOKUP(AB44,TradeSum!$DU$13:$DY$252,2)+VLOOKUP(AB44,TradeSum!$DU$13:$DY$252,3))</f>
        <v>26</v>
      </c>
      <c r="AD44" s="30">
        <f>VLOOKUP(AB44,TradeSum!$DM$13:$DR$252,6)</f>
        <v>31</v>
      </c>
      <c r="AE44" s="30">
        <f>IF(TradeSum!$L$6=0,VLOOKUP(AB44,TradeSum!$DM$13:$DQ$252,2),VLOOKUP(AB44,TradeSum!$DU$13:$DY$252,2))</f>
        <v>21</v>
      </c>
      <c r="AF44" s="274">
        <f>[4]EnergyCurve!$G66</f>
        <v>46.314478030143533</v>
      </c>
      <c r="AG44" s="274">
        <f>[4]EnergyCurve!$Y66</f>
        <v>43.93937659270027</v>
      </c>
      <c r="AH44" s="274">
        <f>[4]EnergyCurve!$AD66</f>
        <v>41.564275155257015</v>
      </c>
      <c r="AI44" s="274">
        <f>[4]EnergyCurve!$L66</f>
        <v>29.688767968040725</v>
      </c>
      <c r="AJ44">
        <f t="shared" si="10"/>
        <v>45.857727753712133</v>
      </c>
      <c r="AK44">
        <f t="shared" si="11"/>
        <v>40.006412922095315</v>
      </c>
      <c r="AM44">
        <f>IF(NymexData!AC44="",VLOOKUP('Pricing Summary'!AB44,NymexData!$S$12:$U$250,3),VLOOKUP(NymexData!AA44,NymexData!$AA$12:$AC$250,3))</f>
        <v>0.30249999999999999</v>
      </c>
      <c r="AO44" s="370">
        <f>AD44*24*VLOOKUP(AB44,Interest!$X$8:$AC$367,6)</f>
        <v>673.43364934575777</v>
      </c>
    </row>
    <row r="45" spans="1:41" ht="15.75" x14ac:dyDescent="0.25">
      <c r="A45" s="98">
        <f>TradeSum!A48</f>
        <v>38292</v>
      </c>
      <c r="B45" s="178">
        <f>IF($C$6=0,VLOOKUP(A45,NymexData!$A$12:$F$179,6),VLOOKUP(A45,NymexData!$A$12:$L$179,12))</f>
        <v>5.0809040963114018</v>
      </c>
      <c r="C45" s="258">
        <f>TradeSum!I48</f>
        <v>49.132342611331254</v>
      </c>
      <c r="D45" s="178">
        <f t="shared" si="0"/>
        <v>9.67</v>
      </c>
      <c r="E45" s="387">
        <f>TradeSum!I92</f>
        <v>42.820730633913314</v>
      </c>
      <c r="F45" s="178">
        <f t="shared" si="1"/>
        <v>8.4277777777777771</v>
      </c>
      <c r="G45" s="178">
        <f>F45*TradeSum!F92*24/10000+(GasPosn!B365*1.055+GasPosn!C365+GasPosn!D48*1.055)/(VLOOKUP(A45,$AB$12:$AD$47,3))</f>
        <v>1.270392354992449</v>
      </c>
      <c r="H45" s="271"/>
      <c r="I45" s="277"/>
      <c r="J45" s="277"/>
      <c r="K45" s="277"/>
      <c r="AB45" s="266">
        <f>[4]EnergyCurve!$D67</f>
        <v>38200</v>
      </c>
      <c r="AC45" s="30">
        <f>IF(TradeSum!$L$6=0,VLOOKUP(AB45,TradeSum!$DM$13:$DQ$252,2)+VLOOKUP(AB45,TradeSum!$DU$13:$DY$252,3),VLOOKUP(AB45,TradeSum!$DU$13:$DY$252,2)+VLOOKUP(AB45,TradeSum!$DU$13:$DY$252,3))</f>
        <v>26</v>
      </c>
      <c r="AD45" s="30">
        <f>VLOOKUP(AB45,TradeSum!$DM$13:$DR$252,6)</f>
        <v>31</v>
      </c>
      <c r="AE45" s="30">
        <f>IF(TradeSum!$L$6=0,VLOOKUP(AB45,TradeSum!$DM$13:$DQ$252,2),VLOOKUP(AB45,TradeSum!$DU$13:$DY$252,2))</f>
        <v>22</v>
      </c>
      <c r="AF45" s="274">
        <f>[4]EnergyCurve!$G67</f>
        <v>46.868730619338955</v>
      </c>
      <c r="AG45" s="274">
        <f>[4]EnergyCurve!$Y67</f>
        <v>44.465205972193367</v>
      </c>
      <c r="AH45" s="274">
        <f>[4]EnergyCurve!$AD67</f>
        <v>42.061681325047779</v>
      </c>
      <c r="AI45" s="274">
        <f>[4]EnergyCurve!$L67</f>
        <v>30.04405808931984</v>
      </c>
      <c r="AJ45">
        <f t="shared" si="10"/>
        <v>46.498957596701175</v>
      </c>
      <c r="AK45">
        <f t="shared" si="11"/>
        <v>40.536864613417784</v>
      </c>
      <c r="AM45">
        <f>IF(NymexData!AC45="",VLOOKUP('Pricing Summary'!AB45,NymexData!$S$12:$U$250,3),VLOOKUP(NymexData!AA45,NymexData!$AA$12:$AC$250,3))</f>
        <v>0.30249999999999999</v>
      </c>
      <c r="AO45" s="370">
        <f>AD45*24*VLOOKUP(AB45,Interest!$X$8:$AC$367,6)</f>
        <v>670.4720331397923</v>
      </c>
    </row>
    <row r="46" spans="1:41" ht="15.75" x14ac:dyDescent="0.25">
      <c r="A46" s="100">
        <f>TradeSum!A49</f>
        <v>38322</v>
      </c>
      <c r="B46" s="259">
        <f>IF($C$6=0,VLOOKUP(A46,NymexData!$A$12:$F$179,6),VLOOKUP(A46,NymexData!$A$12:$L$179,12))</f>
        <v>5.3061935091033403</v>
      </c>
      <c r="C46" s="260">
        <f>TradeSum!I49</f>
        <v>51.429260165155455</v>
      </c>
      <c r="D46" s="260">
        <f t="shared" si="0"/>
        <v>9.6923076923076934</v>
      </c>
      <c r="E46" s="388">
        <f>TradeSum!I93</f>
        <v>44.803101645412887</v>
      </c>
      <c r="F46" s="260">
        <f t="shared" si="1"/>
        <v>8.4435483870967758</v>
      </c>
      <c r="G46" s="260">
        <f>F46*TradeSum!F93*24/10000+(GasPosn!B366*1.055+GasPosn!C366+GasPosn!D49*1.055)/(VLOOKUP(A46,$AB$12:$AD$47,3))</f>
        <v>1.0874666117468612</v>
      </c>
      <c r="H46" s="271"/>
      <c r="I46" s="277"/>
      <c r="J46" s="277"/>
      <c r="K46" s="277"/>
      <c r="AB46" s="266">
        <f>[4]EnergyCurve!$D68</f>
        <v>38231</v>
      </c>
      <c r="AC46" s="30">
        <f>IF(TradeSum!$L$6=0,VLOOKUP(AB46,TradeSum!$DM$13:$DQ$252,2)+VLOOKUP(AB46,TradeSum!$DU$13:$DY$252,3),VLOOKUP(AB46,TradeSum!$DU$13:$DY$252,2)+VLOOKUP(AB46,TradeSum!$DU$13:$DY$252,3))</f>
        <v>25</v>
      </c>
      <c r="AD46" s="30">
        <f>VLOOKUP(AB46,TradeSum!$DM$13:$DR$252,6)</f>
        <v>30</v>
      </c>
      <c r="AE46" s="30">
        <f>IF(TradeSum!$L$6=0,VLOOKUP(AB46,TradeSum!$DM$13:$DQ$252,2),VLOOKUP(AB46,TradeSum!$DU$13:$DY$252,2))</f>
        <v>21</v>
      </c>
      <c r="AF46" s="274">
        <f>[4]EnergyCurve!$G68</f>
        <v>46.782985544368515</v>
      </c>
      <c r="AG46" s="274">
        <f>[4]EnergyCurve!$Y68</f>
        <v>44.383858080554745</v>
      </c>
      <c r="AH46" s="274">
        <f>[4]EnergyCurve!$AD68</f>
        <v>41.984730616740976</v>
      </c>
      <c r="AI46" s="274">
        <f>[4]EnergyCurve!$L68</f>
        <v>29.989093297672127</v>
      </c>
      <c r="AJ46">
        <f t="shared" si="10"/>
        <v>46.399125150158305</v>
      </c>
      <c r="AK46">
        <f t="shared" si="11"/>
        <v>40.438626251172103</v>
      </c>
      <c r="AM46">
        <f>IF(NymexData!AC46="",VLOOKUP('Pricing Summary'!AB46,NymexData!$S$12:$U$250,3),VLOOKUP(NymexData!AA46,NymexData!$AA$12:$AC$250,3))</f>
        <v>0.30249999999999999</v>
      </c>
      <c r="AO46" s="370">
        <f>AD46*24*VLOOKUP(AB46,Interest!$X$8:$AC$367,6)</f>
        <v>646.00352503265572</v>
      </c>
    </row>
    <row r="47" spans="1:41" ht="16.5" thickBot="1" x14ac:dyDescent="0.3">
      <c r="A47" s="256">
        <f>TradeSum!A50</f>
        <v>38353</v>
      </c>
      <c r="B47" s="179">
        <f>IF($C$6=0,VLOOKUP(A47,NymexData!$A$12:$F$179,6),VLOOKUP(A47,NymexData!$A$12:$L$179,12))</f>
        <v>5.394205812796308</v>
      </c>
      <c r="C47" s="261">
        <f>TradeSum!I50</f>
        <v>50.597650524029369</v>
      </c>
      <c r="D47" s="179">
        <f t="shared" si="0"/>
        <v>9.3800000000000008</v>
      </c>
      <c r="E47" s="389">
        <f>TradeSum!I94</f>
        <v>44.357192422967486</v>
      </c>
      <c r="F47" s="179">
        <f t="shared" si="1"/>
        <v>8.2231182795698921</v>
      </c>
      <c r="G47" s="179">
        <f>F47*TradeSum!F94*24/10000+(GasPosn!B367*1.055+GasPosn!C367+GasPosn!D50*1.055)/(VLOOKUP(A47,$AB$12:$AD$47,3))</f>
        <v>1.2475572542107551</v>
      </c>
      <c r="H47" s="271"/>
      <c r="AB47" s="266">
        <f>[4]EnergyCurve!$D69</f>
        <v>38261</v>
      </c>
      <c r="AC47" s="30">
        <f>IF(TradeSum!$L$6=0,VLOOKUP(AB47,TradeSum!$DM$13:$DQ$252,2)+VLOOKUP(AB47,TradeSum!$DU$13:$DY$252,3),VLOOKUP(AB47,TradeSum!$DU$13:$DY$252,2)+VLOOKUP(AB47,TradeSum!$DU$13:$DY$252,3))</f>
        <v>26</v>
      </c>
      <c r="AD47" s="30">
        <f>VLOOKUP(AB47,TradeSum!$DM$13:$DR$252,6)</f>
        <v>31</v>
      </c>
      <c r="AE47" s="30">
        <f>IF(TradeSum!$L$6=0,VLOOKUP(AB47,TradeSum!$DM$13:$DQ$252,2),VLOOKUP(AB47,TradeSum!$DU$13:$DY$252,2))</f>
        <v>21</v>
      </c>
      <c r="AF47" s="274">
        <f>[4]EnergyCurve!$G69</f>
        <v>46.786951014423487</v>
      </c>
      <c r="AG47" s="274">
        <f>[4]EnergyCurve!$Y69</f>
        <v>44.387620193170996</v>
      </c>
      <c r="AH47" s="274">
        <f>[4]EnergyCurve!$AD69</f>
        <v>41.988289371918512</v>
      </c>
      <c r="AI47" s="274">
        <f>[4]EnergyCurve!$L69</f>
        <v>29.991635265656079</v>
      </c>
      <c r="AJ47">
        <f t="shared" si="10"/>
        <v>46.325541241105697</v>
      </c>
      <c r="AK47">
        <f t="shared" si="11"/>
        <v>40.414534747226021</v>
      </c>
      <c r="AM47">
        <f>IF(NymexData!AC47="",VLOOKUP('Pricing Summary'!AB47,NymexData!$S$12:$U$250,3),VLOOKUP(NymexData!AA47,NymexData!$AA$12:$AC$250,3))</f>
        <v>0.30249999999999999</v>
      </c>
      <c r="AO47" s="370">
        <f>AD47*24*VLOOKUP(AB47,Interest!$X$8:$AC$367,6)</f>
        <v>664.52609394646845</v>
      </c>
    </row>
    <row r="48" spans="1:41" x14ac:dyDescent="0.2">
      <c r="A48" s="254" t="str">
        <f>TradeSum!A51</f>
        <v xml:space="preserve">   </v>
      </c>
      <c r="B48" s="255"/>
      <c r="AB48" s="266">
        <f>[4]EnergyCurve!$D70</f>
        <v>38292</v>
      </c>
      <c r="AC48" s="30">
        <f>IF(TradeSum!$L$6=0,VLOOKUP(AB48,TradeSum!$DM$13:$DQ$252,2)+VLOOKUP(AB48,TradeSum!$DU$13:$DY$252,3),VLOOKUP(AB48,TradeSum!$DU$13:$DY$252,2)+VLOOKUP(AB48,TradeSum!$DU$13:$DY$252,3))</f>
        <v>25</v>
      </c>
      <c r="AD48" s="30">
        <f>VLOOKUP(AB48,TradeSum!$DM$13:$DR$252,6)</f>
        <v>30</v>
      </c>
      <c r="AE48" s="30">
        <f>IF(TradeSum!$L$6=0,VLOOKUP(AB48,TradeSum!$DM$13:$DQ$252,2),VLOOKUP(AB48,TradeSum!$DU$13:$DY$252,2))</f>
        <v>21</v>
      </c>
      <c r="AF48" s="274">
        <f>[4]EnergyCurve!$G70</f>
        <v>49.538814939036165</v>
      </c>
      <c r="AG48" s="274">
        <f>[4]EnergyCurve!$Y70</f>
        <v>46.998362890880465</v>
      </c>
      <c r="AH48" s="274">
        <f>[4]EnergyCurve!$AD70</f>
        <v>44.457910842724765</v>
      </c>
      <c r="AI48" s="274">
        <f>[4]EnergyCurve!$L70</f>
        <v>31.755650601946261</v>
      </c>
      <c r="AJ48">
        <f t="shared" si="10"/>
        <v>49.132342611331254</v>
      </c>
      <c r="AK48">
        <f t="shared" si="11"/>
        <v>42.820730633913314</v>
      </c>
      <c r="AM48">
        <f>IF(NymexData!AC48="",VLOOKUP('Pricing Summary'!AB48,NymexData!$S$12:$U$250,3),VLOOKUP(NymexData!AA48,NymexData!$AA$12:$AC$250,3))</f>
        <v>0.30249999999999999</v>
      </c>
      <c r="AO48" s="370">
        <f>AD48*24*VLOOKUP(AB48,Interest!$X$8:$AC$367,6)</f>
        <v>640.23384903112174</v>
      </c>
    </row>
    <row r="49" spans="1:41" x14ac:dyDescent="0.2">
      <c r="A49" s="254"/>
      <c r="B49" s="254"/>
      <c r="AB49" s="266">
        <f>[4]EnergyCurve!$D71</f>
        <v>38322</v>
      </c>
      <c r="AC49" s="30">
        <f>IF(TradeSum!$L$6=0,VLOOKUP(AB49,TradeSum!$DM$13:$DQ$252,2)+VLOOKUP(AB49,TradeSum!$DU$13:$DY$252,3),VLOOKUP(AB49,TradeSum!$DU$13:$DY$252,2)+VLOOKUP(AB49,TradeSum!$DU$13:$DY$252,3))</f>
        <v>26</v>
      </c>
      <c r="AD49" s="30">
        <f>VLOOKUP(AB49,TradeSum!$DM$13:$DR$252,6)</f>
        <v>31</v>
      </c>
      <c r="AE49" s="30">
        <f>IF(TradeSum!$L$6=0,VLOOKUP(AB49,TradeSum!$DM$13:$DQ$252,2),VLOOKUP(AB49,TradeSum!$DU$13:$DY$252,2))</f>
        <v>23</v>
      </c>
      <c r="AF49" s="274">
        <f>[4]EnergyCurve!$G71</f>
        <v>51.73538671375757</v>
      </c>
      <c r="AG49" s="274">
        <f>[4]EnergyCurve!$Y71</f>
        <v>49.082289959205895</v>
      </c>
      <c r="AH49" s="274">
        <f>[4]EnergyCurve!$AD71</f>
        <v>46.429193204654226</v>
      </c>
      <c r="AI49" s="274">
        <f>[4]EnergyCurve!$L71</f>
        <v>33.163709431895875</v>
      </c>
      <c r="AJ49">
        <f t="shared" si="10"/>
        <v>51.429260165155455</v>
      </c>
      <c r="AK49">
        <f t="shared" si="11"/>
        <v>44.803101645412887</v>
      </c>
      <c r="AM49">
        <f>IF(NymexData!AC49="",VLOOKUP('Pricing Summary'!AB49,NymexData!$S$12:$U$250,3),VLOOKUP(NymexData!AA49,NymexData!$AA$12:$AC$250,3))</f>
        <v>0.29749999999999999</v>
      </c>
      <c r="AO49" s="370">
        <f>AD49*24*VLOOKUP(AB49,Interest!$X$8:$AC$367,6)</f>
        <v>658.75724459376829</v>
      </c>
    </row>
    <row r="50" spans="1:41" x14ac:dyDescent="0.2">
      <c r="AB50" s="266">
        <f>[4]EnergyCurve!$D72</f>
        <v>38353</v>
      </c>
      <c r="AC50" s="30">
        <f>IF(TradeSum!$L$6=0,VLOOKUP(AB50,TradeSum!$DM$13:$DQ$252,2)+VLOOKUP(AB50,TradeSum!$DU$13:$DY$252,3),VLOOKUP(AB50,TradeSum!$DU$13:$DY$252,2)+VLOOKUP(AB50,TradeSum!$DU$13:$DY$252,3))</f>
        <v>25</v>
      </c>
      <c r="AD50" s="30">
        <f>VLOOKUP(AB50,TradeSum!$DM$13:$DR$252,6)</f>
        <v>31</v>
      </c>
      <c r="AE50" s="30">
        <f>IF(TradeSum!$L$6=0,VLOOKUP(AB50,TradeSum!$DM$13:$DQ$252,2),VLOOKUP(AB50,TradeSum!$DU$13:$DY$252,2))</f>
        <v>21</v>
      </c>
      <c r="AF50" s="274">
        <f>[4]EnergyCurve!$G72</f>
        <v>51.244955221564922</v>
      </c>
      <c r="AG50" s="274">
        <f>[4]EnergyCurve!$Y72</f>
        <v>47.199300861967693</v>
      </c>
      <c r="AH50" s="274">
        <f>[4]EnergyCurve!$AD72</f>
        <v>45.850749408768621</v>
      </c>
      <c r="AI50" s="274">
        <f>[4]EnergyCurve!$L72</f>
        <v>33.713786329976926</v>
      </c>
      <c r="AJ50">
        <f t="shared" si="10"/>
        <v>50.597650524029369</v>
      </c>
      <c r="AK50">
        <f t="shared" si="11"/>
        <v>44.357192422967486</v>
      </c>
      <c r="AM50">
        <f>IF(NymexData!AC50="",VLOOKUP('Pricing Summary'!AB50,NymexData!$S$12:$U$250,3),VLOOKUP(NymexData!AA50,NymexData!$AA$12:$AC$250,3))</f>
        <v>0.29749999999999999</v>
      </c>
      <c r="AO50" s="370">
        <f>AD50*24*VLOOKUP(AB50,Interest!$X$8:$AC$367,6)</f>
        <v>655.89054801954262</v>
      </c>
    </row>
    <row r="51" spans="1:41" x14ac:dyDescent="0.2">
      <c r="AB51" s="266">
        <f>[4]EnergyCurve!$D73</f>
        <v>38384</v>
      </c>
      <c r="AC51" s="30">
        <f>IF(TradeSum!$L$6=0,VLOOKUP(AB51,TradeSum!$DM$13:$DQ$252,2)+VLOOKUP(AB51,TradeSum!$DU$13:$DY$252,3),VLOOKUP(AB51,TradeSum!$DU$13:$DY$252,2)+VLOOKUP(AB51,TradeSum!$DU$13:$DY$252,3))</f>
        <v>24</v>
      </c>
      <c r="AD51" s="30">
        <f>VLOOKUP(AB51,TradeSum!$DM$13:$DR$252,6)</f>
        <v>28</v>
      </c>
      <c r="AE51" s="30">
        <f>IF(TradeSum!$L$6=0,VLOOKUP(AB51,TradeSum!$DM$13:$DQ$252,2),VLOOKUP(AB51,TradeSum!$DU$13:$DY$252,2))</f>
        <v>20</v>
      </c>
      <c r="AF51" s="274">
        <f>[4]EnergyCurve!$G73</f>
        <v>49.985138887285039</v>
      </c>
      <c r="AG51" s="274">
        <f>[4]EnergyCurve!$Y73</f>
        <v>46.038943711973062</v>
      </c>
      <c r="AH51" s="274">
        <f>[4]EnergyCurve!$AD73</f>
        <v>44.723545320202405</v>
      </c>
      <c r="AI51" s="274">
        <f>[4]EnergyCurve!$L73</f>
        <v>32.884959794266472</v>
      </c>
      <c r="AJ51">
        <f t="shared" si="10"/>
        <v>49.327439691399711</v>
      </c>
      <c r="AK51">
        <f t="shared" si="11"/>
        <v>43.408146928431748</v>
      </c>
      <c r="AM51">
        <f>IF(NymexData!AC51="",VLOOKUP('Pricing Summary'!AB51,NymexData!$S$12:$U$250,3),VLOOKUP(NymexData!AA51,NymexData!$AA$12:$AC$250,3))</f>
        <v>0.29499999999999998</v>
      </c>
      <c r="AO51" s="370">
        <f>AD51*24*VLOOKUP(AB51,Interest!$X$8:$AC$367,6)</f>
        <v>589.99258279986441</v>
      </c>
    </row>
    <row r="52" spans="1:41" x14ac:dyDescent="0.2">
      <c r="AB52" s="266">
        <f>[4]EnergyCurve!$D74</f>
        <v>38412</v>
      </c>
      <c r="AC52" s="30">
        <f>IF(TradeSum!$L$6=0,VLOOKUP(AB52,TradeSum!$DM$13:$DQ$252,2)+VLOOKUP(AB52,TradeSum!$DU$13:$DY$252,3),VLOOKUP(AB52,TradeSum!$DU$13:$DY$252,2)+VLOOKUP(AB52,TradeSum!$DU$13:$DY$252,3))</f>
        <v>27</v>
      </c>
      <c r="AD52" s="30">
        <f>VLOOKUP(AB52,TradeSum!$DM$13:$DR$252,6)</f>
        <v>31</v>
      </c>
      <c r="AE52" s="30">
        <f>IF(TradeSum!$L$6=0,VLOOKUP(AB52,TradeSum!$DM$13:$DQ$252,2),VLOOKUP(AB52,TradeSum!$DU$13:$DY$252,2))</f>
        <v>23</v>
      </c>
      <c r="AF52" s="274">
        <f>[4]EnergyCurve!$G74</f>
        <v>48.004437423353906</v>
      </c>
      <c r="AG52" s="274">
        <f>[4]EnergyCurve!$Y74</f>
        <v>44.214613416247019</v>
      </c>
      <c r="AH52" s="274">
        <f>[4]EnergyCurve!$AD74</f>
        <v>42.951338747211388</v>
      </c>
      <c r="AI52" s="274">
        <f>[4]EnergyCurve!$L74</f>
        <v>31.581866725890727</v>
      </c>
      <c r="AJ52">
        <f t="shared" si="10"/>
        <v>47.44298201489363</v>
      </c>
      <c r="AK52">
        <f t="shared" si="11"/>
        <v>41.769565669726447</v>
      </c>
      <c r="AM52">
        <f>IF(NymexData!AC52="",VLOOKUP('Pricing Summary'!AB52,NymexData!$S$12:$U$250,3),VLOOKUP(NymexData!AA52,NymexData!$AA$12:$AC$250,3))</f>
        <v>0.28000000000000003</v>
      </c>
      <c r="AO52" s="370">
        <f>AD52*24*VLOOKUP(AB52,Interest!$X$8:$AC$367,6)</f>
        <v>650.36422707958832</v>
      </c>
    </row>
    <row r="53" spans="1:41" x14ac:dyDescent="0.2">
      <c r="AB53" s="266">
        <f>[4]EnergyCurve!$D75</f>
        <v>38443</v>
      </c>
      <c r="AC53" s="30">
        <f>IF(TradeSum!$L$6=0,VLOOKUP(AB53,TradeSum!$DM$13:$DQ$252,2)+VLOOKUP(AB53,TradeSum!$DU$13:$DY$252,3),VLOOKUP(AB53,TradeSum!$DU$13:$DY$252,2)+VLOOKUP(AB53,TradeSum!$DU$13:$DY$252,3))</f>
        <v>26</v>
      </c>
      <c r="AD53" s="30">
        <f>VLOOKUP(AB53,TradeSum!$DM$13:$DR$252,6)</f>
        <v>30</v>
      </c>
      <c r="AE53" s="30">
        <f>IF(TradeSum!$L$6=0,VLOOKUP(AB53,TradeSum!$DM$13:$DQ$252,2),VLOOKUP(AB53,TradeSum!$DU$13:$DY$252,2))</f>
        <v>21</v>
      </c>
      <c r="AF53" s="274">
        <f>[4]EnergyCurve!$G75</f>
        <v>45.107144906258164</v>
      </c>
      <c r="AG53" s="274">
        <f>[4]EnergyCurve!$Y75</f>
        <v>41.546054518921991</v>
      </c>
      <c r="AH53" s="274">
        <f>[4]EnergyCurve!$AD75</f>
        <v>40.359024389809932</v>
      </c>
      <c r="AI53" s="274">
        <f>[4]EnergyCurve!$L75</f>
        <v>29.675753227801422</v>
      </c>
      <c r="AJ53">
        <f t="shared" si="10"/>
        <v>44.422319831770437</v>
      </c>
      <c r="AK53">
        <f t="shared" si="11"/>
        <v>39.145615813384275</v>
      </c>
      <c r="AM53">
        <f>IF(NymexData!AC53="",VLOOKUP('Pricing Summary'!AB53,NymexData!$S$12:$U$250,3),VLOOKUP(NymexData!AA53,NymexData!$AA$12:$AC$250,3))</f>
        <v>0.27</v>
      </c>
      <c r="AO53" s="370">
        <f>AD53*24*VLOOKUP(AB53,Interest!$X$8:$AC$367,6)</f>
        <v>626.60739794049709</v>
      </c>
    </row>
    <row r="54" spans="1:41" x14ac:dyDescent="0.2">
      <c r="AB54" s="266">
        <f>[4]EnergyCurve!$D76</f>
        <v>38473</v>
      </c>
      <c r="AC54" s="30">
        <f>IF(TradeSum!$L$6=0,VLOOKUP(AB54,TradeSum!$DM$13:$DQ$252,2)+VLOOKUP(AB54,TradeSum!$DU$13:$DY$252,3),VLOOKUP(AB54,TradeSum!$DU$13:$DY$252,2)+VLOOKUP(AB54,TradeSum!$DU$13:$DY$252,3))</f>
        <v>25</v>
      </c>
      <c r="AD54" s="30">
        <f>VLOOKUP(AB54,TradeSum!$DM$13:$DR$252,6)</f>
        <v>31</v>
      </c>
      <c r="AE54" s="30">
        <f>IF(TradeSum!$L$6=0,VLOOKUP(AB54,TradeSum!$DM$13:$DQ$252,2),VLOOKUP(AB54,TradeSum!$DU$13:$DY$252,2))</f>
        <v>21</v>
      </c>
      <c r="AF54" s="274">
        <f>[4]EnergyCurve!$G76</f>
        <v>45.17323920065423</v>
      </c>
      <c r="AG54" s="274">
        <f>[4]EnergyCurve!$Y76</f>
        <v>41.60693084270784</v>
      </c>
      <c r="AH54" s="274">
        <f>[4]EnergyCurve!$AD76</f>
        <v>40.418161390059048</v>
      </c>
      <c r="AI54" s="274">
        <f>[4]EnergyCurve!$L76</f>
        <v>29.719236316219888</v>
      </c>
      <c r="AJ54">
        <f t="shared" si="10"/>
        <v>44.602629863382809</v>
      </c>
      <c r="AK54">
        <f t="shared" si="11"/>
        <v>39.10156726508243</v>
      </c>
      <c r="AM54">
        <f>IF(NymexData!AC54="",VLOOKUP('Pricing Summary'!AB54,NymexData!$S$12:$U$250,3),VLOOKUP(NymexData!AA54,NymexData!$AA$12:$AC$250,3))</f>
        <v>0.26250000000000001</v>
      </c>
      <c r="AO54" s="370">
        <f>AD54*24*VLOOKUP(AB54,Interest!$X$8:$AC$367,6)</f>
        <v>644.55644260904148</v>
      </c>
    </row>
    <row r="55" spans="1:41" x14ac:dyDescent="0.2">
      <c r="AB55" s="266">
        <f>[4]EnergyCurve!$D77</f>
        <v>38504</v>
      </c>
      <c r="AC55" s="30">
        <f>IF(TradeSum!$L$6=0,VLOOKUP(AB55,TradeSum!$DM$13:$DQ$252,2)+VLOOKUP(AB55,TradeSum!$DU$13:$DY$252,3),VLOOKUP(AB55,TradeSum!$DU$13:$DY$252,2)+VLOOKUP(AB55,TradeSum!$DU$13:$DY$252,3))</f>
        <v>26</v>
      </c>
      <c r="AD55" s="30">
        <f>VLOOKUP(AB55,TradeSum!$DM$13:$DR$252,6)</f>
        <v>30</v>
      </c>
      <c r="AE55" s="30">
        <f>IF(TradeSum!$L$6=0,VLOOKUP(AB55,TradeSum!$DM$13:$DQ$252,2),VLOOKUP(AB55,TradeSum!$DU$13:$DY$252,2))</f>
        <v>22</v>
      </c>
      <c r="AF55" s="274">
        <f>[4]EnergyCurve!$G77</f>
        <v>45.706065613399595</v>
      </c>
      <c r="AG55" s="274">
        <f>[4]EnergyCurve!$Y77</f>
        <v>42.097692012341732</v>
      </c>
      <c r="AH55" s="274">
        <f>[4]EnergyCurve!$AD77</f>
        <v>40.89490081198911</v>
      </c>
      <c r="AI55" s="274">
        <f>[4]EnergyCurve!$L77</f>
        <v>30.06978000881552</v>
      </c>
      <c r="AJ55">
        <f t="shared" si="10"/>
        <v>45.150931213236845</v>
      </c>
      <c r="AK55">
        <f t="shared" si="11"/>
        <v>39.745566998318829</v>
      </c>
      <c r="AM55">
        <f>IF(NymexData!AC55="",VLOOKUP('Pricing Summary'!AB55,NymexData!$S$12:$U$250,3),VLOOKUP(NymexData!AA55,NymexData!$AA$12:$AC$250,3))</f>
        <v>0.25750000000000001</v>
      </c>
      <c r="AO55" s="370">
        <f>AD55*24*VLOOKUP(AB55,Interest!$X$8:$AC$367,6)</f>
        <v>620.94172819540472</v>
      </c>
    </row>
    <row r="56" spans="1:41" x14ac:dyDescent="0.2">
      <c r="AB56" s="266">
        <f>[4]EnergyCurve!$D78</f>
        <v>38534</v>
      </c>
      <c r="AC56" s="30">
        <f>IF(TradeSum!$L$6=0,VLOOKUP(AB56,TradeSum!$DM$13:$DQ$252,2)+VLOOKUP(AB56,TradeSum!$DU$13:$DY$252,3),VLOOKUP(AB56,TradeSum!$DU$13:$DY$252,2)+VLOOKUP(AB56,TradeSum!$DU$13:$DY$252,3))</f>
        <v>25</v>
      </c>
      <c r="AD56" s="30">
        <f>VLOOKUP(AB56,TradeSum!$DM$13:$DR$252,6)</f>
        <v>31</v>
      </c>
      <c r="AE56" s="30">
        <f>IF(TradeSum!$L$6=0,VLOOKUP(AB56,TradeSum!$DM$13:$DQ$252,2),VLOOKUP(AB56,TradeSum!$DU$13:$DY$252,2))</f>
        <v>20</v>
      </c>
      <c r="AF56" s="274">
        <f>[4]EnergyCurve!$G78</f>
        <v>46.340230520195611</v>
      </c>
      <c r="AG56" s="274">
        <f>[4]EnergyCurve!$Y78</f>
        <v>42.681791268601216</v>
      </c>
      <c r="AH56" s="274">
        <f>[4]EnergyCurve!$AD78</f>
        <v>41.462311518069754</v>
      </c>
      <c r="AI56" s="274">
        <f>[4]EnergyCurve!$L78</f>
        <v>30.486993763286584</v>
      </c>
      <c r="AJ56">
        <f t="shared" si="10"/>
        <v>45.608542669876734</v>
      </c>
      <c r="AK56">
        <f t="shared" si="11"/>
        <v>40.033028799704923</v>
      </c>
      <c r="AM56">
        <f>IF(NymexData!AC56="",VLOOKUP('Pricing Summary'!AB56,NymexData!$S$12:$U$250,3),VLOOKUP(NymexData!AA56,NymexData!$AA$12:$AC$250,3))</f>
        <v>0.25750000000000001</v>
      </c>
      <c r="AO56" s="370">
        <f>AD56*24*VLOOKUP(AB56,Interest!$X$8:$AC$367,6)</f>
        <v>638.65645753502304</v>
      </c>
    </row>
    <row r="57" spans="1:41" x14ac:dyDescent="0.2">
      <c r="AB57" s="266">
        <f>[4]EnergyCurve!$D79</f>
        <v>38565</v>
      </c>
      <c r="AC57" s="30">
        <f>IF(TradeSum!$L$6=0,VLOOKUP(AB57,TradeSum!$DM$13:$DQ$252,2)+VLOOKUP(AB57,TradeSum!$DU$13:$DY$252,3),VLOOKUP(AB57,TradeSum!$DU$13:$DY$252,2)+VLOOKUP(AB57,TradeSum!$DU$13:$DY$252,3))</f>
        <v>27</v>
      </c>
      <c r="AD57" s="30">
        <f>VLOOKUP(AB57,TradeSum!$DM$13:$DR$252,6)</f>
        <v>31</v>
      </c>
      <c r="AE57" s="30">
        <f>IF(TradeSum!$L$6=0,VLOOKUP(AB57,TradeSum!$DM$13:$DQ$252,2),VLOOKUP(AB57,TradeSum!$DU$13:$DY$252,2))</f>
        <v>23</v>
      </c>
      <c r="AF57" s="274">
        <f>[4]EnergyCurve!$G79</f>
        <v>46.877464152131594</v>
      </c>
      <c r="AG57" s="274">
        <f>[4]EnergyCurve!$Y79</f>
        <v>43.176611719068575</v>
      </c>
      <c r="AH57" s="274">
        <f>[4]EnergyCurve!$AD79</f>
        <v>41.942994241380902</v>
      </c>
      <c r="AI57" s="274">
        <f>[4]EnergyCurve!$L79</f>
        <v>30.84043694219184</v>
      </c>
      <c r="AJ57">
        <f t="shared" si="10"/>
        <v>46.329189717603739</v>
      </c>
      <c r="AK57">
        <f t="shared" si="11"/>
        <v>40.788964988060179</v>
      </c>
      <c r="AM57">
        <f>IF(NymexData!AC57="",VLOOKUP('Pricing Summary'!AB57,NymexData!$S$12:$U$250,3),VLOOKUP(NymexData!AA57,NymexData!$AA$12:$AC$250,3))</f>
        <v>0.25750000000000001</v>
      </c>
      <c r="AO57" s="370">
        <f>AD57*24*VLOOKUP(AB57,Interest!$X$8:$AC$367,6)</f>
        <v>635.6239117378326</v>
      </c>
    </row>
    <row r="58" spans="1:41" x14ac:dyDescent="0.2">
      <c r="AB58" s="266">
        <f>[4]EnergyCurve!$D80</f>
        <v>38596</v>
      </c>
      <c r="AC58" s="30">
        <f>IF(TradeSum!$L$6=0,VLOOKUP(AB58,TradeSum!$DM$13:$DQ$252,2)+VLOOKUP(AB58,TradeSum!$DU$13:$DY$252,3),VLOOKUP(AB58,TradeSum!$DU$13:$DY$252,2)+VLOOKUP(AB58,TradeSum!$DU$13:$DY$252,3))</f>
        <v>25</v>
      </c>
      <c r="AD58" s="30">
        <f>VLOOKUP(AB58,TradeSum!$DM$13:$DR$252,6)</f>
        <v>30</v>
      </c>
      <c r="AE58" s="30">
        <f>IF(TradeSum!$L$6=0,VLOOKUP(AB58,TradeSum!$DM$13:$DQ$252,2),VLOOKUP(AB58,TradeSum!$DU$13:$DY$252,2))</f>
        <v>21</v>
      </c>
      <c r="AF58" s="274">
        <f>[4]EnergyCurve!$G80</f>
        <v>46.791928963562953</v>
      </c>
      <c r="AG58" s="274">
        <f>[4]EnergyCurve!$Y80</f>
        <v>43.097829308544824</v>
      </c>
      <c r="AH58" s="274">
        <f>[4]EnergyCurve!$AD80</f>
        <v>41.866462756872117</v>
      </c>
      <c r="AI58" s="274">
        <f>[4]EnergyCurve!$L80</f>
        <v>30.784163791817733</v>
      </c>
      <c r="AJ58">
        <f t="shared" si="10"/>
        <v>46.200873018760049</v>
      </c>
      <c r="AK58">
        <f t="shared" si="11"/>
        <v>40.580368802902839</v>
      </c>
      <c r="AM58">
        <f>IF(NymexData!AC58="",VLOOKUP('Pricing Summary'!AB58,NymexData!$S$12:$U$250,3),VLOOKUP(NymexData!AA58,NymexData!$AA$12:$AC$250,3))</f>
        <v>0.25750000000000001</v>
      </c>
      <c r="AO58" s="370">
        <f>AD58*24*VLOOKUP(AB58,Interest!$X$8:$AC$367,6)</f>
        <v>612.2323785336564</v>
      </c>
    </row>
    <row r="59" spans="1:41" x14ac:dyDescent="0.2">
      <c r="AB59" s="266">
        <f>[4]EnergyCurve!$D81</f>
        <v>38626</v>
      </c>
      <c r="AC59" s="30">
        <f>IF(TradeSum!$L$6=0,VLOOKUP(AB59,TradeSum!$DM$13:$DQ$252,2)+VLOOKUP(AB59,TradeSum!$DU$13:$DY$252,3),VLOOKUP(AB59,TradeSum!$DU$13:$DY$252,2)+VLOOKUP(AB59,TradeSum!$DU$13:$DY$252,3))</f>
        <v>26</v>
      </c>
      <c r="AD59" s="30">
        <f>VLOOKUP(AB59,TradeSum!$DM$13:$DR$252,6)</f>
        <v>31</v>
      </c>
      <c r="AE59" s="30">
        <f>IF(TradeSum!$L$6=0,VLOOKUP(AB59,TradeSum!$DM$13:$DQ$252,2),VLOOKUP(AB59,TradeSum!$DU$13:$DY$252,2))</f>
        <v>21</v>
      </c>
      <c r="AF59" s="274">
        <f>[4]EnergyCurve!$G81</f>
        <v>46.792902799180389</v>
      </c>
      <c r="AG59" s="274">
        <f>[4]EnergyCurve!$Y81</f>
        <v>43.098726262402991</v>
      </c>
      <c r="AH59" s="274">
        <f>[4]EnergyCurve!$AD81</f>
        <v>41.867334083477189</v>
      </c>
      <c r="AI59" s="274">
        <f>[4]EnergyCurve!$L81</f>
        <v>30.784804473144995</v>
      </c>
      <c r="AJ59">
        <f t="shared" si="10"/>
        <v>46.082484234415503</v>
      </c>
      <c r="AK59">
        <f t="shared" si="11"/>
        <v>40.530015695611532</v>
      </c>
      <c r="AM59">
        <f>IF(NymexData!AC59="",VLOOKUP('Pricing Summary'!AB59,NymexData!$S$12:$U$250,3),VLOOKUP(NymexData!AA59,NymexData!$AA$12:$AC$250,3))</f>
        <v>0.25750000000000001</v>
      </c>
      <c r="AO59" s="370">
        <f>AD59*24*VLOOKUP(AB59,Interest!$X$8:$AC$367,6)</f>
        <v>629.59162154801788</v>
      </c>
    </row>
    <row r="60" spans="1:41" x14ac:dyDescent="0.2">
      <c r="AB60" s="266">
        <f>[4]EnergyCurve!$D82</f>
        <v>38657</v>
      </c>
      <c r="AC60" s="30">
        <f>IF(TradeSum!$L$6=0,VLOOKUP(AB60,TradeSum!$DM$13:$DQ$252,2)+VLOOKUP(AB60,TradeSum!$DU$13:$DY$252,3),VLOOKUP(AB60,TradeSum!$DU$13:$DY$252,2)+VLOOKUP(AB60,TradeSum!$DU$13:$DY$252,3))</f>
        <v>25</v>
      </c>
      <c r="AD60" s="30">
        <f>VLOOKUP(AB60,TradeSum!$DM$13:$DR$252,6)</f>
        <v>30</v>
      </c>
      <c r="AE60" s="30">
        <f>IF(TradeSum!$L$6=0,VLOOKUP(AB60,TradeSum!$DM$13:$DQ$252,2),VLOOKUP(AB60,TradeSum!$DU$13:$DY$252,2))</f>
        <v>21</v>
      </c>
      <c r="AF60" s="274">
        <f>[4]EnergyCurve!$G82</f>
        <v>49.543668633242042</v>
      </c>
      <c r="AG60" s="274">
        <f>[4]EnergyCurve!$Y82</f>
        <v>45.632326372722929</v>
      </c>
      <c r="AH60" s="274">
        <f>[4]EnergyCurve!$AD82</f>
        <v>44.328545619216563</v>
      </c>
      <c r="AI60" s="274">
        <f>[4]EnergyCurve!$L82</f>
        <v>32.594518837659237</v>
      </c>
      <c r="AJ60">
        <f t="shared" si="10"/>
        <v>48.917853871558982</v>
      </c>
      <c r="AK60">
        <f t="shared" si="11"/>
        <v>42.966819054443242</v>
      </c>
      <c r="AM60">
        <f>IF(NymexData!AC60="",VLOOKUP('Pricing Summary'!AB60,NymexData!$S$12:$U$250,3),VLOOKUP(NymexData!AA60,NymexData!$AA$12:$AC$250,3))</f>
        <v>0.25750000000000001</v>
      </c>
      <c r="AO60" s="370">
        <f>AD60*24*VLOOKUP(AB60,Interest!$X$8:$AC$367,6)</f>
        <v>606.35377990332336</v>
      </c>
    </row>
    <row r="61" spans="1:41" x14ac:dyDescent="0.2">
      <c r="AB61" s="266">
        <f>[4]EnergyCurve!$D83</f>
        <v>38687</v>
      </c>
      <c r="AC61" s="30">
        <f>IF(TradeSum!$L$6=0,VLOOKUP(AB61,TradeSum!$DM$13:$DQ$252,2)+VLOOKUP(AB61,TradeSum!$DU$13:$DY$252,3),VLOOKUP(AB61,TradeSum!$DU$13:$DY$252,2)+VLOOKUP(AB61,TradeSum!$DU$13:$DY$252,3))</f>
        <v>26</v>
      </c>
      <c r="AD61" s="30">
        <f>VLOOKUP(AB61,TradeSum!$DM$13:$DR$252,6)</f>
        <v>31</v>
      </c>
      <c r="AE61" s="30">
        <f>IF(TradeSum!$L$6=0,VLOOKUP(AB61,TradeSum!$DM$13:$DQ$252,2),VLOOKUP(AB61,TradeSum!$DU$13:$DY$252,2))</f>
        <v>21</v>
      </c>
      <c r="AF61" s="274">
        <f>[4]EnergyCurve!$G83</f>
        <v>51.700465371279535</v>
      </c>
      <c r="AG61" s="274">
        <f>[4]EnergyCurve!$Y83</f>
        <v>47.618849684073254</v>
      </c>
      <c r="AH61" s="274">
        <f>[4]EnergyCurve!$AD83</f>
        <v>46.258311121671156</v>
      </c>
      <c r="AI61" s="274">
        <f>[4]EnergyCurve!$L83</f>
        <v>34.013464060052321</v>
      </c>
      <c r="AJ61">
        <f t="shared" si="10"/>
        <v>50.915539277586021</v>
      </c>
      <c r="AK61">
        <f t="shared" si="11"/>
        <v>44.780736984008676</v>
      </c>
      <c r="AM61">
        <f>IF(NymexData!AC61="",VLOOKUP('Pricing Summary'!AB61,NymexData!$S$12:$U$250,3),VLOOKUP(NymexData!AA61,NymexData!$AA$12:$AC$250,3))</f>
        <v>0.25750000000000001</v>
      </c>
      <c r="AO61" s="370">
        <f>AD61*24*VLOOKUP(AB61,Interest!$X$8:$AC$367,6)</f>
        <v>623.47611854361583</v>
      </c>
    </row>
    <row r="62" spans="1:41" x14ac:dyDescent="0.2">
      <c r="AB62" s="266">
        <f>[4]EnergyCurve!$D84</f>
        <v>38718</v>
      </c>
      <c r="AC62" s="30">
        <f>IF(TradeSum!$L$6=0,VLOOKUP(AB62,TradeSum!$DM$13:$DQ$252,2)+VLOOKUP(AB62,TradeSum!$DU$13:$DY$252,3),VLOOKUP(AB62,TradeSum!$DU$13:$DY$252,2)+VLOOKUP(AB62,TradeSum!$DU$13:$DY$252,3))</f>
        <v>25</v>
      </c>
      <c r="AD62" s="30">
        <f>VLOOKUP(AB62,TradeSum!$DM$13:$DR$252,6)</f>
        <v>31</v>
      </c>
      <c r="AE62" s="30">
        <f>IF(TradeSum!$L$6=0,VLOOKUP(AB62,TradeSum!$DM$13:$DQ$252,2),VLOOKUP(AB62,TradeSum!$DU$13:$DY$252,2))</f>
        <v>21</v>
      </c>
      <c r="AF62" s="274">
        <f>[4]EnergyCurve!$G84</f>
        <v>47.777782394935258</v>
      </c>
      <c r="AG62" s="274">
        <f>[4]EnergyCurve!$Y84</f>
        <v>44.289948917668831</v>
      </c>
      <c r="AH62" s="274">
        <f>[4]EnergyCurve!$AD84</f>
        <v>42.905888013991678</v>
      </c>
      <c r="AI62" s="274">
        <f>[4]EnergyCurve!$L84</f>
        <v>28.788466796484741</v>
      </c>
      <c r="AJ62">
        <f t="shared" si="10"/>
        <v>47.21972903857263</v>
      </c>
      <c r="AK62">
        <f t="shared" si="11"/>
        <v>40.519350309543647</v>
      </c>
      <c r="AM62">
        <f>IF(NymexData!AC62="",VLOOKUP('Pricing Summary'!AB62,NymexData!$S$12:$U$250,3),VLOOKUP(NymexData!AA62,NymexData!$AA$12:$AC$250,3))</f>
        <v>0.25750000000000001</v>
      </c>
      <c r="AO62" s="370">
        <f>AD62*24*VLOOKUP(AB62,Interest!$X$8:$AC$367,6)</f>
        <v>620.33750957108225</v>
      </c>
    </row>
    <row r="63" spans="1:41" x14ac:dyDescent="0.2">
      <c r="AB63" s="266">
        <f>[4]EnergyCurve!$D85</f>
        <v>38749</v>
      </c>
      <c r="AC63" s="30">
        <f>IF(TradeSum!$L$6=0,VLOOKUP(AB63,TradeSum!$DM$13:$DQ$252,2)+VLOOKUP(AB63,TradeSum!$DU$13:$DY$252,3),VLOOKUP(AB63,TradeSum!$DU$13:$DY$252,2)+VLOOKUP(AB63,TradeSum!$DU$13:$DY$252,3))</f>
        <v>24</v>
      </c>
      <c r="AD63" s="30">
        <f>VLOOKUP(AB63,TradeSum!$DM$13:$DR$252,6)</f>
        <v>28</v>
      </c>
      <c r="AE63" s="30">
        <f>IF(TradeSum!$L$6=0,VLOOKUP(AB63,TradeSum!$DM$13:$DQ$252,2),VLOOKUP(AB63,TradeSum!$DU$13:$DY$252,2))</f>
        <v>20</v>
      </c>
      <c r="AF63" s="274">
        <f>[4]EnergyCurve!$G85</f>
        <v>46.659772180974734</v>
      </c>
      <c r="AG63" s="274">
        <f>[4]EnergyCurve!$Y85</f>
        <v>43.253554744820143</v>
      </c>
      <c r="AH63" s="274">
        <f>[4]EnergyCurve!$AD85</f>
        <v>41.901881159044514</v>
      </c>
      <c r="AI63" s="274">
        <f>[4]EnergyCurve!$L85</f>
        <v>28.114810584133092</v>
      </c>
      <c r="AJ63">
        <f t="shared" si="10"/>
        <v>46.092069274948962</v>
      </c>
      <c r="AK63">
        <f t="shared" si="11"/>
        <v>39.700584176495632</v>
      </c>
      <c r="AM63">
        <f>IF(NymexData!AC63="",VLOOKUP('Pricing Summary'!AB63,NymexData!$S$12:$U$250,3),VLOOKUP(NymexData!AA63,NymexData!$AA$12:$AC$250,3))</f>
        <v>0.25</v>
      </c>
      <c r="AO63" s="370">
        <f>AD63*24*VLOOKUP(AB63,Interest!$X$8:$AC$367,6)</f>
        <v>557.64781877144242</v>
      </c>
    </row>
    <row r="64" spans="1:41" x14ac:dyDescent="0.2">
      <c r="AB64" s="266">
        <f>[4]EnergyCurve!$D86</f>
        <v>38777</v>
      </c>
      <c r="AC64" s="30">
        <f>IF(TradeSum!$L$6=0,VLOOKUP(AB64,TradeSum!$DM$13:$DQ$252,2)+VLOOKUP(AB64,TradeSum!$DU$13:$DY$252,3),VLOOKUP(AB64,TradeSum!$DU$13:$DY$252,2)+VLOOKUP(AB64,TradeSum!$DU$13:$DY$252,3))</f>
        <v>27</v>
      </c>
      <c r="AD64" s="30">
        <f>VLOOKUP(AB64,TradeSum!$DM$13:$DR$252,6)</f>
        <v>31</v>
      </c>
      <c r="AE64" s="30">
        <f>IF(TradeSum!$L$6=0,VLOOKUP(AB64,TradeSum!$DM$13:$DQ$252,2),VLOOKUP(AB64,TradeSum!$DU$13:$DY$252,2))</f>
        <v>23</v>
      </c>
      <c r="AF64" s="274">
        <f>[4]EnergyCurve!$G86</f>
        <v>44.883882699969874</v>
      </c>
      <c r="AG64" s="274">
        <f>[4]EnergyCurve!$Y86</f>
        <v>41.607307253738</v>
      </c>
      <c r="AH64" s="274">
        <f>[4]EnergyCurve!$AD86</f>
        <v>40.307078902058684</v>
      </c>
      <c r="AI64" s="274">
        <f>[4]EnergyCurve!$L86</f>
        <v>27.044749714929701</v>
      </c>
      <c r="AJ64">
        <f t="shared" si="10"/>
        <v>44.398464115342932</v>
      </c>
      <c r="AK64">
        <f t="shared" si="11"/>
        <v>38.261945533417297</v>
      </c>
      <c r="AM64">
        <f>IF(NymexData!AC64="",VLOOKUP('Pricing Summary'!AB64,NymexData!$S$12:$U$250,3),VLOOKUP(NymexData!AA64,NymexData!$AA$12:$AC$250,3))</f>
        <v>0.24249999999999999</v>
      </c>
      <c r="AO64" s="370">
        <f>AD64*24*VLOOKUP(AB64,Interest!$X$8:$AC$367,6)</f>
        <v>614.30895115932015</v>
      </c>
    </row>
    <row r="65" spans="28:41" x14ac:dyDescent="0.2">
      <c r="AB65" s="266">
        <f>[4]EnergyCurve!$D87</f>
        <v>38808</v>
      </c>
      <c r="AC65" s="30">
        <f>IF(TradeSum!$L$6=0,VLOOKUP(AB65,TradeSum!$DM$13:$DQ$252,2)+VLOOKUP(AB65,TradeSum!$DU$13:$DY$252,3),VLOOKUP(AB65,TradeSum!$DU$13:$DY$252,2)+VLOOKUP(AB65,TradeSum!$DU$13:$DY$252,3))</f>
        <v>25</v>
      </c>
      <c r="AD65" s="30">
        <f>VLOOKUP(AB65,TradeSum!$DM$13:$DR$252,6)</f>
        <v>30</v>
      </c>
      <c r="AE65" s="30">
        <f>IF(TradeSum!$L$6=0,VLOOKUP(AB65,TradeSum!$DM$13:$DQ$252,2),VLOOKUP(AB65,TradeSum!$DU$13:$DY$252,2))</f>
        <v>20</v>
      </c>
      <c r="AF65" s="274">
        <f>[4]EnergyCurve!$G87</f>
        <v>42.336335733723573</v>
      </c>
      <c r="AG65" s="274">
        <f>[4]EnergyCurve!$Y87</f>
        <v>39.245734167994037</v>
      </c>
      <c r="AH65" s="274">
        <f>[4]EnergyCurve!$AD87</f>
        <v>38.019304975244225</v>
      </c>
      <c r="AI65" s="274">
        <f>[4]EnergyCurve!$L87</f>
        <v>25.509727209196125</v>
      </c>
      <c r="AJ65">
        <f t="shared" si="10"/>
        <v>41.718215420577664</v>
      </c>
      <c r="AK65">
        <f t="shared" si="11"/>
        <v>35.904395967302321</v>
      </c>
      <c r="AM65">
        <f>IF(NymexData!AC65="",VLOOKUP('Pricing Summary'!AB65,NymexData!$S$12:$U$250,3),VLOOKUP(NymexData!AA65,NymexData!$AA$12:$AC$250,3))</f>
        <v>0.24</v>
      </c>
      <c r="AO65" s="370">
        <f>AD65*24*VLOOKUP(AB65,Interest!$X$8:$AC$367,6)</f>
        <v>591.47039004032479</v>
      </c>
    </row>
    <row r="66" spans="28:41" x14ac:dyDescent="0.2">
      <c r="AB66" s="266">
        <f>[4]EnergyCurve!$D88</f>
        <v>38838</v>
      </c>
      <c r="AC66" s="30">
        <f>IF(TradeSum!$L$6=0,VLOOKUP(AB66,TradeSum!$DM$13:$DQ$252,2)+VLOOKUP(AB66,TradeSum!$DU$13:$DY$252,3),VLOOKUP(AB66,TradeSum!$DU$13:$DY$252,2)+VLOOKUP(AB66,TradeSum!$DU$13:$DY$252,3))</f>
        <v>26</v>
      </c>
      <c r="AD66" s="30">
        <f>VLOOKUP(AB66,TradeSum!$DM$13:$DR$252,6)</f>
        <v>31</v>
      </c>
      <c r="AE66" s="30">
        <f>IF(TradeSum!$L$6=0,VLOOKUP(AB66,TradeSum!$DM$13:$DQ$252,2),VLOOKUP(AB66,TradeSum!$DU$13:$DY$252,2))</f>
        <v>22</v>
      </c>
      <c r="AF66" s="274">
        <f>[4]EnergyCurve!$G88</f>
        <v>42.414345533924518</v>
      </c>
      <c r="AG66" s="274">
        <f>[4]EnergyCurve!$Y88</f>
        <v>39.318049162386572</v>
      </c>
      <c r="AH66" s="274">
        <f>[4]EnergyCurve!$AD88</f>
        <v>38.08936012606199</v>
      </c>
      <c r="AI66" s="274">
        <f>[4]EnergyCurve!$L88</f>
        <v>25.556731955551271</v>
      </c>
      <c r="AJ66">
        <f t="shared" si="10"/>
        <v>41.937992245995602</v>
      </c>
      <c r="AK66">
        <f t="shared" si="11"/>
        <v>36.063740738435278</v>
      </c>
      <c r="AM66">
        <f>IF(NymexData!AC66="",VLOOKUP('Pricing Summary'!AB66,NymexData!$S$12:$U$250,3),VLOOKUP(NymexData!AA66,NymexData!$AA$12:$AC$250,3))</f>
        <v>0.23749999999999999</v>
      </c>
      <c r="AO66" s="370">
        <f>AD66*24*VLOOKUP(AB66,Interest!$X$8:$AC$367,6)</f>
        <v>608.00306729403746</v>
      </c>
    </row>
    <row r="67" spans="28:41" x14ac:dyDescent="0.2">
      <c r="AB67" s="266">
        <f>[4]EnergyCurve!$D89</f>
        <v>38869</v>
      </c>
      <c r="AC67" s="30">
        <f>IF(TradeSum!$L$6=0,VLOOKUP(AB67,TradeSum!$DM$13:$DQ$252,2)+VLOOKUP(AB67,TradeSum!$DU$13:$DY$252,3),VLOOKUP(AB67,TradeSum!$DU$13:$DY$252,2)+VLOOKUP(AB67,TradeSum!$DU$13:$DY$252,3))</f>
        <v>26</v>
      </c>
      <c r="AD67" s="30">
        <f>VLOOKUP(AB67,TradeSum!$DM$13:$DR$252,6)</f>
        <v>30</v>
      </c>
      <c r="AE67" s="30">
        <f>IF(TradeSum!$L$6=0,VLOOKUP(AB67,TradeSum!$DM$13:$DQ$252,2),VLOOKUP(AB67,TradeSum!$DU$13:$DY$252,2))</f>
        <v>22</v>
      </c>
      <c r="AF67" s="274">
        <f>[4]EnergyCurve!$G89</f>
        <v>42.918484259479726</v>
      </c>
      <c r="AG67" s="274">
        <f>[4]EnergyCurve!$Y89</f>
        <v>39.78538517680623</v>
      </c>
      <c r="AH67" s="274">
        <f>[4]EnergyCurve!$AD89</f>
        <v>38.542091890031038</v>
      </c>
      <c r="AI67" s="274">
        <f>[4]EnergyCurve!$L89</f>
        <v>25.86050036492405</v>
      </c>
      <c r="AJ67">
        <f t="shared" si="10"/>
        <v>42.436469015991491</v>
      </c>
      <c r="AK67">
        <f t="shared" si="11"/>
        <v>36.564979276661418</v>
      </c>
      <c r="AM67">
        <f>IF(NymexData!AC67="",VLOOKUP('Pricing Summary'!AB67,NymexData!$S$12:$U$250,3),VLOOKUP(NymexData!AA67,NymexData!$AA$12:$AC$250,3))</f>
        <v>0.23749999999999999</v>
      </c>
      <c r="AO67" s="370">
        <f>AD67*24*VLOOKUP(AB67,Interest!$X$8:$AC$367,6)</f>
        <v>585.33312639982898</v>
      </c>
    </row>
    <row r="68" spans="28:41" x14ac:dyDescent="0.2">
      <c r="AB68" s="266">
        <f>[4]EnergyCurve!$D90</f>
        <v>38899</v>
      </c>
      <c r="AC68" s="30">
        <f>IF(TradeSum!$L$6=0,VLOOKUP(AB68,TradeSum!$DM$13:$DQ$252,2)+VLOOKUP(AB68,TradeSum!$DU$13:$DY$252,3),VLOOKUP(AB68,TradeSum!$DU$13:$DY$252,2)+VLOOKUP(AB68,TradeSum!$DU$13:$DY$252,3))</f>
        <v>25</v>
      </c>
      <c r="AD68" s="30">
        <f>VLOOKUP(AB68,TradeSum!$DM$13:$DR$252,6)</f>
        <v>31</v>
      </c>
      <c r="AE68" s="30">
        <f>IF(TradeSum!$L$6=0,VLOOKUP(AB68,TradeSum!$DM$13:$DQ$252,2),VLOOKUP(AB68,TradeSum!$DU$13:$DY$252,2))</f>
        <v>20</v>
      </c>
      <c r="AF68" s="274">
        <f>[4]EnergyCurve!$G90</f>
        <v>43.51318740614699</v>
      </c>
      <c r="AG68" s="274">
        <f>[4]EnergyCurve!$Y90</f>
        <v>40.336674304655375</v>
      </c>
      <c r="AH68" s="274">
        <f>[4]EnergyCurve!$AD90</f>
        <v>39.076153232634894</v>
      </c>
      <c r="AI68" s="274">
        <f>[4]EnergyCurve!$L90</f>
        <v>26.218838298025993</v>
      </c>
      <c r="AJ68">
        <f t="shared" si="10"/>
        <v>42.877884785848664</v>
      </c>
      <c r="AK68">
        <f t="shared" si="11"/>
        <v>36.834323283041478</v>
      </c>
      <c r="AM68">
        <f>IF(NymexData!AC68="",VLOOKUP('Pricing Summary'!AB68,NymexData!$S$12:$U$250,3),VLOOKUP(NymexData!AA68,NymexData!$AA$12:$AC$250,3))</f>
        <v>0.23749999999999999</v>
      </c>
      <c r="AO68" s="370">
        <f>AD68*24*VLOOKUP(AB68,Interest!$X$8:$AC$367,6)</f>
        <v>601.62661284032424</v>
      </c>
    </row>
    <row r="69" spans="28:41" x14ac:dyDescent="0.2">
      <c r="AB69" s="266">
        <f>[4]EnergyCurve!$D91</f>
        <v>38930</v>
      </c>
      <c r="AC69" s="30">
        <f>IF(TradeSum!$L$6=0,VLOOKUP(AB69,TradeSum!$DM$13:$DQ$252,2)+VLOOKUP(AB69,TradeSum!$DU$13:$DY$252,3),VLOOKUP(AB69,TradeSum!$DU$13:$DY$252,2)+VLOOKUP(AB69,TradeSum!$DU$13:$DY$252,3))</f>
        <v>27</v>
      </c>
      <c r="AD69" s="30">
        <f>VLOOKUP(AB69,TradeSum!$DM$13:$DR$252,6)</f>
        <v>31</v>
      </c>
      <c r="AE69" s="30">
        <f>IF(TradeSum!$L$6=0,VLOOKUP(AB69,TradeSum!$DM$13:$DQ$252,2),VLOOKUP(AB69,TradeSum!$DU$13:$DY$252,2))</f>
        <v>23</v>
      </c>
      <c r="AF69" s="274">
        <f>[4]EnergyCurve!$G91</f>
        <v>44.019078263657946</v>
      </c>
      <c r="AG69" s="274">
        <f>[4]EnergyCurve!$Y91</f>
        <v>40.805634543367731</v>
      </c>
      <c r="AH69" s="274">
        <f>[4]EnergyCurve!$AD91</f>
        <v>39.530458463887491</v>
      </c>
      <c r="AI69" s="274">
        <f>[4]EnergyCurve!$L91</f>
        <v>26.523662453189026</v>
      </c>
      <c r="AJ69">
        <f t="shared" si="10"/>
        <v>43.543012527318652</v>
      </c>
      <c r="AK69">
        <f t="shared" si="11"/>
        <v>37.524729895001791</v>
      </c>
      <c r="AM69">
        <f>IF(NymexData!AC69="",VLOOKUP('Pricing Summary'!AB69,NymexData!$S$12:$U$250,3),VLOOKUP(NymexData!AA69,NymexData!$AA$12:$AC$250,3))</f>
        <v>0.23749999999999999</v>
      </c>
      <c r="AO69" s="370">
        <f>AD69*24*VLOOKUP(AB69,Interest!$X$8:$AC$367,6)</f>
        <v>598.36024734853459</v>
      </c>
    </row>
    <row r="70" spans="28:41" x14ac:dyDescent="0.2">
      <c r="AB70" s="266">
        <f>[4]EnergyCurve!$D92</f>
        <v>38961</v>
      </c>
      <c r="AC70" s="30">
        <f>IF(TradeSum!$L$6=0,VLOOKUP(AB70,TradeSum!$DM$13:$DQ$252,2)+VLOOKUP(AB70,TradeSum!$DU$13:$DY$252,3),VLOOKUP(AB70,TradeSum!$DU$13:$DY$252,2)+VLOOKUP(AB70,TradeSum!$DU$13:$DY$252,3))</f>
        <v>25</v>
      </c>
      <c r="AD70" s="30">
        <f>VLOOKUP(AB70,TradeSum!$DM$13:$DR$252,6)</f>
        <v>30</v>
      </c>
      <c r="AE70" s="30">
        <f>IF(TradeSum!$L$6=0,VLOOKUP(AB70,TradeSum!$DM$13:$DQ$252,2),VLOOKUP(AB70,TradeSum!$DU$13:$DY$252,2))</f>
        <v>20</v>
      </c>
      <c r="AF70" s="274">
        <f>[4]EnergyCurve!$G92</f>
        <v>43.958412938851048</v>
      </c>
      <c r="AG70" s="274">
        <f>[4]EnergyCurve!$Y92</f>
        <v>40.749397857567594</v>
      </c>
      <c r="AH70" s="274">
        <f>[4]EnergyCurve!$AD92</f>
        <v>39.475979174518606</v>
      </c>
      <c r="AI70" s="274">
        <f>[4]EnergyCurve!$L92</f>
        <v>26.487108607418936</v>
      </c>
      <c r="AJ70">
        <f t="shared" si="10"/>
        <v>43.316609922594353</v>
      </c>
      <c r="AK70">
        <f t="shared" si="11"/>
        <v>37.280039401083023</v>
      </c>
      <c r="AM70">
        <f>IF(NymexData!AC70="",VLOOKUP('Pricing Summary'!AB70,NymexData!$S$12:$U$250,3),VLOOKUP(NymexData!AA70,NymexData!$AA$12:$AC$250,3))</f>
        <v>0.23749999999999999</v>
      </c>
      <c r="AO70" s="370">
        <f>AD70*24*VLOOKUP(AB70,Interest!$X$8:$AC$367,6)</f>
        <v>575.95223204775414</v>
      </c>
    </row>
    <row r="71" spans="28:41" x14ac:dyDescent="0.2">
      <c r="AB71" s="266">
        <f>[4]EnergyCurve!$D93</f>
        <v>38991</v>
      </c>
      <c r="AC71" s="30">
        <f>IF(TradeSum!$L$6=0,VLOOKUP(AB71,TradeSum!$DM$13:$DQ$252,2)+VLOOKUP(AB71,TradeSum!$DU$13:$DY$252,3),VLOOKUP(AB71,TradeSum!$DU$13:$DY$252,2)+VLOOKUP(AB71,TradeSum!$DU$13:$DY$252,3))</f>
        <v>26</v>
      </c>
      <c r="AD71" s="30">
        <f>VLOOKUP(AB71,TradeSum!$DM$13:$DR$252,6)</f>
        <v>31</v>
      </c>
      <c r="AE71" s="30">
        <f>IF(TradeSum!$L$6=0,VLOOKUP(AB71,TradeSum!$DM$13:$DQ$252,2),VLOOKUP(AB71,TradeSum!$DU$13:$DY$252,2))</f>
        <v>22</v>
      </c>
      <c r="AF71" s="274">
        <f>[4]EnergyCurve!$G93</f>
        <v>43.975066813608954</v>
      </c>
      <c r="AG71" s="274">
        <f>[4]EnergyCurve!$Y93</f>
        <v>40.764835980170524</v>
      </c>
      <c r="AH71" s="274">
        <f>[4]EnergyCurve!$AD93</f>
        <v>39.490934855790194</v>
      </c>
      <c r="AI71" s="274">
        <f>[4]EnergyCurve!$L93</f>
        <v>26.497143387110842</v>
      </c>
      <c r="AJ71">
        <f t="shared" si="10"/>
        <v>43.481185146926123</v>
      </c>
      <c r="AK71">
        <f t="shared" si="11"/>
        <v>37.390778722564477</v>
      </c>
      <c r="AM71">
        <f>IF(NymexData!AC71="",VLOOKUP('Pricing Summary'!AB71,NymexData!$S$12:$U$250,3),VLOOKUP(NymexData!AA71,NymexData!$AA$12:$AC$250,3))</f>
        <v>0.23749999999999999</v>
      </c>
      <c r="AO71" s="370">
        <f>AD71*24*VLOOKUP(AB71,Interest!$X$8:$AC$367,6)</f>
        <v>591.88428284833867</v>
      </c>
    </row>
    <row r="72" spans="28:41" x14ac:dyDescent="0.2">
      <c r="AB72" s="266">
        <f>[4]EnergyCurve!$D94</f>
        <v>39022</v>
      </c>
      <c r="AC72" s="30">
        <f>IF(TradeSum!$L$6=0,VLOOKUP(AB72,TradeSum!$DM$13:$DQ$252,2)+VLOOKUP(AB72,TradeSum!$DU$13:$DY$252,3),VLOOKUP(AB72,TradeSum!$DU$13:$DY$252,2)+VLOOKUP(AB72,TradeSum!$DU$13:$DY$252,3))</f>
        <v>25</v>
      </c>
      <c r="AD72" s="30">
        <f>VLOOKUP(AB72,TradeSum!$DM$13:$DR$252,6)</f>
        <v>30</v>
      </c>
      <c r="AE72" s="30">
        <f>IF(TradeSum!$L$6=0,VLOOKUP(AB72,TradeSum!$DM$13:$DQ$252,2),VLOOKUP(AB72,TradeSum!$DU$13:$DY$252,2))</f>
        <v>21</v>
      </c>
      <c r="AF72" s="274">
        <f>[4]EnergyCurve!$G94</f>
        <v>46.424548021672557</v>
      </c>
      <c r="AG72" s="274">
        <f>[4]EnergyCurve!$Y94</f>
        <v>43.035502221712676</v>
      </c>
      <c r="AH72" s="274">
        <f>[4]EnergyCurve!$AD94</f>
        <v>41.690642777284154</v>
      </c>
      <c r="AI72" s="274">
        <f>[4]EnergyCurve!$L94</f>
        <v>27.973076444113239</v>
      </c>
      <c r="AJ72">
        <f t="shared" si="10"/>
        <v>45.882300693678971</v>
      </c>
      <c r="AK72">
        <f t="shared" si="11"/>
        <v>39.446819508668753</v>
      </c>
      <c r="AM72">
        <f>IF(NymexData!AC72="",VLOOKUP('Pricing Summary'!AB72,NymexData!$S$12:$U$250,3),VLOOKUP(NymexData!AA72,NymexData!$AA$12:$AC$250,3))</f>
        <v>0.23749999999999999</v>
      </c>
      <c r="AO72" s="370">
        <f>AD72*24*VLOOKUP(AB72,Interest!$X$8:$AC$367,6)</f>
        <v>569.77666951991012</v>
      </c>
    </row>
    <row r="73" spans="28:41" x14ac:dyDescent="0.2">
      <c r="AB73" s="266">
        <f>[4]EnergyCurve!$D95</f>
        <v>39052</v>
      </c>
      <c r="AC73" s="30">
        <f>IF(TradeSum!$L$6=0,VLOOKUP(AB73,TradeSum!$DM$13:$DQ$252,2)+VLOOKUP(AB73,TradeSum!$DU$13:$DY$252,3),VLOOKUP(AB73,TradeSum!$DU$13:$DY$252,2)+VLOOKUP(AB73,TradeSum!$DU$13:$DY$252,3))</f>
        <v>25</v>
      </c>
      <c r="AD73" s="30">
        <f>VLOOKUP(AB73,TradeSum!$DM$13:$DR$252,6)</f>
        <v>31</v>
      </c>
      <c r="AE73" s="30">
        <f>IF(TradeSum!$L$6=0,VLOOKUP(AB73,TradeSum!$DM$13:$DQ$252,2),VLOOKUP(AB73,TradeSum!$DU$13:$DY$252,2))</f>
        <v>20</v>
      </c>
      <c r="AF73" s="274">
        <f>[4]EnergyCurve!$G95</f>
        <v>48.385979190377249</v>
      </c>
      <c r="AG73" s="274">
        <f>[4]EnergyCurve!$Y95</f>
        <v>44.8537466422964</v>
      </c>
      <c r="AH73" s="274">
        <f>[4]EnergyCurve!$AD95</f>
        <v>43.452067059724641</v>
      </c>
      <c r="AI73" s="274">
        <f>[4]EnergyCurve!$L95</f>
        <v>29.154935317492662</v>
      </c>
      <c r="AJ73">
        <f t="shared" si="10"/>
        <v>47.679532680761078</v>
      </c>
      <c r="AK73">
        <f t="shared" si="11"/>
        <v>40.959187458032495</v>
      </c>
      <c r="AM73">
        <f>IF(NymexData!AC73="",VLOOKUP('Pricing Summary'!AB73,NymexData!$S$12:$U$250,3),VLOOKUP(NymexData!AA73,NymexData!$AA$12:$AC$250,3))</f>
        <v>0.24</v>
      </c>
      <c r="AO73" s="370">
        <f>AD73*24*VLOOKUP(AB73,Interest!$X$8:$AC$367,6)</f>
        <v>585.95174325475307</v>
      </c>
    </row>
    <row r="74" spans="28:41" x14ac:dyDescent="0.2">
      <c r="AB74" s="266">
        <f>[4]EnergyCurve!$D96</f>
        <v>39083</v>
      </c>
      <c r="AC74" s="30">
        <f>IF(TradeSum!$L$6=0,VLOOKUP(AB74,TradeSum!$DM$13:$DQ$252,2)+VLOOKUP(AB74,TradeSum!$DU$13:$DY$252,3),VLOOKUP(AB74,TradeSum!$DU$13:$DY$252,2)+VLOOKUP(AB74,TradeSum!$DU$13:$DY$252,3))</f>
        <v>26</v>
      </c>
      <c r="AD74" s="30">
        <f>VLOOKUP(AB74,TradeSum!$DM$13:$DR$252,6)</f>
        <v>31</v>
      </c>
      <c r="AE74" s="30">
        <f>IF(TradeSum!$L$6=0,VLOOKUP(AB74,TradeSum!$DM$13:$DQ$252,2),VLOOKUP(AB74,TradeSum!$DU$13:$DY$252,2))</f>
        <v>22</v>
      </c>
      <c r="AF74" s="274">
        <f>[4]EnergyCurve!$G96</f>
        <v>49.224615972676219</v>
      </c>
      <c r="AG74" s="274">
        <f>[4]EnergyCurve!$Y96</f>
        <v>45.631161967718391</v>
      </c>
      <c r="AH74" s="274">
        <f>[4]EnergyCurve!$AD96</f>
        <v>44.205188156227194</v>
      </c>
      <c r="AI74" s="274">
        <f>[4]EnergyCurve!$L96</f>
        <v>29.660255279016955</v>
      </c>
      <c r="AJ74">
        <f t="shared" si="10"/>
        <v>48.671776894990401</v>
      </c>
      <c r="AK74">
        <f t="shared" si="11"/>
        <v>41.85432466399245</v>
      </c>
      <c r="AM74">
        <f>IF(NymexData!AC74="",VLOOKUP('Pricing Summary'!AB74,NymexData!$S$12:$U$250,3),VLOOKUP(NymexData!AA74,NymexData!$AA$12:$AC$250,3))</f>
        <v>0.24249999999999999</v>
      </c>
      <c r="AO74" s="370">
        <f>AD74*24*VLOOKUP(AB74,Interest!$X$8:$AC$367,6)</f>
        <v>583.11242917831646</v>
      </c>
    </row>
    <row r="75" spans="28:41" x14ac:dyDescent="0.2">
      <c r="AB75" s="266">
        <f>[4]EnergyCurve!$D97</f>
        <v>39114</v>
      </c>
      <c r="AC75" s="30">
        <f>IF(TradeSum!$L$6=0,VLOOKUP(AB75,TradeSum!$DM$13:$DQ$252,2)+VLOOKUP(AB75,TradeSum!$DU$13:$DY$252,3),VLOOKUP(AB75,TradeSum!$DU$13:$DY$252,2)+VLOOKUP(AB75,TradeSum!$DU$13:$DY$252,3))</f>
        <v>24</v>
      </c>
      <c r="AD75" s="30">
        <f>VLOOKUP(AB75,TradeSum!$DM$13:$DR$252,6)</f>
        <v>28</v>
      </c>
      <c r="AE75" s="30">
        <f>IF(TradeSum!$L$6=0,VLOOKUP(AB75,TradeSum!$DM$13:$DQ$252,2),VLOOKUP(AB75,TradeSum!$DU$13:$DY$252,2))</f>
        <v>20</v>
      </c>
      <c r="AF75" s="274">
        <f>[4]EnergyCurve!$G97</f>
        <v>48.088767022477398</v>
      </c>
      <c r="AG75" s="274">
        <f>[4]EnergyCurve!$Y97</f>
        <v>44.57823130704741</v>
      </c>
      <c r="AH75" s="274">
        <f>[4]EnergyCurve!$AD97</f>
        <v>43.185161578702179</v>
      </c>
      <c r="AI75" s="274">
        <f>[4]EnergyCurve!$L97</f>
        <v>28.975850349580817</v>
      </c>
      <c r="AJ75">
        <f t="shared" si="10"/>
        <v>47.503677736572399</v>
      </c>
      <c r="AK75">
        <f t="shared" si="11"/>
        <v>40.916448021111378</v>
      </c>
      <c r="AM75">
        <f>IF(NymexData!AC75="",VLOOKUP('Pricing Summary'!AB75,NymexData!$S$12:$U$250,3),VLOOKUP(NymexData!AA75,NymexData!$AA$12:$AC$250,3))</f>
        <v>0.23749999999999999</v>
      </c>
      <c r="AO75" s="370">
        <f>AD75*24*VLOOKUP(AB75,Interest!$X$8:$AC$367,6)</f>
        <v>524.31343093974681</v>
      </c>
    </row>
    <row r="76" spans="28:41" x14ac:dyDescent="0.2">
      <c r="AB76" s="266">
        <f>[4]EnergyCurve!$D98</f>
        <v>39142</v>
      </c>
      <c r="AC76" s="30">
        <f>IF(TradeSum!$L$6=0,VLOOKUP(AB76,TradeSum!$DM$13:$DQ$252,2)+VLOOKUP(AB76,TradeSum!$DU$13:$DY$252,3),VLOOKUP(AB76,TradeSum!$DU$13:$DY$252,2)+VLOOKUP(AB76,TradeSum!$DU$13:$DY$252,3))</f>
        <v>27</v>
      </c>
      <c r="AD76" s="30">
        <f>VLOOKUP(AB76,TradeSum!$DM$13:$DR$252,6)</f>
        <v>31</v>
      </c>
      <c r="AE76" s="30">
        <f>IF(TradeSum!$L$6=0,VLOOKUP(AB76,TradeSum!$DM$13:$DQ$252,2),VLOOKUP(AB76,TradeSum!$DU$13:$DY$252,2))</f>
        <v>22</v>
      </c>
      <c r="AF76" s="274">
        <f>[4]EnergyCurve!$G98</f>
        <v>46.294756137468816</v>
      </c>
      <c r="AG76" s="274">
        <f>[4]EnergyCurve!$Y98</f>
        <v>42.91518529545197</v>
      </c>
      <c r="AH76" s="274">
        <f>[4]EnergyCurve!$AD98</f>
        <v>41.574085754969097</v>
      </c>
      <c r="AI76" s="274">
        <f>[4]EnergyCurve!$L98</f>
        <v>27.894870442043782</v>
      </c>
      <c r="AJ76">
        <f t="shared" si="10"/>
        <v>45.668909685243477</v>
      </c>
      <c r="AK76">
        <f t="shared" si="11"/>
        <v>39.391987018776959</v>
      </c>
      <c r="AM76">
        <f>IF(NymexData!AC76="",VLOOKUP('Pricing Summary'!AB76,NymexData!$S$12:$U$250,3),VLOOKUP(NymexData!AA76,NymexData!$AA$12:$AC$250,3))</f>
        <v>0.23250000000000001</v>
      </c>
      <c r="AO76" s="370">
        <f>AD76*24*VLOOKUP(AB76,Interest!$X$8:$AC$367,6)</f>
        <v>577.69757432193683</v>
      </c>
    </row>
    <row r="77" spans="28:41" x14ac:dyDescent="0.2">
      <c r="AB77" s="266">
        <f>[4]EnergyCurve!$D99</f>
        <v>39173</v>
      </c>
      <c r="AC77" s="30">
        <f>IF(TradeSum!$L$6=0,VLOOKUP(AB77,TradeSum!$DM$13:$DQ$252,2)+VLOOKUP(AB77,TradeSum!$DU$13:$DY$252,3),VLOOKUP(AB77,TradeSum!$DU$13:$DY$252,2)+VLOOKUP(AB77,TradeSum!$DU$13:$DY$252,3))</f>
        <v>25</v>
      </c>
      <c r="AD77" s="30">
        <f>VLOOKUP(AB77,TradeSum!$DM$13:$DR$252,6)</f>
        <v>30</v>
      </c>
      <c r="AE77" s="30">
        <f>IF(TradeSum!$L$6=0,VLOOKUP(AB77,TradeSum!$DM$13:$DQ$252,2),VLOOKUP(AB77,TradeSum!$DU$13:$DY$252,2))</f>
        <v>21</v>
      </c>
      <c r="AF77" s="274">
        <f>[4]EnergyCurve!$G99</f>
        <v>43.661882777680297</v>
      </c>
      <c r="AG77" s="274">
        <f>[4]EnergyCurve!$Y99</f>
        <v>40.474514741766207</v>
      </c>
      <c r="AH77" s="274">
        <f>[4]EnergyCurve!$AD99</f>
        <v>39.209686156086015</v>
      </c>
      <c r="AI77" s="274">
        <f>[4]EnergyCurve!$L99</f>
        <v>26.308434582148035</v>
      </c>
      <c r="AJ77">
        <f t="shared" ref="AJ77:AJ140" si="24">(AE77*AF77+(AC77-AE77)*AG77)/AC77</f>
        <v>43.15190389193404</v>
      </c>
      <c r="AK77">
        <f t="shared" ref="AK77:AK140" si="25">(AC77*16*AJ77+(AD77-AC77)*16*AH77+AD77*8*AI77)/(AD77*24)</f>
        <v>37.099389929133373</v>
      </c>
      <c r="AM77">
        <f>IF(NymexData!AC77="",VLOOKUP('Pricing Summary'!AB77,NymexData!$S$12:$U$250,3),VLOOKUP(NymexData!AA77,NymexData!$AA$12:$AC$250,3))</f>
        <v>0.23250000000000001</v>
      </c>
      <c r="AO77" s="370">
        <f>AD77*24*VLOOKUP(AB77,Interest!$X$8:$AC$367,6)</f>
        <v>556.37469284302733</v>
      </c>
    </row>
    <row r="78" spans="28:41" x14ac:dyDescent="0.2">
      <c r="AB78" s="266">
        <f>[4]EnergyCurve!$D100</f>
        <v>39203</v>
      </c>
      <c r="AC78" s="30">
        <f>IF(TradeSum!$L$6=0,VLOOKUP(AB78,TradeSum!$DM$13:$DQ$252,2)+VLOOKUP(AB78,TradeSum!$DU$13:$DY$252,3),VLOOKUP(AB78,TradeSum!$DU$13:$DY$252,2)+VLOOKUP(AB78,TradeSum!$DU$13:$DY$252,3))</f>
        <v>26</v>
      </c>
      <c r="AD78" s="30">
        <f>VLOOKUP(AB78,TradeSum!$DM$13:$DR$252,6)</f>
        <v>31</v>
      </c>
      <c r="AE78" s="30">
        <f>IF(TradeSum!$L$6=0,VLOOKUP(AB78,TradeSum!$DM$13:$DQ$252,2),VLOOKUP(AB78,TradeSum!$DU$13:$DY$252,2))</f>
        <v>22</v>
      </c>
      <c r="AF78" s="274">
        <f>[4]EnergyCurve!$G100</f>
        <v>43.725981491470534</v>
      </c>
      <c r="AG78" s="274">
        <f>[4]EnergyCurve!$Y100</f>
        <v>40.53393417517546</v>
      </c>
      <c r="AH78" s="274">
        <f>[4]EnergyCurve!$AD100</f>
        <v>39.267248732201224</v>
      </c>
      <c r="AI78" s="274">
        <f>[4]EnergyCurve!$L100</f>
        <v>26.347057213864051</v>
      </c>
      <c r="AJ78">
        <f t="shared" si="24"/>
        <v>43.234897288963602</v>
      </c>
      <c r="AK78">
        <f t="shared" si="25"/>
        <v>37.178988386859196</v>
      </c>
      <c r="AM78">
        <f>IF(NymexData!AC78="",VLOOKUP('Pricing Summary'!AB78,NymexData!$S$12:$U$250,3),VLOOKUP(NymexData!AA78,NymexData!$AA$12:$AC$250,3))</f>
        <v>0.23250000000000001</v>
      </c>
      <c r="AO78" s="370">
        <f>AD78*24*VLOOKUP(AB78,Interest!$X$8:$AC$367,6)</f>
        <v>572.08521242329357</v>
      </c>
    </row>
    <row r="79" spans="28:41" x14ac:dyDescent="0.2">
      <c r="AB79" s="266">
        <f>[4]EnergyCurve!$D101</f>
        <v>39234</v>
      </c>
      <c r="AC79" s="30">
        <f>IF(TradeSum!$L$6=0,VLOOKUP(AB79,TradeSum!$DM$13:$DQ$252,2)+VLOOKUP(AB79,TradeSum!$DU$13:$DY$252,3),VLOOKUP(AB79,TradeSum!$DU$13:$DY$252,2)+VLOOKUP(AB79,TradeSum!$DU$13:$DY$252,3))</f>
        <v>26</v>
      </c>
      <c r="AD79" s="30">
        <f>VLOOKUP(AB79,TradeSum!$DM$13:$DR$252,6)</f>
        <v>30</v>
      </c>
      <c r="AE79" s="30">
        <f>IF(TradeSum!$L$6=0,VLOOKUP(AB79,TradeSum!$DM$13:$DQ$252,2),VLOOKUP(AB79,TradeSum!$DU$13:$DY$252,2))</f>
        <v>21</v>
      </c>
      <c r="AF79" s="274">
        <f>[4]EnergyCurve!$G101</f>
        <v>44.215825909094043</v>
      </c>
      <c r="AG79" s="274">
        <f>[4]EnergyCurve!$Y101</f>
        <v>40.988019382705943</v>
      </c>
      <c r="AH79" s="274">
        <f>[4]EnergyCurve!$AD101</f>
        <v>39.707143776996382</v>
      </c>
      <c r="AI79" s="274">
        <f>[4]EnergyCurve!$L101</f>
        <v>26.642212598758864</v>
      </c>
      <c r="AJ79">
        <f t="shared" si="24"/>
        <v>43.595093884788639</v>
      </c>
      <c r="AK79">
        <f t="shared" si="25"/>
        <v>37.59853789097496</v>
      </c>
      <c r="AM79">
        <f>IF(NymexData!AC79="",VLOOKUP('Pricing Summary'!AB79,NymexData!$S$12:$U$250,3),VLOOKUP(NymexData!AA79,NymexData!$AA$12:$AC$250,3))</f>
        <v>0.23250000000000001</v>
      </c>
      <c r="AO79" s="370">
        <f>AD79*24*VLOOKUP(AB79,Interest!$X$8:$AC$367,6)</f>
        <v>550.93678375011245</v>
      </c>
    </row>
    <row r="80" spans="28:41" x14ac:dyDescent="0.2">
      <c r="AB80" s="266">
        <f>[4]EnergyCurve!$D102</f>
        <v>39264</v>
      </c>
      <c r="AC80" s="30">
        <f>IF(TradeSum!$L$6=0,VLOOKUP(AB80,TradeSum!$DM$13:$DQ$252,2)+VLOOKUP(AB80,TradeSum!$DU$13:$DY$252,3),VLOOKUP(AB80,TradeSum!$DU$13:$DY$252,2)+VLOOKUP(AB80,TradeSum!$DU$13:$DY$252,3))</f>
        <v>25</v>
      </c>
      <c r="AD80" s="30">
        <f>VLOOKUP(AB80,TradeSum!$DM$13:$DR$252,6)</f>
        <v>31</v>
      </c>
      <c r="AE80" s="30">
        <f>IF(TradeSum!$L$6=0,VLOOKUP(AB80,TradeSum!$DM$13:$DQ$252,2),VLOOKUP(AB80,TradeSum!$DU$13:$DY$252,2))</f>
        <v>21</v>
      </c>
      <c r="AF80" s="274">
        <f>[4]EnergyCurve!$G102</f>
        <v>44.795930479133027</v>
      </c>
      <c r="AG80" s="274">
        <f>[4]EnergyCurve!$Y102</f>
        <v>41.525775646936751</v>
      </c>
      <c r="AH80" s="274">
        <f>[4]EnergyCurve!$AD102</f>
        <v>40.228095157969975</v>
      </c>
      <c r="AI80" s="274">
        <f>[4]EnergyCurve!$L102</f>
        <v>26.991754170508887</v>
      </c>
      <c r="AJ80">
        <f t="shared" si="24"/>
        <v>44.272705705981622</v>
      </c>
      <c r="AK80">
        <f t="shared" si="25"/>
        <v>37.990503295489205</v>
      </c>
      <c r="AM80">
        <f>IF(NymexData!AC80="",VLOOKUP('Pricing Summary'!AB80,NymexData!$S$12:$U$250,3),VLOOKUP(NymexData!AA80,NymexData!$AA$12:$AC$250,3))</f>
        <v>0.23250000000000001</v>
      </c>
      <c r="AO80" s="370">
        <f>AD80*24*VLOOKUP(AB80,Interest!$X$8:$AC$367,6)</f>
        <v>566.46013117436462</v>
      </c>
    </row>
    <row r="81" spans="28:41" x14ac:dyDescent="0.2">
      <c r="AB81" s="266">
        <f>[4]EnergyCurve!$D103</f>
        <v>39295</v>
      </c>
      <c r="AC81" s="30">
        <f>IF(TradeSum!$L$6=0,VLOOKUP(AB81,TradeSum!$DM$13:$DQ$252,2)+VLOOKUP(AB81,TradeSum!$DU$13:$DY$252,3),VLOOKUP(AB81,TradeSum!$DU$13:$DY$252,2)+VLOOKUP(AB81,TradeSum!$DU$13:$DY$252,3))</f>
        <v>27</v>
      </c>
      <c r="AD81" s="30">
        <f>VLOOKUP(AB81,TradeSum!$DM$13:$DR$252,6)</f>
        <v>31</v>
      </c>
      <c r="AE81" s="30">
        <f>IF(TradeSum!$L$6=0,VLOOKUP(AB81,TradeSum!$DM$13:$DQ$252,2),VLOOKUP(AB81,TradeSum!$DU$13:$DY$252,2))</f>
        <v>23</v>
      </c>
      <c r="AF81" s="274">
        <f>[4]EnergyCurve!$G103</f>
        <v>45.285598320698654</v>
      </c>
      <c r="AG81" s="274">
        <f>[4]EnergyCurve!$Y103</f>
        <v>41.979697168666185</v>
      </c>
      <c r="AH81" s="274">
        <f>[4]EnergyCurve!$AD103</f>
        <v>40.667831632145365</v>
      </c>
      <c r="AI81" s="274">
        <f>[4]EnergyCurve!$L103</f>
        <v>27.28680315963302</v>
      </c>
      <c r="AJ81">
        <f t="shared" si="24"/>
        <v>44.795835187064213</v>
      </c>
      <c r="AK81">
        <f t="shared" si="25"/>
        <v>38.604394097927461</v>
      </c>
      <c r="AM81">
        <f>IF(NymexData!AC81="",VLOOKUP('Pricing Summary'!AB81,NymexData!$S$12:$U$250,3),VLOOKUP(NymexData!AA81,NymexData!$AA$12:$AC$250,3))</f>
        <v>0.23250000000000001</v>
      </c>
      <c r="AO81" s="370">
        <f>AD81*24*VLOOKUP(AB81,Interest!$X$8:$AC$367,6)</f>
        <v>563.59708082418911</v>
      </c>
    </row>
    <row r="82" spans="28:41" x14ac:dyDescent="0.2">
      <c r="AB82" s="266">
        <f>[4]EnergyCurve!$D104</f>
        <v>39326</v>
      </c>
      <c r="AC82" s="30">
        <f>IF(TradeSum!$L$6=0,VLOOKUP(AB82,TradeSum!$DM$13:$DQ$252,2)+VLOOKUP(AB82,TradeSum!$DU$13:$DY$252,3),VLOOKUP(AB82,TradeSum!$DU$13:$DY$252,2)+VLOOKUP(AB82,TradeSum!$DU$13:$DY$252,3))</f>
        <v>24</v>
      </c>
      <c r="AD82" s="30">
        <f>VLOOKUP(AB82,TradeSum!$DM$13:$DR$252,6)</f>
        <v>30</v>
      </c>
      <c r="AE82" s="30">
        <f>IF(TradeSum!$L$6=0,VLOOKUP(AB82,TradeSum!$DM$13:$DQ$252,2),VLOOKUP(AB82,TradeSum!$DU$13:$DY$252,2))</f>
        <v>19</v>
      </c>
      <c r="AF82" s="274">
        <f>[4]EnergyCurve!$G104</f>
        <v>45.207419281528118</v>
      </c>
      <c r="AG82" s="274">
        <f>[4]EnergyCurve!$Y104</f>
        <v>41.907225289944947</v>
      </c>
      <c r="AH82" s="274">
        <f>[4]EnergyCurve!$AD104</f>
        <v>40.597624499634165</v>
      </c>
      <c r="AI82" s="274">
        <f>[4]EnergyCurve!$L104</f>
        <v>27.239696438464215</v>
      </c>
      <c r="AJ82">
        <f t="shared" si="24"/>
        <v>44.51987886661496</v>
      </c>
      <c r="AK82">
        <f t="shared" si="25"/>
        <v>38.236850808300609</v>
      </c>
      <c r="AM82">
        <f>IF(NymexData!AC82="",VLOOKUP('Pricing Summary'!AB82,NymexData!$S$12:$U$250,3),VLOOKUP(NymexData!AA82,NymexData!$AA$12:$AC$250,3))</f>
        <v>0.23250000000000001</v>
      </c>
      <c r="AO82" s="370">
        <f>AD82*24*VLOOKUP(AB82,Interest!$X$8:$AC$367,6)</f>
        <v>542.71386873497534</v>
      </c>
    </row>
    <row r="83" spans="28:41" x14ac:dyDescent="0.2">
      <c r="AB83" s="266">
        <f>[4]EnergyCurve!$D105</f>
        <v>39356</v>
      </c>
      <c r="AC83" s="30">
        <f>IF(TradeSum!$L$6=0,VLOOKUP(AB83,TradeSum!$DM$13:$DQ$252,2)+VLOOKUP(AB83,TradeSum!$DU$13:$DY$252,3),VLOOKUP(AB83,TradeSum!$DU$13:$DY$252,2)+VLOOKUP(AB83,TradeSum!$DU$13:$DY$252,3))</f>
        <v>27</v>
      </c>
      <c r="AD83" s="30">
        <f>VLOOKUP(AB83,TradeSum!$DM$13:$DR$252,6)</f>
        <v>31</v>
      </c>
      <c r="AE83" s="30">
        <f>IF(TradeSum!$L$6=0,VLOOKUP(AB83,TradeSum!$DM$13:$DQ$252,2),VLOOKUP(AB83,TradeSum!$DU$13:$DY$252,2))</f>
        <v>23</v>
      </c>
      <c r="AF83" s="274">
        <f>[4]EnergyCurve!$G105</f>
        <v>45.206613593002324</v>
      </c>
      <c r="AG83" s="274">
        <f>[4]EnergyCurve!$Y105</f>
        <v>41.906478417615126</v>
      </c>
      <c r="AH83" s="274">
        <f>[4]EnergyCurve!$AD105</f>
        <v>40.596900967064656</v>
      </c>
      <c r="AI83" s="274">
        <f>[4]EnergyCurve!$L105</f>
        <v>27.239210971449832</v>
      </c>
      <c r="AJ83">
        <f t="shared" si="24"/>
        <v>44.71770467813014</v>
      </c>
      <c r="AK83">
        <f t="shared" si="25"/>
        <v>38.537062370650425</v>
      </c>
      <c r="AM83">
        <f>IF(NymexData!AC83="",VLOOKUP('Pricing Summary'!AB83,NymexData!$S$12:$U$250,3),VLOOKUP(NymexData!AA83,NymexData!$AA$12:$AC$250,3))</f>
        <v>0.23250000000000001</v>
      </c>
      <c r="AO83" s="370">
        <f>AD83*24*VLOOKUP(AB83,Interest!$X$8:$AC$367,6)</f>
        <v>557.95559617013078</v>
      </c>
    </row>
    <row r="84" spans="28:41" x14ac:dyDescent="0.2">
      <c r="AB84" s="266">
        <f>[4]EnergyCurve!$D106</f>
        <v>39387</v>
      </c>
      <c r="AC84" s="30">
        <f>IF(TradeSum!$L$6=0,VLOOKUP(AB84,TradeSum!$DM$13:$DQ$252,2)+VLOOKUP(AB84,TradeSum!$DU$13:$DY$252,3),VLOOKUP(AB84,TradeSum!$DU$13:$DY$252,2)+VLOOKUP(AB84,TradeSum!$DU$13:$DY$252,3))</f>
        <v>25</v>
      </c>
      <c r="AD84" s="30">
        <f>VLOOKUP(AB84,TradeSum!$DM$13:$DR$252,6)</f>
        <v>30</v>
      </c>
      <c r="AE84" s="30">
        <f>IF(TradeSum!$L$6=0,VLOOKUP(AB84,TradeSum!$DM$13:$DQ$252,2),VLOOKUP(AB84,TradeSum!$DU$13:$DY$252,2))</f>
        <v>21</v>
      </c>
      <c r="AF84" s="274">
        <f>[4]EnergyCurve!$G106</f>
        <v>47.644374673620192</v>
      </c>
      <c r="AG84" s="274">
        <f>[4]EnergyCurve!$Y106</f>
        <v>44.166280114595772</v>
      </c>
      <c r="AH84" s="274">
        <f>[4]EnergyCurve!$AD106</f>
        <v>42.786083861014653</v>
      </c>
      <c r="AI84" s="274">
        <f>[4]EnergyCurve!$L106</f>
        <v>28.708082074487251</v>
      </c>
      <c r="AJ84">
        <f t="shared" si="24"/>
        <v>47.087879544176282</v>
      </c>
      <c r="AK84">
        <f t="shared" si="25"/>
        <v>40.483303089484203</v>
      </c>
      <c r="AM84">
        <f>IF(NymexData!AC84="",VLOOKUP('Pricing Summary'!AB84,NymexData!$S$12:$U$250,3),VLOOKUP(NymexData!AA84,NymexData!$AA$12:$AC$250,3))</f>
        <v>0.23250000000000001</v>
      </c>
      <c r="AO84" s="370">
        <f>AD84*24*VLOOKUP(AB84,Interest!$X$8:$AC$367,6)</f>
        <v>537.24955425261317</v>
      </c>
    </row>
    <row r="85" spans="28:41" x14ac:dyDescent="0.2">
      <c r="AB85" s="266">
        <f>[4]EnergyCurve!$D107</f>
        <v>39417</v>
      </c>
      <c r="AC85" s="30">
        <f>IF(TradeSum!$L$6=0,VLOOKUP(AB85,TradeSum!$DM$13:$DQ$252,2)+VLOOKUP(AB85,TradeSum!$DU$13:$DY$252,3),VLOOKUP(AB85,TradeSum!$DU$13:$DY$252,2)+VLOOKUP(AB85,TradeSum!$DU$13:$DY$252,3))</f>
        <v>25</v>
      </c>
      <c r="AD85" s="30">
        <f>VLOOKUP(AB85,TradeSum!$DM$13:$DR$252,6)</f>
        <v>31</v>
      </c>
      <c r="AE85" s="30">
        <f>IF(TradeSum!$L$6=0,VLOOKUP(AB85,TradeSum!$DM$13:$DQ$252,2),VLOOKUP(AB85,TradeSum!$DU$13:$DY$252,2))</f>
        <v>20</v>
      </c>
      <c r="AF85" s="274">
        <f>[4]EnergyCurve!$G107</f>
        <v>49.604587568366121</v>
      </c>
      <c r="AG85" s="274">
        <f>[4]EnergyCurve!$Y107</f>
        <v>45.983395196631392</v>
      </c>
      <c r="AH85" s="274">
        <f>[4]EnergyCurve!$AD107</f>
        <v>44.546414096736662</v>
      </c>
      <c r="AI85" s="274">
        <f>[4]EnergyCurve!$L107</f>
        <v>29.889206877810405</v>
      </c>
      <c r="AJ85">
        <f t="shared" si="24"/>
        <v>48.880349094019174</v>
      </c>
      <c r="AK85">
        <f t="shared" si="25"/>
        <v>41.990750936278722</v>
      </c>
      <c r="AM85">
        <f>IF(NymexData!AC85="",VLOOKUP('Pricing Summary'!AB85,NymexData!$S$12:$U$250,3),VLOOKUP(NymexData!AA85,NymexData!$AA$12:$AC$250,3))</f>
        <v>0.23250000000000001</v>
      </c>
      <c r="AO85" s="370">
        <f>AD85*24*VLOOKUP(AB85,Interest!$X$8:$AC$367,6)</f>
        <v>552.30506201139144</v>
      </c>
    </row>
    <row r="86" spans="28:41" x14ac:dyDescent="0.2">
      <c r="AB86" s="266">
        <f>[4]EnergyCurve!$D108</f>
        <v>39448</v>
      </c>
      <c r="AC86" s="30">
        <f>IF(TradeSum!$L$6=0,VLOOKUP(AB86,TradeSum!$DM$13:$DQ$252,2)+VLOOKUP(AB86,TradeSum!$DU$13:$DY$252,3),VLOOKUP(AB86,TradeSum!$DU$13:$DY$252,2)+VLOOKUP(AB86,TradeSum!$DU$13:$DY$252,3))</f>
        <v>26</v>
      </c>
      <c r="AD86" s="30">
        <f>VLOOKUP(AB86,TradeSum!$DM$13:$DR$252,6)</f>
        <v>31</v>
      </c>
      <c r="AE86" s="30">
        <f>IF(TradeSum!$L$6=0,VLOOKUP(AB86,TradeSum!$DM$13:$DQ$252,2),VLOOKUP(AB86,TradeSum!$DU$13:$DY$252,2))</f>
        <v>22</v>
      </c>
      <c r="AF86" s="274">
        <f>[4]EnergyCurve!$G108</f>
        <v>50.474339169771866</v>
      </c>
      <c r="AG86" s="274">
        <f>[4]EnergyCurve!$Y108</f>
        <v>46.789653923311114</v>
      </c>
      <c r="AH86" s="274">
        <f>[4]EnergyCurve!$AD108</f>
        <v>45.327477238207642</v>
      </c>
      <c r="AI86" s="274">
        <f>[4]EnergyCurve!$L108</f>
        <v>30.413275050152226</v>
      </c>
      <c r="AJ86">
        <f t="shared" si="24"/>
        <v>49.907464516470213</v>
      </c>
      <c r="AK86">
        <f t="shared" si="25"/>
        <v>42.916929610680064</v>
      </c>
      <c r="AM86">
        <f>IF(NymexData!AC86="",VLOOKUP('Pricing Summary'!AB86,NymexData!$S$12:$U$250,3),VLOOKUP(NymexData!AA86,NymexData!$AA$12:$AC$250,3))</f>
        <v>0.23250000000000001</v>
      </c>
      <c r="AO86" s="370">
        <f>AD86*24*VLOOKUP(AB86,Interest!$X$8:$AC$367,6)</f>
        <v>549.43047374810283</v>
      </c>
    </row>
    <row r="87" spans="28:41" x14ac:dyDescent="0.2">
      <c r="AB87" s="266">
        <f>[4]EnergyCurve!$D109</f>
        <v>39479</v>
      </c>
      <c r="AC87" s="30">
        <f>IF(TradeSum!$L$6=0,VLOOKUP(AB87,TradeSum!$DM$13:$DQ$252,2)+VLOOKUP(AB87,TradeSum!$DU$13:$DY$252,3),VLOOKUP(AB87,TradeSum!$DU$13:$DY$252,2)+VLOOKUP(AB87,TradeSum!$DU$13:$DY$252,3))</f>
        <v>25</v>
      </c>
      <c r="AD87" s="30">
        <f>VLOOKUP(AB87,TradeSum!$DM$13:$DR$252,6)</f>
        <v>29</v>
      </c>
      <c r="AE87" s="30">
        <f>IF(TradeSum!$L$6=0,VLOOKUP(AB87,TradeSum!$DM$13:$DQ$252,2),VLOOKUP(AB87,TradeSum!$DU$13:$DY$252,2))</f>
        <v>21</v>
      </c>
      <c r="AF87" s="274">
        <f>[4]EnergyCurve!$G109</f>
        <v>49.337683800711602</v>
      </c>
      <c r="AG87" s="274">
        <f>[4]EnergyCurve!$Y109</f>
        <v>45.73597571329001</v>
      </c>
      <c r="AH87" s="274">
        <f>[4]EnergyCurve!$AD109</f>
        <v>44.3067264722497</v>
      </c>
      <c r="AI87" s="274">
        <f>[4]EnergyCurve!$L109</f>
        <v>29.728384213638506</v>
      </c>
      <c r="AJ87">
        <f t="shared" si="24"/>
        <v>48.761410506724154</v>
      </c>
      <c r="AK87">
        <f t="shared" si="25"/>
        <v>42.007442290916345</v>
      </c>
      <c r="AM87">
        <f>IF(NymexData!AC87="",VLOOKUP('Pricing Summary'!AB87,NymexData!$S$12:$U$250,3),VLOOKUP(NymexData!AA87,NymexData!$AA$12:$AC$250,3))</f>
        <v>0.23250000000000001</v>
      </c>
      <c r="AO87" s="370">
        <f>AD87*24*VLOOKUP(AB87,Interest!$X$8:$AC$367,6)</f>
        <v>511.42821614303216</v>
      </c>
    </row>
    <row r="88" spans="28:41" x14ac:dyDescent="0.2">
      <c r="AB88" s="266">
        <f>[4]EnergyCurve!$D110</f>
        <v>39508</v>
      </c>
      <c r="AC88" s="30">
        <f>IF(TradeSum!$L$6=0,VLOOKUP(AB88,TradeSum!$DM$13:$DQ$252,2)+VLOOKUP(AB88,TradeSum!$DU$13:$DY$252,3),VLOOKUP(AB88,TradeSum!$DU$13:$DY$252,2)+VLOOKUP(AB88,TradeSum!$DU$13:$DY$252,3))</f>
        <v>26</v>
      </c>
      <c r="AD88" s="30">
        <f>VLOOKUP(AB88,TradeSum!$DM$13:$DR$252,6)</f>
        <v>31</v>
      </c>
      <c r="AE88" s="30">
        <f>IF(TradeSum!$L$6=0,VLOOKUP(AB88,TradeSum!$DM$13:$DQ$252,2),VLOOKUP(AB88,TradeSum!$DU$13:$DY$252,2))</f>
        <v>21</v>
      </c>
      <c r="AF88" s="274">
        <f>[4]EnergyCurve!$G110</f>
        <v>47.543098163732459</v>
      </c>
      <c r="AG88" s="274">
        <f>[4]EnergyCurve!$Y110</f>
        <v>44.072396907283853</v>
      </c>
      <c r="AH88" s="274">
        <f>[4]EnergyCurve!$AD110</f>
        <v>42.695134503931236</v>
      </c>
      <c r="AI88" s="274">
        <f>[4]EnergyCurve!$L110</f>
        <v>28.647057989734506</v>
      </c>
      <c r="AJ88">
        <f t="shared" si="24"/>
        <v>46.875655614415415</v>
      </c>
      <c r="AK88">
        <f t="shared" si="25"/>
        <v>40.349938007211655</v>
      </c>
      <c r="AM88">
        <f>IF(NymexData!AC88="",VLOOKUP('Pricing Summary'!AB88,NymexData!$S$12:$U$250,3),VLOOKUP(NymexData!AA88,NymexData!$AA$12:$AC$250,3))</f>
        <v>0.2225</v>
      </c>
      <c r="AO88" s="370">
        <f>AD88*24*VLOOKUP(AB88,Interest!$X$8:$AC$367,6)</f>
        <v>543.86187442432674</v>
      </c>
    </row>
    <row r="89" spans="28:41" x14ac:dyDescent="0.2">
      <c r="AB89" s="266">
        <f>[4]EnergyCurve!$D111</f>
        <v>39539</v>
      </c>
      <c r="AC89" s="30">
        <f>IF(TradeSum!$L$6=0,VLOOKUP(AB89,TradeSum!$DM$13:$DQ$252,2)+VLOOKUP(AB89,TradeSum!$DU$13:$DY$252,3),VLOOKUP(AB89,TradeSum!$DU$13:$DY$252,2)+VLOOKUP(AB89,TradeSum!$DU$13:$DY$252,3))</f>
        <v>26</v>
      </c>
      <c r="AD89" s="30">
        <f>VLOOKUP(AB89,TradeSum!$DM$13:$DR$252,6)</f>
        <v>30</v>
      </c>
      <c r="AE89" s="30">
        <f>IF(TradeSum!$L$6=0,VLOOKUP(AB89,TradeSum!$DM$13:$DQ$252,2),VLOOKUP(AB89,TradeSum!$DU$13:$DY$252,2))</f>
        <v>22</v>
      </c>
      <c r="AF89" s="274">
        <f>[4]EnergyCurve!$G111</f>
        <v>44.84534836940221</v>
      </c>
      <c r="AG89" s="274">
        <f>[4]EnergyCurve!$Y111</f>
        <v>41.571585973953376</v>
      </c>
      <c r="AH89" s="274">
        <f>[4]EnergyCurve!$AD111</f>
        <v>40.27247391226733</v>
      </c>
      <c r="AI89" s="274">
        <f>[4]EnergyCurve!$L111</f>
        <v>27.021530883069694</v>
      </c>
      <c r="AJ89">
        <f t="shared" si="24"/>
        <v>44.341692616256232</v>
      </c>
      <c r="AK89">
        <f t="shared" si="25"/>
        <v>38.206597042617268</v>
      </c>
      <c r="AM89">
        <f>IF(NymexData!AC89="",VLOOKUP('Pricing Summary'!AB89,NymexData!$S$12:$U$250,3),VLOOKUP(NymexData!AA89,NymexData!$AA$12:$AC$250,3))</f>
        <v>0.2225</v>
      </c>
      <c r="AO89" s="370">
        <f>AD89*24*VLOOKUP(AB89,Interest!$X$8:$AC$367,6)</f>
        <v>523.60150386049804</v>
      </c>
    </row>
    <row r="90" spans="28:41" x14ac:dyDescent="0.2">
      <c r="AB90" s="266">
        <f>[4]EnergyCurve!$D112</f>
        <v>39569</v>
      </c>
      <c r="AC90" s="30">
        <f>IF(TradeSum!$L$6=0,VLOOKUP(AB90,TradeSum!$DM$13:$DQ$252,2)+VLOOKUP(AB90,TradeSum!$DU$13:$DY$252,3),VLOOKUP(AB90,TradeSum!$DU$13:$DY$252,2)+VLOOKUP(AB90,TradeSum!$DU$13:$DY$252,3))</f>
        <v>26</v>
      </c>
      <c r="AD90" s="30">
        <f>VLOOKUP(AB90,TradeSum!$DM$13:$DR$252,6)</f>
        <v>31</v>
      </c>
      <c r="AE90" s="30">
        <f>IF(TradeSum!$L$6=0,VLOOKUP(AB90,TradeSum!$DM$13:$DQ$252,2),VLOOKUP(AB90,TradeSum!$DU$13:$DY$252,2))</f>
        <v>21</v>
      </c>
      <c r="AF90" s="274">
        <f>[4]EnergyCurve!$G112</f>
        <v>44.908546563039614</v>
      </c>
      <c r="AG90" s="274">
        <f>[4]EnergyCurve!$Y112</f>
        <v>41.630170626224434</v>
      </c>
      <c r="AH90" s="274">
        <f>[4]EnergyCurve!$AD112</f>
        <v>40.329227794154917</v>
      </c>
      <c r="AI90" s="274">
        <f>[4]EnergyCurve!$L112</f>
        <v>27.059610907045883</v>
      </c>
      <c r="AJ90">
        <f t="shared" si="24"/>
        <v>44.278089652113621</v>
      </c>
      <c r="AK90">
        <f t="shared" si="25"/>
        <v>38.113987935159997</v>
      </c>
      <c r="AM90">
        <f>IF(NymexData!AC90="",VLOOKUP('Pricing Summary'!AB90,NymexData!$S$12:$U$250,3),VLOOKUP(NymexData!AA90,NymexData!$AA$12:$AC$250,3))</f>
        <v>0.2225</v>
      </c>
      <c r="AO90" s="370">
        <f>AD90*24*VLOOKUP(AB90,Interest!$X$8:$AC$367,6)</f>
        <v>538.19503947673968</v>
      </c>
    </row>
    <row r="91" spans="28:41" x14ac:dyDescent="0.2">
      <c r="AB91" s="266">
        <f>[4]EnergyCurve!$D113</f>
        <v>39600</v>
      </c>
      <c r="AC91" s="30">
        <f>IF(TradeSum!$L$6=0,VLOOKUP(AB91,TradeSum!$DM$13:$DQ$252,2)+VLOOKUP(AB91,TradeSum!$DU$13:$DY$252,3),VLOOKUP(AB91,TradeSum!$DU$13:$DY$252,2)+VLOOKUP(AB91,TradeSum!$DU$13:$DY$252,3))</f>
        <v>25</v>
      </c>
      <c r="AD91" s="30">
        <f>VLOOKUP(AB91,TradeSum!$DM$13:$DR$252,6)</f>
        <v>30</v>
      </c>
      <c r="AE91" s="30">
        <f>IF(TradeSum!$L$6=0,VLOOKUP(AB91,TradeSum!$DM$13:$DQ$252,2),VLOOKUP(AB91,TradeSum!$DU$13:$DY$252,2))</f>
        <v>21</v>
      </c>
      <c r="AF91" s="274">
        <f>[4]EnergyCurve!$G113</f>
        <v>45.397343106948561</v>
      </c>
      <c r="AG91" s="274">
        <f>[4]EnergyCurve!$Y113</f>
        <v>42.083284456035742</v>
      </c>
      <c r="AH91" s="274">
        <f>[4]EnergyCurve!$AD113</f>
        <v>40.768181816784626</v>
      </c>
      <c r="AI91" s="274">
        <f>[4]EnergyCurve!$L113</f>
        <v>27.354134896423233</v>
      </c>
      <c r="AJ91">
        <f t="shared" si="24"/>
        <v>44.867093722802508</v>
      </c>
      <c r="AK91">
        <f t="shared" si="25"/>
        <v>38.574006124451877</v>
      </c>
      <c r="AM91">
        <f>IF(NymexData!AC91="",VLOOKUP('Pricing Summary'!AB91,NymexData!$S$12:$U$250,3),VLOOKUP(NymexData!AA91,NymexData!$AA$12:$AC$250,3))</f>
        <v>0.2225</v>
      </c>
      <c r="AO91" s="370">
        <f>AD91*24*VLOOKUP(AB91,Interest!$X$8:$AC$367,6)</f>
        <v>518.11507174734015</v>
      </c>
    </row>
    <row r="92" spans="28:41" x14ac:dyDescent="0.2">
      <c r="AB92" s="266">
        <f>[4]EnergyCurve!$D114</f>
        <v>39630</v>
      </c>
      <c r="AC92" s="30">
        <f>IF(TradeSum!$L$6=0,VLOOKUP(AB92,TradeSum!$DM$13:$DQ$252,2)+VLOOKUP(AB92,TradeSum!$DU$13:$DY$252,3),VLOOKUP(AB92,TradeSum!$DU$13:$DY$252,2)+VLOOKUP(AB92,TradeSum!$DU$13:$DY$252,3))</f>
        <v>26</v>
      </c>
      <c r="AD92" s="30">
        <f>VLOOKUP(AB92,TradeSum!$DM$13:$DR$252,6)</f>
        <v>31</v>
      </c>
      <c r="AE92" s="30">
        <f>IF(TradeSum!$L$6=0,VLOOKUP(AB92,TradeSum!$DM$13:$DQ$252,2),VLOOKUP(AB92,TradeSum!$DU$13:$DY$252,2))</f>
        <v>22</v>
      </c>
      <c r="AF92" s="274">
        <f>[4]EnergyCurve!$G114</f>
        <v>45.976382817270192</v>
      </c>
      <c r="AG92" s="274">
        <f>[4]EnergyCurve!$Y114</f>
        <v>42.620053596542469</v>
      </c>
      <c r="AH92" s="274">
        <f>[4]EnergyCurve!$AD114</f>
        <v>41.288176921650518</v>
      </c>
      <c r="AI92" s="274">
        <f>[4]EnergyCurve!$L114</f>
        <v>27.703034837752607</v>
      </c>
      <c r="AJ92">
        <f t="shared" si="24"/>
        <v>45.460024475619775</v>
      </c>
      <c r="AK92">
        <f t="shared" si="25"/>
        <v>39.092442171172735</v>
      </c>
      <c r="AM92">
        <f>IF(NymexData!AC92="",VLOOKUP('Pricing Summary'!AB92,NymexData!$S$12:$U$250,3),VLOOKUP(NymexData!AA92,NymexData!$AA$12:$AC$250,3))</f>
        <v>0.22</v>
      </c>
      <c r="AO92" s="370">
        <f>AD92*24*VLOOKUP(AB92,Interest!$X$8:$AC$367,6)</f>
        <v>532.5241366528295</v>
      </c>
    </row>
    <row r="93" spans="28:41" x14ac:dyDescent="0.2">
      <c r="AB93" s="266">
        <f>[4]EnergyCurve!$D115</f>
        <v>39661</v>
      </c>
      <c r="AC93" s="30">
        <f>IF(TradeSum!$L$6=0,VLOOKUP(AB93,TradeSum!$DM$13:$DQ$252,2)+VLOOKUP(AB93,TradeSum!$DU$13:$DY$252,3),VLOOKUP(AB93,TradeSum!$DU$13:$DY$252,2)+VLOOKUP(AB93,TradeSum!$DU$13:$DY$252,3))</f>
        <v>26</v>
      </c>
      <c r="AD93" s="30">
        <f>VLOOKUP(AB93,TradeSum!$DM$13:$DR$252,6)</f>
        <v>31</v>
      </c>
      <c r="AE93" s="30">
        <f>IF(TradeSum!$L$6=0,VLOOKUP(AB93,TradeSum!$DM$13:$DQ$252,2),VLOOKUP(AB93,TradeSum!$DU$13:$DY$252,2))</f>
        <v>21</v>
      </c>
      <c r="AF93" s="274">
        <f>[4]EnergyCurve!$G115</f>
        <v>46.464958474450846</v>
      </c>
      <c r="AG93" s="274">
        <f>[4]EnergyCurve!$Y115</f>
        <v>43.072962664612596</v>
      </c>
      <c r="AH93" s="274">
        <f>[4]EnergyCurve!$AD115</f>
        <v>41.726932581343455</v>
      </c>
      <c r="AI93" s="274">
        <f>[4]EnergyCurve!$L115</f>
        <v>27.997425731998188</v>
      </c>
      <c r="AJ93">
        <f t="shared" si="24"/>
        <v>45.812651587943492</v>
      </c>
      <c r="AK93">
        <f t="shared" si="25"/>
        <v>39.434918344929464</v>
      </c>
      <c r="AM93">
        <f>IF(NymexData!AC93="",VLOOKUP('Pricing Summary'!AB93,NymexData!$S$12:$U$250,3),VLOOKUP(NymexData!AA93,NymexData!$AA$12:$AC$250,3))</f>
        <v>0.22</v>
      </c>
      <c r="AO93" s="370">
        <f>AD93*24*VLOOKUP(AB93,Interest!$X$8:$AC$367,6)</f>
        <v>529.64109149823571</v>
      </c>
    </row>
    <row r="94" spans="28:41" x14ac:dyDescent="0.2">
      <c r="AB94" s="266">
        <f>[4]EnergyCurve!$D116</f>
        <v>39692</v>
      </c>
      <c r="AC94" s="30">
        <f>IF(TradeSum!$L$6=0,VLOOKUP(AB94,TradeSum!$DM$13:$DQ$252,2)+VLOOKUP(AB94,TradeSum!$DU$13:$DY$252,3),VLOOKUP(AB94,TradeSum!$DU$13:$DY$252,2)+VLOOKUP(AB94,TradeSum!$DU$13:$DY$252,3))</f>
        <v>25</v>
      </c>
      <c r="AD94" s="30">
        <f>VLOOKUP(AB94,TradeSum!$DM$13:$DR$252,6)</f>
        <v>30</v>
      </c>
      <c r="AE94" s="30">
        <f>IF(TradeSum!$L$6=0,VLOOKUP(AB94,TradeSum!$DM$13:$DQ$252,2),VLOOKUP(AB94,TradeSum!$DU$13:$DY$252,2))</f>
        <v>21</v>
      </c>
      <c r="AF94" s="274">
        <f>[4]EnergyCurve!$G116</f>
        <v>46.385851115885245</v>
      </c>
      <c r="AG94" s="274">
        <f>[4]EnergyCurve!$Y116</f>
        <v>42.999630234887825</v>
      </c>
      <c r="AH94" s="274">
        <f>[4]EnergyCurve!$AD116</f>
        <v>41.655891790047583</v>
      </c>
      <c r="AI94" s="274">
        <f>[4]EnergyCurve!$L116</f>
        <v>27.949759652677088</v>
      </c>
      <c r="AJ94">
        <f t="shared" si="24"/>
        <v>45.844055774925657</v>
      </c>
      <c r="AK94">
        <f t="shared" si="25"/>
        <v>39.413938846967461</v>
      </c>
      <c r="AM94">
        <f>IF(NymexData!AC94="",VLOOKUP('Pricing Summary'!AB94,NymexData!$S$12:$U$250,3),VLOOKUP(NymexData!AA94,NymexData!$AA$12:$AC$250,3))</f>
        <v>0.22</v>
      </c>
      <c r="AO94" s="370">
        <f>AD94*24*VLOOKUP(AB94,Interest!$X$8:$AC$367,6)</f>
        <v>509.83471931431825</v>
      </c>
    </row>
    <row r="95" spans="28:41" x14ac:dyDescent="0.2">
      <c r="AB95" s="266">
        <f>[4]EnergyCurve!$D117</f>
        <v>39722</v>
      </c>
      <c r="AC95" s="30">
        <f>IF(TradeSum!$L$6=0,VLOOKUP(AB95,TradeSum!$DM$13:$DQ$252,2)+VLOOKUP(AB95,TradeSum!$DU$13:$DY$252,3),VLOOKUP(AB95,TradeSum!$DU$13:$DY$252,2)+VLOOKUP(AB95,TradeSum!$DU$13:$DY$252,3))</f>
        <v>27</v>
      </c>
      <c r="AD95" s="30">
        <f>VLOOKUP(AB95,TradeSum!$DM$13:$DR$252,6)</f>
        <v>31</v>
      </c>
      <c r="AE95" s="30">
        <f>IF(TradeSum!$L$6=0,VLOOKUP(AB95,TradeSum!$DM$13:$DQ$252,2),VLOOKUP(AB95,TradeSum!$DU$13:$DY$252,2))</f>
        <v>23</v>
      </c>
      <c r="AF95" s="274">
        <f>[4]EnergyCurve!$G117</f>
        <v>46.38412248602917</v>
      </c>
      <c r="AG95" s="274">
        <f>[4]EnergyCurve!$Y117</f>
        <v>42.998027797014288</v>
      </c>
      <c r="AH95" s="274">
        <f>[4]EnergyCurve!$AD117</f>
        <v>41.654339428357588</v>
      </c>
      <c r="AI95" s="274">
        <f>[4]EnergyCurve!$L117</f>
        <v>27.948718068059289</v>
      </c>
      <c r="AJ95">
        <f t="shared" si="24"/>
        <v>45.882478828397332</v>
      </c>
      <c r="AK95">
        <f t="shared" si="25"/>
        <v>39.540847658818862</v>
      </c>
      <c r="AM95">
        <f>IF(NymexData!AC95="",VLOOKUP('Pricing Summary'!AB95,NymexData!$S$12:$U$250,3),VLOOKUP(NymexData!AA95,NymexData!$AA$12:$AC$250,3))</f>
        <v>0.22</v>
      </c>
      <c r="AO95" s="370">
        <f>AD95*24*VLOOKUP(AB95,Interest!$X$8:$AC$367,6)</f>
        <v>523.96669026272946</v>
      </c>
    </row>
    <row r="96" spans="28:41" x14ac:dyDescent="0.2">
      <c r="AB96" s="266">
        <f>[4]EnergyCurve!$D118</f>
        <v>39753</v>
      </c>
      <c r="AC96" s="30">
        <f>IF(TradeSum!$L$6=0,VLOOKUP(AB96,TradeSum!$DM$13:$DQ$252,2)+VLOOKUP(AB96,TradeSum!$DU$13:$DY$252,3),VLOOKUP(AB96,TradeSum!$DU$13:$DY$252,2)+VLOOKUP(AB96,TradeSum!$DU$13:$DY$252,3))</f>
        <v>24</v>
      </c>
      <c r="AD96" s="30">
        <f>VLOOKUP(AB96,TradeSum!$DM$13:$DR$252,6)</f>
        <v>30</v>
      </c>
      <c r="AE96" s="30">
        <f>IF(TradeSum!$L$6=0,VLOOKUP(AB96,TradeSum!$DM$13:$DQ$252,2),VLOOKUP(AB96,TradeSum!$DU$13:$DY$252,2))</f>
        <v>19</v>
      </c>
      <c r="AF96" s="274">
        <f>[4]EnergyCurve!$G118</f>
        <v>48.629161280915731</v>
      </c>
      <c r="AG96" s="274">
        <f>[4]EnergyCurve!$Y118</f>
        <v>45.079176158438678</v>
      </c>
      <c r="AH96" s="274">
        <f>[4]EnergyCurve!$AD118</f>
        <v>43.670451903487468</v>
      </c>
      <c r="AI96" s="274">
        <f>[4]EnergyCurve!$L118</f>
        <v>29.301464502985141</v>
      </c>
      <c r="AJ96">
        <f t="shared" si="24"/>
        <v>47.889581047066343</v>
      </c>
      <c r="AK96">
        <f t="shared" si="25"/>
        <v>41.130991646562094</v>
      </c>
      <c r="AM96">
        <f>IF(NymexData!AC96="",VLOOKUP('Pricing Summary'!AB96,NymexData!$S$12:$U$250,3),VLOOKUP(NymexData!AA96,NymexData!$AA$12:$AC$250,3))</f>
        <v>0.22</v>
      </c>
      <c r="AO96" s="370">
        <f>AD96*24*VLOOKUP(AB96,Interest!$X$8:$AC$367,6)</f>
        <v>504.34265071288138</v>
      </c>
    </row>
    <row r="97" spans="28:41" x14ac:dyDescent="0.2">
      <c r="AB97" s="266">
        <f>[4]EnergyCurve!$D119</f>
        <v>39783</v>
      </c>
      <c r="AC97" s="30">
        <f>IF(TradeSum!$L$6=0,VLOOKUP(AB97,TradeSum!$DM$13:$DQ$252,2)+VLOOKUP(AB97,TradeSum!$DU$13:$DY$252,3),VLOOKUP(AB97,TradeSum!$DU$13:$DY$252,2)+VLOOKUP(AB97,TradeSum!$DU$13:$DY$252,3))</f>
        <v>26</v>
      </c>
      <c r="AD97" s="30">
        <f>VLOOKUP(AB97,TradeSum!$DM$13:$DR$252,6)</f>
        <v>31</v>
      </c>
      <c r="AE97" s="30">
        <f>IF(TradeSum!$L$6=0,VLOOKUP(AB97,TradeSum!$DM$13:$DQ$252,2),VLOOKUP(AB97,TradeSum!$DU$13:$DY$252,2))</f>
        <v>22</v>
      </c>
      <c r="AF97" s="274">
        <f>[4]EnergyCurve!$G119</f>
        <v>50.615155329601322</v>
      </c>
      <c r="AG97" s="274">
        <f>[4]EnergyCurve!$Y119</f>
        <v>46.920190340302497</v>
      </c>
      <c r="AH97" s="274">
        <f>[4]EnergyCurve!$AD119</f>
        <v>45.453934392168044</v>
      </c>
      <c r="AI97" s="274">
        <f>[4]EnergyCurve!$L119</f>
        <v>30.498123721196624</v>
      </c>
      <c r="AJ97">
        <f t="shared" si="24"/>
        <v>50.046699177401507</v>
      </c>
      <c r="AK97">
        <f t="shared" si="25"/>
        <v>43.036661682834989</v>
      </c>
      <c r="AM97">
        <f>IF(NymexData!AC97="",VLOOKUP('Pricing Summary'!AB97,NymexData!$S$12:$U$250,3),VLOOKUP(NymexData!AA97,NymexData!$AA$12:$AC$250,3))</f>
        <v>0.2225</v>
      </c>
      <c r="AO97" s="370">
        <f>AD97*24*VLOOKUP(AB97,Interest!$X$8:$AC$367,6)</f>
        <v>518.29169641002966</v>
      </c>
    </row>
    <row r="98" spans="28:41" x14ac:dyDescent="0.2">
      <c r="AB98" s="266">
        <f>[4]EnergyCurve!$D120</f>
        <v>39814</v>
      </c>
      <c r="AC98" s="30">
        <f>IF(TradeSum!$L$6=0,VLOOKUP(AB98,TradeSum!$DM$13:$DQ$252,2)+VLOOKUP(AB98,TradeSum!$DU$13:$DY$252,3),VLOOKUP(AB98,TradeSum!$DU$13:$DY$252,2)+VLOOKUP(AB98,TradeSum!$DU$13:$DY$252,3))</f>
        <v>26</v>
      </c>
      <c r="AD98" s="30">
        <f>VLOOKUP(AB98,TradeSum!$DM$13:$DR$252,6)</f>
        <v>31</v>
      </c>
      <c r="AE98" s="30">
        <f>IF(TradeSum!$L$6=0,VLOOKUP(AB98,TradeSum!$DM$13:$DQ$252,2),VLOOKUP(AB98,TradeSum!$DU$13:$DY$252,2))</f>
        <v>21</v>
      </c>
      <c r="AF98" s="274">
        <f>[4]EnergyCurve!$G120</f>
        <v>51.545798432379236</v>
      </c>
      <c r="AG98" s="274">
        <f>[4]EnergyCurve!$Y120</f>
        <v>47.782895418196276</v>
      </c>
      <c r="AH98" s="274">
        <f>[4]EnergyCurve!$AD120</f>
        <v>46.289679936377645</v>
      </c>
      <c r="AI98" s="274">
        <f>[4]EnergyCurve!$L120</f>
        <v>31.058882021827579</v>
      </c>
      <c r="AJ98">
        <f t="shared" si="24"/>
        <v>50.82216323734405</v>
      </c>
      <c r="AK98">
        <f t="shared" si="25"/>
        <v>43.747039036369053</v>
      </c>
      <c r="AM98">
        <f>IF(NymexData!AC98="",VLOOKUP('Pricing Summary'!AB98,NymexData!$S$12:$U$250,3),VLOOKUP(NymexData!AA98,NymexData!$AA$12:$AC$250,3))</f>
        <v>0.22500000000000001</v>
      </c>
      <c r="AO98" s="370">
        <f>AD98*24*VLOOKUP(AB98,Interest!$X$8:$AC$367,6)</f>
        <v>515.40789221342072</v>
      </c>
    </row>
    <row r="99" spans="28:41" x14ac:dyDescent="0.2">
      <c r="AB99" s="266">
        <f>[4]EnergyCurve!$D121</f>
        <v>39845</v>
      </c>
      <c r="AC99" s="30">
        <f>IF(TradeSum!$L$6=0,VLOOKUP(AB99,TradeSum!$DM$13:$DQ$252,2)+VLOOKUP(AB99,TradeSum!$DU$13:$DY$252,3),VLOOKUP(AB99,TradeSum!$DU$13:$DY$252,2)+VLOOKUP(AB99,TradeSum!$DU$13:$DY$252,3))</f>
        <v>24</v>
      </c>
      <c r="AD99" s="30">
        <f>VLOOKUP(AB99,TradeSum!$DM$13:$DR$252,6)</f>
        <v>28</v>
      </c>
      <c r="AE99" s="30">
        <f>IF(TradeSum!$L$6=0,VLOOKUP(AB99,TradeSum!$DM$13:$DQ$252,2),VLOOKUP(AB99,TradeSum!$DU$13:$DY$252,2))</f>
        <v>20</v>
      </c>
      <c r="AF99" s="274">
        <f>[4]EnergyCurve!$G121</f>
        <v>50.436777148242314</v>
      </c>
      <c r="AG99" s="274">
        <f>[4]EnergyCurve!$Y121</f>
        <v>46.754833972878153</v>
      </c>
      <c r="AH99" s="274">
        <f>[4]EnergyCurve!$AD121</f>
        <v>45.293745411225707</v>
      </c>
      <c r="AI99" s="274">
        <f>[4]EnergyCurve!$L121</f>
        <v>30.3906420823708</v>
      </c>
      <c r="AJ99">
        <f t="shared" si="24"/>
        <v>49.823119952348286</v>
      </c>
      <c r="AK99">
        <f t="shared" si="25"/>
        <v>42.914258325106019</v>
      </c>
      <c r="AM99">
        <f>IF(NymexData!AC99="",VLOOKUP('Pricing Summary'!AB99,NymexData!$S$12:$U$250,3),VLOOKUP(NymexData!AA99,NymexData!$AA$12:$AC$250,3))</f>
        <v>0.22</v>
      </c>
      <c r="AO99" s="370">
        <f>AD99*24*VLOOKUP(AB99,Interest!$X$8:$AC$367,6)</f>
        <v>463.11770140389797</v>
      </c>
    </row>
    <row r="100" spans="28:41" x14ac:dyDescent="0.2">
      <c r="AB100" s="266">
        <f>[4]EnergyCurve!$D122</f>
        <v>39873</v>
      </c>
      <c r="AC100" s="30">
        <f>IF(TradeSum!$L$6=0,VLOOKUP(AB100,TradeSum!$DM$13:$DQ$252,2)+VLOOKUP(AB100,TradeSum!$DU$13:$DY$252,3),VLOOKUP(AB100,TradeSum!$DU$13:$DY$252,2)+VLOOKUP(AB100,TradeSum!$DU$13:$DY$252,3))</f>
        <v>26</v>
      </c>
      <c r="AD100" s="30">
        <f>VLOOKUP(AB100,TradeSum!$DM$13:$DR$252,6)</f>
        <v>31</v>
      </c>
      <c r="AE100" s="30">
        <f>IF(TradeSum!$L$6=0,VLOOKUP(AB100,TradeSum!$DM$13:$DQ$252,2),VLOOKUP(AB100,TradeSum!$DU$13:$DY$252,2))</f>
        <v>22</v>
      </c>
      <c r="AF100" s="274">
        <f>[4]EnergyCurve!$G122</f>
        <v>48.66524101593523</v>
      </c>
      <c r="AG100" s="274">
        <f>[4]EnergyCurve!$Y122</f>
        <v>45.112622030994416</v>
      </c>
      <c r="AH100" s="274">
        <f>[4]EnergyCurve!$AD122</f>
        <v>43.702852592525844</v>
      </c>
      <c r="AI100" s="274">
        <f>[4]EnergyCurve!$L122</f>
        <v>29.32320432014637</v>
      </c>
      <c r="AJ100">
        <f t="shared" si="24"/>
        <v>48.118684249021264</v>
      </c>
      <c r="AK100">
        <f t="shared" si="25"/>
        <v>41.378703664504314</v>
      </c>
      <c r="AM100">
        <f>IF(NymexData!AC100="",VLOOKUP('Pricing Summary'!AB100,NymexData!$S$12:$U$250,3),VLOOKUP(NymexData!AA100,NymexData!$AA$12:$AC$250,3))</f>
        <v>0.20499999999999999</v>
      </c>
      <c r="AO100" s="370">
        <f>AD100*24*VLOOKUP(AB100,Interest!$X$8:$AC$367,6)</f>
        <v>509.92054445846787</v>
      </c>
    </row>
    <row r="101" spans="28:41" x14ac:dyDescent="0.2">
      <c r="AB101" s="266">
        <f>[4]EnergyCurve!$D123</f>
        <v>39904</v>
      </c>
      <c r="AC101" s="30">
        <f>IF(TradeSum!$L$6=0,VLOOKUP(AB101,TradeSum!$DM$13:$DQ$252,2)+VLOOKUP(AB101,TradeSum!$DU$13:$DY$252,3),VLOOKUP(AB101,TradeSum!$DU$13:$DY$252,2)+VLOOKUP(AB101,TradeSum!$DU$13:$DY$252,3))</f>
        <v>26</v>
      </c>
      <c r="AD101" s="30">
        <f>VLOOKUP(AB101,TradeSum!$DM$13:$DR$252,6)</f>
        <v>30</v>
      </c>
      <c r="AE101" s="30">
        <f>IF(TradeSum!$L$6=0,VLOOKUP(AB101,TradeSum!$DM$13:$DQ$252,2),VLOOKUP(AB101,TradeSum!$DU$13:$DY$252,2))</f>
        <v>22</v>
      </c>
      <c r="AF101" s="274">
        <f>[4]EnergyCurve!$G123</f>
        <v>45.536984414160493</v>
      </c>
      <c r="AG101" s="274">
        <f>[4]EnergyCurve!$Y123</f>
        <v>42.212731786012043</v>
      </c>
      <c r="AH101" s="274">
        <f>[4]EnergyCurve!$AD123</f>
        <v>40.893583917699168</v>
      </c>
      <c r="AI101" s="274">
        <f>[4]EnergyCurve!$L123</f>
        <v>27.438275660907827</v>
      </c>
      <c r="AJ101">
        <f t="shared" si="24"/>
        <v>45.025560932906885</v>
      </c>
      <c r="AK101">
        <f t="shared" si="25"/>
        <v>38.79584566311096</v>
      </c>
      <c r="AM101">
        <f>IF(NymexData!AC101="",VLOOKUP('Pricing Summary'!AB101,NymexData!$S$12:$U$250,3),VLOOKUP(NymexData!AA101,NymexData!$AA$12:$AC$250,3))</f>
        <v>0.19500000000000001</v>
      </c>
      <c r="AO101" s="370">
        <f>AD101*24*VLOOKUP(AB101,Interest!$X$8:$AC$367,6)</f>
        <v>490.75066424783461</v>
      </c>
    </row>
    <row r="102" spans="28:41" x14ac:dyDescent="0.2">
      <c r="AB102" s="266">
        <f>[4]EnergyCurve!$D124</f>
        <v>39934</v>
      </c>
      <c r="AC102" s="30">
        <f>IF(TradeSum!$L$6=0,VLOOKUP(AB102,TradeSum!$DM$13:$DQ$252,2)+VLOOKUP(AB102,TradeSum!$DU$13:$DY$252,3),VLOOKUP(AB102,TradeSum!$DU$13:$DY$252,2)+VLOOKUP(AB102,TradeSum!$DU$13:$DY$252,3))</f>
        <v>25</v>
      </c>
      <c r="AD102" s="30">
        <f>VLOOKUP(AB102,TradeSum!$DM$13:$DR$252,6)</f>
        <v>31</v>
      </c>
      <c r="AE102" s="30">
        <f>IF(TradeSum!$L$6=0,VLOOKUP(AB102,TradeSum!$DM$13:$DQ$252,2),VLOOKUP(AB102,TradeSum!$DU$13:$DY$252,2))</f>
        <v>20</v>
      </c>
      <c r="AF102" s="274">
        <f>[4]EnergyCurve!$G124</f>
        <v>45.626987407250816</v>
      </c>
      <c r="AG102" s="274">
        <f>[4]EnergyCurve!$Y124</f>
        <v>42.296164456315935</v>
      </c>
      <c r="AH102" s="274">
        <f>[4]EnergyCurve!$AD124</f>
        <v>40.974409317056065</v>
      </c>
      <c r="AI102" s="274">
        <f>[4]EnergyCurve!$L124</f>
        <v>27.492506896605359</v>
      </c>
      <c r="AJ102">
        <f t="shared" si="24"/>
        <v>44.960822817063836</v>
      </c>
      <c r="AK102">
        <f t="shared" si="25"/>
        <v>38.623674908092802</v>
      </c>
      <c r="AM102">
        <f>IF(NymexData!AC102="",VLOOKUP('Pricing Summary'!AB102,NymexData!$S$12:$U$250,3),VLOOKUP(NymexData!AA102,NymexData!$AA$12:$AC$250,3))</f>
        <v>0.19500000000000001</v>
      </c>
      <c r="AO102" s="370">
        <f>AD102*24*VLOOKUP(AB102,Interest!$X$8:$AC$367,6)</f>
        <v>504.24989815499771</v>
      </c>
    </row>
    <row r="103" spans="28:41" x14ac:dyDescent="0.2">
      <c r="AB103" s="266">
        <f>[4]EnergyCurve!$D125</f>
        <v>39965</v>
      </c>
      <c r="AC103" s="30">
        <f>IF(TradeSum!$L$6=0,VLOOKUP(AB103,TradeSum!$DM$13:$DQ$252,2)+VLOOKUP(AB103,TradeSum!$DU$13:$DY$252,3),VLOOKUP(AB103,TradeSum!$DU$13:$DY$252,2)+VLOOKUP(AB103,TradeSum!$DU$13:$DY$252,3))</f>
        <v>26</v>
      </c>
      <c r="AD103" s="30">
        <f>VLOOKUP(AB103,TradeSum!$DM$13:$DR$252,6)</f>
        <v>30</v>
      </c>
      <c r="AE103" s="30">
        <f>IF(TradeSum!$L$6=0,VLOOKUP(AB103,TradeSum!$DM$13:$DQ$252,2),VLOOKUP(AB103,TradeSum!$DU$13:$DY$252,2))</f>
        <v>22</v>
      </c>
      <c r="AF103" s="274">
        <f>[4]EnergyCurve!$G125</f>
        <v>46.145718218853027</v>
      </c>
      <c r="AG103" s="274">
        <f>[4]EnergyCurve!$Y125</f>
        <v>42.777027317592605</v>
      </c>
      <c r="AH103" s="274">
        <f>[4]EnergyCurve!$AD125</f>
        <v>41.440245213917834</v>
      </c>
      <c r="AI103" s="274">
        <f>[4]EnergyCurve!$L125</f>
        <v>27.805067756435193</v>
      </c>
      <c r="AJ103">
        <f t="shared" si="24"/>
        <v>45.627458080197577</v>
      </c>
      <c r="AK103">
        <f t="shared" si="25"/>
        <v>39.314464606385251</v>
      </c>
      <c r="AM103">
        <f>IF(NymexData!AC103="",VLOOKUP('Pricing Summary'!AB103,NymexData!$S$12:$U$250,3),VLOOKUP(NymexData!AA103,NymexData!$AA$12:$AC$250,3))</f>
        <v>0.19500000000000001</v>
      </c>
      <c r="AO103" s="370">
        <f>AD103*24*VLOOKUP(AB103,Interest!$X$8:$AC$367,6)</f>
        <v>485.26448957032397</v>
      </c>
    </row>
    <row r="104" spans="28:41" x14ac:dyDescent="0.2">
      <c r="AB104" s="266">
        <f>[4]EnergyCurve!$D126</f>
        <v>39995</v>
      </c>
      <c r="AC104" s="30">
        <f>IF(TradeSum!$L$6=0,VLOOKUP(AB104,TradeSum!$DM$13:$DQ$252,2)+VLOOKUP(AB104,TradeSum!$DU$13:$DY$252,3),VLOOKUP(AB104,TradeSum!$DU$13:$DY$252,2)+VLOOKUP(AB104,TradeSum!$DU$13:$DY$252,3))</f>
        <v>26</v>
      </c>
      <c r="AD104" s="30">
        <f>VLOOKUP(AB104,TradeSum!$DM$13:$DR$252,6)</f>
        <v>31</v>
      </c>
      <c r="AE104" s="30">
        <f>IF(TradeSum!$L$6=0,VLOOKUP(AB104,TradeSum!$DM$13:$DQ$252,2),VLOOKUP(AB104,TradeSum!$DU$13:$DY$252,2))</f>
        <v>23</v>
      </c>
      <c r="AF104" s="274">
        <f>[4]EnergyCurve!$G126</f>
        <v>46.755359885414755</v>
      </c>
      <c r="AG104" s="274">
        <f>[4]EnergyCurve!$Y126</f>
        <v>43.342164436073929</v>
      </c>
      <c r="AH104" s="274">
        <f>[4]EnergyCurve!$AD126</f>
        <v>41.987721797446618</v>
      </c>
      <c r="AI104" s="274">
        <f>[4]EnergyCurve!$L126</f>
        <v>28.172406883448055</v>
      </c>
      <c r="AJ104">
        <f t="shared" si="24"/>
        <v>46.361529641260034</v>
      </c>
      <c r="AK104">
        <f t="shared" si="25"/>
        <v>39.828186803299758</v>
      </c>
      <c r="AM104">
        <f>IF(NymexData!AC104="",VLOOKUP('Pricing Summary'!AB104,NymexData!$S$12:$U$250,3),VLOOKUP(NymexData!AA104,NymexData!$AA$12:$AC$250,3))</f>
        <v>0.19500000000000001</v>
      </c>
      <c r="AO104" s="370">
        <f>AD104*24*VLOOKUP(AB104,Interest!$X$8:$AC$367,6)</f>
        <v>498.58331569998973</v>
      </c>
    </row>
    <row r="105" spans="28:41" x14ac:dyDescent="0.2">
      <c r="AB105" s="266">
        <f>[4]EnergyCurve!$D127</f>
        <v>40026</v>
      </c>
      <c r="AC105" s="30">
        <f>IF(TradeSum!$L$6=0,VLOOKUP(AB105,TradeSum!$DM$13:$DQ$252,2)+VLOOKUP(AB105,TradeSum!$DU$13:$DY$252,3),VLOOKUP(AB105,TradeSum!$DU$13:$DY$252,2)+VLOOKUP(AB105,TradeSum!$DU$13:$DY$252,3))</f>
        <v>26</v>
      </c>
      <c r="AD105" s="30">
        <f>VLOOKUP(AB105,TradeSum!$DM$13:$DR$252,6)</f>
        <v>31</v>
      </c>
      <c r="AE105" s="30">
        <f>IF(TradeSum!$L$6=0,VLOOKUP(AB105,TradeSum!$DM$13:$DQ$252,2),VLOOKUP(AB105,TradeSum!$DU$13:$DY$252,2))</f>
        <v>21</v>
      </c>
      <c r="AF105" s="274">
        <f>[4]EnergyCurve!$G127</f>
        <v>47.276399366702393</v>
      </c>
      <c r="AG105" s="274">
        <f>[4]EnergyCurve!$Y127</f>
        <v>43.825167431473822</v>
      </c>
      <c r="AH105" s="274">
        <f>[4]EnergyCurve!$AD127</f>
        <v>42.455630949240266</v>
      </c>
      <c r="AI105" s="274">
        <f>[4]EnergyCurve!$L127</f>
        <v>28.486358830457984</v>
      </c>
      <c r="AJ105">
        <f t="shared" si="24"/>
        <v>46.612700917619982</v>
      </c>
      <c r="AK105">
        <f t="shared" si="25"/>
        <v>40.123590117772466</v>
      </c>
      <c r="AM105">
        <f>IF(NymexData!AC105="",VLOOKUP('Pricing Summary'!AB105,NymexData!$S$12:$U$250,3),VLOOKUP(NymexData!AA105,NymexData!$AA$12:$AC$250,3))</f>
        <v>0.19500000000000001</v>
      </c>
      <c r="AO105" s="370">
        <f>AD105*24*VLOOKUP(AB105,Interest!$X$8:$AC$367,6)</f>
        <v>495.70555269410482</v>
      </c>
    </row>
    <row r="106" spans="28:41" x14ac:dyDescent="0.2">
      <c r="AB106" s="266">
        <f>[4]EnergyCurve!$D128</f>
        <v>40057</v>
      </c>
      <c r="AC106" s="30">
        <f>IF(TradeSum!$L$6=0,VLOOKUP(AB106,TradeSum!$DM$13:$DQ$252,2)+VLOOKUP(AB106,TradeSum!$DU$13:$DY$252,3),VLOOKUP(AB106,TradeSum!$DU$13:$DY$252,2)+VLOOKUP(AB106,TradeSum!$DU$13:$DY$252,3))</f>
        <v>25</v>
      </c>
      <c r="AD106" s="30">
        <f>VLOOKUP(AB106,TradeSum!$DM$13:$DR$252,6)</f>
        <v>30</v>
      </c>
      <c r="AE106" s="30">
        <f>IF(TradeSum!$L$6=0,VLOOKUP(AB106,TradeSum!$DM$13:$DQ$252,2),VLOOKUP(AB106,TradeSum!$DU$13:$DY$252,2))</f>
        <v>21</v>
      </c>
      <c r="AF106" s="274">
        <f>[4]EnergyCurve!$G128</f>
        <v>47.227878223158108</v>
      </c>
      <c r="AG106" s="274">
        <f>[4]EnergyCurve!$Y128</f>
        <v>43.78018838763208</v>
      </c>
      <c r="AH106" s="274">
        <f>[4]EnergyCurve!$AD128</f>
        <v>42.412057500518578</v>
      </c>
      <c r="AI106" s="274">
        <f>[4]EnergyCurve!$L128</f>
        <v>28.457122451960853</v>
      </c>
      <c r="AJ106">
        <f t="shared" si="24"/>
        <v>46.676247849473945</v>
      </c>
      <c r="AK106">
        <f t="shared" si="25"/>
        <v>40.129407122641211</v>
      </c>
      <c r="AM106">
        <f>IF(NymexData!AC106="",VLOOKUP('Pricing Summary'!AB106,NymexData!$S$12:$U$250,3),VLOOKUP(NymexData!AA106,NymexData!$AA$12:$AC$250,3))</f>
        <v>0.19500000000000001</v>
      </c>
      <c r="AO106" s="370">
        <f>AD106*24*VLOOKUP(AB106,Interest!$X$8:$AC$367,6)</f>
        <v>476.99929654970771</v>
      </c>
    </row>
    <row r="107" spans="28:41" x14ac:dyDescent="0.2">
      <c r="AB107" s="266">
        <f>[4]EnergyCurve!$D129</f>
        <v>40087</v>
      </c>
      <c r="AC107" s="30">
        <f>IF(TradeSum!$L$6=0,VLOOKUP(AB107,TradeSum!$DM$13:$DQ$252,2)+VLOOKUP(AB107,TradeSum!$DU$13:$DY$252,3),VLOOKUP(AB107,TradeSum!$DU$13:$DY$252,2)+VLOOKUP(AB107,TradeSum!$DU$13:$DY$252,3))</f>
        <v>27</v>
      </c>
      <c r="AD107" s="30">
        <f>VLOOKUP(AB107,TradeSum!$DM$13:$DR$252,6)</f>
        <v>31</v>
      </c>
      <c r="AE107" s="30">
        <f>IF(TradeSum!$L$6=0,VLOOKUP(AB107,TradeSum!$DM$13:$DQ$252,2),VLOOKUP(AB107,TradeSum!$DU$13:$DY$252,2))</f>
        <v>22</v>
      </c>
      <c r="AF107" s="274">
        <f>[4]EnergyCurve!$G129</f>
        <v>47.256729014275962</v>
      </c>
      <c r="AG107" s="274">
        <f>[4]EnergyCurve!$Y129</f>
        <v>43.806933037567518</v>
      </c>
      <c r="AH107" s="274">
        <f>[4]EnergyCurve!$AD129</f>
        <v>42.437966380143536</v>
      </c>
      <c r="AI107" s="274">
        <f>[4]EnergyCurve!$L129</f>
        <v>28.474506474418888</v>
      </c>
      <c r="AJ107">
        <f t="shared" si="24"/>
        <v>46.617877907478096</v>
      </c>
      <c r="AK107">
        <f t="shared" si="25"/>
        <v>40.210525147870442</v>
      </c>
      <c r="AM107">
        <f>IF(NymexData!AC107="",VLOOKUP('Pricing Summary'!AB107,NymexData!$S$12:$U$250,3),VLOOKUP(NymexData!AA107,NymexData!$AA$12:$AC$250,3))</f>
        <v>0.19500000000000001</v>
      </c>
      <c r="AO107" s="370">
        <f>AD107*24*VLOOKUP(AB107,Interest!$X$8:$AC$367,6)</f>
        <v>490.04755878118294</v>
      </c>
    </row>
    <row r="108" spans="28:41" x14ac:dyDescent="0.2">
      <c r="AB108" s="266">
        <f>[4]EnergyCurve!$D130</f>
        <v>40118</v>
      </c>
      <c r="AC108" s="30">
        <f>IF(TradeSum!$L$6=0,VLOOKUP(AB108,TradeSum!$DM$13:$DQ$252,2)+VLOOKUP(AB108,TradeSum!$DU$13:$DY$252,3),VLOOKUP(AB108,TradeSum!$DU$13:$DY$252,2)+VLOOKUP(AB108,TradeSum!$DU$13:$DY$252,3))</f>
        <v>24</v>
      </c>
      <c r="AD108" s="30">
        <f>VLOOKUP(AB108,TradeSum!$DM$13:$DR$252,6)</f>
        <v>30</v>
      </c>
      <c r="AE108" s="30">
        <f>IF(TradeSum!$L$6=0,VLOOKUP(AB108,TradeSum!$DM$13:$DQ$252,2),VLOOKUP(AB108,TradeSum!$DU$13:$DY$252,2))</f>
        <v>20</v>
      </c>
      <c r="AF108" s="274">
        <f>[4]EnergyCurve!$G130</f>
        <v>50.001462586007847</v>
      </c>
      <c r="AG108" s="274">
        <f>[4]EnergyCurve!$Y130</f>
        <v>46.351297878106919</v>
      </c>
      <c r="AH108" s="274">
        <f>[4]EnergyCurve!$AD130</f>
        <v>44.902819819416081</v>
      </c>
      <c r="AI108" s="274">
        <f>[4]EnergyCurve!$L130</f>
        <v>30.128343620769499</v>
      </c>
      <c r="AJ108">
        <f t="shared" si="24"/>
        <v>49.393101801357695</v>
      </c>
      <c r="AK108">
        <f t="shared" si="25"/>
        <v>42.372811476902747</v>
      </c>
      <c r="AM108">
        <f>IF(NymexData!AC108="",VLOOKUP('Pricing Summary'!AB108,NymexData!$S$12:$U$250,3),VLOOKUP(NymexData!AA108,NymexData!$AA$12:$AC$250,3))</f>
        <v>0.19500000000000001</v>
      </c>
      <c r="AO108" s="370">
        <f>AD108*24*VLOOKUP(AB108,Interest!$X$8:$AC$367,6)</f>
        <v>471.52693788585162</v>
      </c>
    </row>
    <row r="109" spans="28:41" x14ac:dyDescent="0.2">
      <c r="AB109" s="266">
        <f>[4]EnergyCurve!$D131</f>
        <v>40148</v>
      </c>
      <c r="AC109" s="30">
        <f>IF(TradeSum!$L$6=0,VLOOKUP(AB109,TradeSum!$DM$13:$DQ$252,2)+VLOOKUP(AB109,TradeSum!$DU$13:$DY$252,3),VLOOKUP(AB109,TradeSum!$DU$13:$DY$252,2)+VLOOKUP(AB109,TradeSum!$DU$13:$DY$252,3))</f>
        <v>26</v>
      </c>
      <c r="AD109" s="30">
        <f>VLOOKUP(AB109,TradeSum!$DM$13:$DR$252,6)</f>
        <v>31</v>
      </c>
      <c r="AE109" s="30">
        <f>IF(TradeSum!$L$6=0,VLOOKUP(AB109,TradeSum!$DM$13:$DQ$252,2),VLOOKUP(AB109,TradeSum!$DU$13:$DY$252,2))</f>
        <v>22</v>
      </c>
      <c r="AF109" s="274">
        <f>[4]EnergyCurve!$G131</f>
        <v>52.008441356135123</v>
      </c>
      <c r="AG109" s="274">
        <f>[4]EnergyCurve!$Y131</f>
        <v>48.211764872431161</v>
      </c>
      <c r="AH109" s="274">
        <f>[4]EnergyCurve!$AD131</f>
        <v>46.705147220167689</v>
      </c>
      <c r="AI109" s="274">
        <f>[4]EnergyCurve!$L131</f>
        <v>31.337647167080256</v>
      </c>
      <c r="AJ109">
        <f t="shared" si="24"/>
        <v>51.424337281719126</v>
      </c>
      <c r="AK109">
        <f t="shared" si="25"/>
        <v>44.221334118608162</v>
      </c>
      <c r="AM109">
        <f>IF(NymexData!AC109="",VLOOKUP('Pricing Summary'!AB109,NymexData!$S$12:$U$250,3),VLOOKUP(NymexData!AA109,NymexData!$AA$12:$AC$250,3))</f>
        <v>0.19500000000000001</v>
      </c>
      <c r="AO109" s="370">
        <f>AD109*24*VLOOKUP(AB109,Interest!$X$8:$AC$367,6)</f>
        <v>484.39686486345988</v>
      </c>
    </row>
    <row r="110" spans="28:41" x14ac:dyDescent="0.2">
      <c r="AB110" s="266">
        <f>[4]EnergyCurve!$D132</f>
        <v>40179</v>
      </c>
      <c r="AC110" s="30">
        <f>IF(TradeSum!$L$6=0,VLOOKUP(AB110,TradeSum!$DM$13:$DQ$252,2)+VLOOKUP(AB110,TradeSum!$DU$13:$DY$252,3),VLOOKUP(AB110,TradeSum!$DU$13:$DY$252,2)+VLOOKUP(AB110,TradeSum!$DU$13:$DY$252,3))</f>
        <v>25</v>
      </c>
      <c r="AD110" s="30">
        <f>VLOOKUP(AB110,TradeSum!$DM$13:$DR$252,6)</f>
        <v>31</v>
      </c>
      <c r="AE110" s="30">
        <f>IF(TradeSum!$L$6=0,VLOOKUP(AB110,TradeSum!$DM$13:$DQ$252,2),VLOOKUP(AB110,TradeSum!$DU$13:$DY$252,2))</f>
        <v>20</v>
      </c>
      <c r="AF110" s="274">
        <f>[4]EnergyCurve!$G132</f>
        <v>52.98585485662214</v>
      </c>
      <c r="AG110" s="274">
        <f>[4]EnergyCurve!$Y132</f>
        <v>49.117826054806152</v>
      </c>
      <c r="AH110" s="274">
        <f>[4]EnergyCurve!$AD132</f>
        <v>47.582893990593462</v>
      </c>
      <c r="AI110" s="274">
        <f>[4]EnergyCurve!$L132</f>
        <v>31.926586935623998</v>
      </c>
      <c r="AJ110">
        <f t="shared" si="24"/>
        <v>52.212249096258944</v>
      </c>
      <c r="AK110">
        <f t="shared" si="25"/>
        <v>44.853025566714123</v>
      </c>
      <c r="AM110">
        <f>IF(NymexData!AC110="",VLOOKUP('Pricing Summary'!AB110,NymexData!$S$12:$U$250,3),VLOOKUP(NymexData!AA110,NymexData!$AA$12:$AC$250,3))</f>
        <v>0.19500000000000001</v>
      </c>
      <c r="AO110" s="370">
        <f>AD110*24*VLOOKUP(AB110,Interest!$X$8:$AC$367,6)</f>
        <v>481.52840255771758</v>
      </c>
    </row>
    <row r="111" spans="28:41" x14ac:dyDescent="0.2">
      <c r="AB111" s="266">
        <f>[4]EnergyCurve!$D133</f>
        <v>40210</v>
      </c>
      <c r="AC111" s="30">
        <f>IF(TradeSum!$L$6=0,VLOOKUP(AB111,TradeSum!$DM$13:$DQ$252,2)+VLOOKUP(AB111,TradeSum!$DU$13:$DY$252,3),VLOOKUP(AB111,TradeSum!$DU$13:$DY$252,2)+VLOOKUP(AB111,TradeSum!$DU$13:$DY$252,3))</f>
        <v>24</v>
      </c>
      <c r="AD111" s="30">
        <f>VLOOKUP(AB111,TradeSum!$DM$13:$DR$252,6)</f>
        <v>28</v>
      </c>
      <c r="AE111" s="30">
        <f>IF(TradeSum!$L$6=0,VLOOKUP(AB111,TradeSum!$DM$13:$DQ$252,2),VLOOKUP(AB111,TradeSum!$DU$13:$DY$252,2))</f>
        <v>20</v>
      </c>
      <c r="AF111" s="274">
        <f>[4]EnergyCurve!$G133</f>
        <v>51.876572549861862</v>
      </c>
      <c r="AG111" s="274">
        <f>[4]EnergyCurve!$Y133</f>
        <v>48.08952264181864</v>
      </c>
      <c r="AH111" s="274">
        <f>[4]EnergyCurve!$AD133</f>
        <v>46.586725059261809</v>
      </c>
      <c r="AI111" s="274">
        <f>[4]EnergyCurve!$L133</f>
        <v>31.258189717182116</v>
      </c>
      <c r="AJ111">
        <f t="shared" si="24"/>
        <v>51.245397565187993</v>
      </c>
      <c r="AK111">
        <f t="shared" si="25"/>
        <v>44.139311853383539</v>
      </c>
      <c r="AM111">
        <f>IF(NymexData!AC111="",VLOOKUP('Pricing Summary'!AB111,NymexData!$S$12:$U$250,3),VLOOKUP(NymexData!AA111,NymexData!$AA$12:$AC$250,3))</f>
        <v>0.19</v>
      </c>
      <c r="AO111" s="370">
        <f>AD111*24*VLOOKUP(AB111,Interest!$X$8:$AC$367,6)</f>
        <v>432.52738327179645</v>
      </c>
    </row>
    <row r="112" spans="28:41" x14ac:dyDescent="0.2">
      <c r="AB112" s="266">
        <f>[4]EnergyCurve!$D134</f>
        <v>40238</v>
      </c>
      <c r="AC112" s="30">
        <f>IF(TradeSum!$L$6=0,VLOOKUP(AB112,TradeSum!$DM$13:$DQ$252,2)+VLOOKUP(AB112,TradeSum!$DU$13:$DY$252,3),VLOOKUP(AB112,TradeSum!$DU$13:$DY$252,2)+VLOOKUP(AB112,TradeSum!$DU$13:$DY$252,3))</f>
        <v>27</v>
      </c>
      <c r="AD112" s="30">
        <f>VLOOKUP(AB112,TradeSum!$DM$13:$DR$252,6)</f>
        <v>31</v>
      </c>
      <c r="AE112" s="30">
        <f>IF(TradeSum!$L$6=0,VLOOKUP(AB112,TradeSum!$DM$13:$DQ$252,2),VLOOKUP(AB112,TradeSum!$DU$13:$DY$252,2))</f>
        <v>23</v>
      </c>
      <c r="AF112" s="274">
        <f>[4]EnergyCurve!$G134</f>
        <v>50.098864930471642</v>
      </c>
      <c r="AG112" s="274">
        <f>[4]EnergyCurve!$Y134</f>
        <v>46.441589738560033</v>
      </c>
      <c r="AH112" s="274">
        <f>[4]EnergyCurve!$AD134</f>
        <v>44.990290059230034</v>
      </c>
      <c r="AI112" s="274">
        <f>[4]EnergyCurve!$L134</f>
        <v>30.187033330064022</v>
      </c>
      <c r="AJ112">
        <f t="shared" si="24"/>
        <v>49.557046383521772</v>
      </c>
      <c r="AK112">
        <f t="shared" si="25"/>
        <v>42.707536112000007</v>
      </c>
      <c r="AM112">
        <f>IF(NymexData!AC112="",VLOOKUP('Pricing Summary'!AB112,NymexData!$S$12:$U$250,3),VLOOKUP(NymexData!AA112,NymexData!$AA$12:$AC$250,3))</f>
        <v>0.1875</v>
      </c>
      <c r="AO112" s="370">
        <f>AD112*24*VLOOKUP(AB112,Interest!$X$8:$AC$367,6)</f>
        <v>476.07576592424152</v>
      </c>
    </row>
    <row r="113" spans="28:41" x14ac:dyDescent="0.2">
      <c r="AB113" s="266">
        <f>[4]EnergyCurve!$D135</f>
        <v>40269</v>
      </c>
      <c r="AC113" s="30">
        <f>IF(TradeSum!$L$6=0,VLOOKUP(AB113,TradeSum!$DM$13:$DQ$252,2)+VLOOKUP(AB113,TradeSum!$DU$13:$DY$252,3),VLOOKUP(AB113,TradeSum!$DU$13:$DY$252,2)+VLOOKUP(AB113,TradeSum!$DU$13:$DY$252,3))</f>
        <v>26</v>
      </c>
      <c r="AD113" s="30">
        <f>VLOOKUP(AB113,TradeSum!$DM$13:$DR$252,6)</f>
        <v>30</v>
      </c>
      <c r="AE113" s="30">
        <f>IF(TradeSum!$L$6=0,VLOOKUP(AB113,TradeSum!$DM$13:$DQ$252,2),VLOOKUP(AB113,TradeSum!$DU$13:$DY$252,2))</f>
        <v>22</v>
      </c>
      <c r="AF113" s="274">
        <f>[4]EnergyCurve!$G135</f>
        <v>46.498439887878213</v>
      </c>
      <c r="AG113" s="274">
        <f>[4]EnergyCurve!$Y135</f>
        <v>43.103999896063229</v>
      </c>
      <c r="AH113" s="274">
        <f>[4]EnergyCurve!$AD135</f>
        <v>41.756999899311253</v>
      </c>
      <c r="AI113" s="274">
        <f>[4]EnergyCurve!$L135</f>
        <v>28.017599932441101</v>
      </c>
      <c r="AJ113">
        <f t="shared" si="24"/>
        <v>45.976218350675907</v>
      </c>
      <c r="AK113">
        <f t="shared" si="25"/>
        <v>39.614970571143004</v>
      </c>
      <c r="AM113">
        <f>IF(NymexData!AC113="",VLOOKUP('Pricing Summary'!AB113,NymexData!$S$12:$U$250,3),VLOOKUP(NymexData!AA113,NymexData!$AA$12:$AC$250,3))</f>
        <v>0.185</v>
      </c>
      <c r="AO113" s="370">
        <f>AD113*24*VLOOKUP(AB113,Interest!$X$8:$AC$367,6)</f>
        <v>458.01618344675944</v>
      </c>
    </row>
    <row r="114" spans="28:41" x14ac:dyDescent="0.2">
      <c r="AB114" s="266">
        <f>[4]EnergyCurve!$D136</f>
        <v>40299</v>
      </c>
      <c r="AC114" s="30">
        <f>IF(TradeSum!$L$6=0,VLOOKUP(AB114,TradeSum!$DM$13:$DQ$252,2)+VLOOKUP(AB114,TradeSum!$DU$13:$DY$252,3),VLOOKUP(AB114,TradeSum!$DU$13:$DY$252,2)+VLOOKUP(AB114,TradeSum!$DU$13:$DY$252,3))</f>
        <v>25</v>
      </c>
      <c r="AD114" s="30">
        <f>VLOOKUP(AB114,TradeSum!$DM$13:$DR$252,6)</f>
        <v>31</v>
      </c>
      <c r="AE114" s="30">
        <f>IF(TradeSum!$L$6=0,VLOOKUP(AB114,TradeSum!$DM$13:$DQ$252,2),VLOOKUP(AB114,TradeSum!$DU$13:$DY$252,2))</f>
        <v>20</v>
      </c>
      <c r="AF114" s="274">
        <f>[4]EnergyCurve!$G136</f>
        <v>46.595596205618456</v>
      </c>
      <c r="AG114" s="274">
        <f>[4]EnergyCurve!$Y136</f>
        <v>43.194063690028692</v>
      </c>
      <c r="AH114" s="274">
        <f>[4]EnergyCurve!$AD136</f>
        <v>41.844249199715293</v>
      </c>
      <c r="AI114" s="274">
        <f>[4]EnergyCurve!$L136</f>
        <v>28.076141398518651</v>
      </c>
      <c r="AJ114">
        <f t="shared" si="24"/>
        <v>45.915289702500502</v>
      </c>
      <c r="AK114">
        <f t="shared" si="25"/>
        <v>39.443611385760072</v>
      </c>
      <c r="AM114">
        <f>IF(NymexData!AC114="",VLOOKUP('Pricing Summary'!AB114,NymexData!$S$12:$U$250,3),VLOOKUP(NymexData!AA114,NymexData!$AA$12:$AC$250,3))</f>
        <v>0.185</v>
      </c>
      <c r="AO114" s="370">
        <f>AD114*24*VLOOKUP(AB114,Interest!$X$8:$AC$367,6)</f>
        <v>470.4485214461784</v>
      </c>
    </row>
    <row r="115" spans="28:41" x14ac:dyDescent="0.2">
      <c r="AB115" s="266">
        <f>[4]EnergyCurve!$D137</f>
        <v>40330</v>
      </c>
      <c r="AC115" s="30">
        <f>IF(TradeSum!$L$6=0,VLOOKUP(AB115,TradeSum!$DM$13:$DQ$252,2)+VLOOKUP(AB115,TradeSum!$DU$13:$DY$252,3),VLOOKUP(AB115,TradeSum!$DU$13:$DY$252,2)+VLOOKUP(AB115,TradeSum!$DU$13:$DY$252,3))</f>
        <v>26</v>
      </c>
      <c r="AD115" s="30">
        <f>VLOOKUP(AB115,TradeSum!$DM$13:$DR$252,6)</f>
        <v>30</v>
      </c>
      <c r="AE115" s="30">
        <f>IF(TradeSum!$L$6=0,VLOOKUP(AB115,TradeSum!$DM$13:$DQ$252,2),VLOOKUP(AB115,TradeSum!$DU$13:$DY$252,2))</f>
        <v>22</v>
      </c>
      <c r="AF115" s="274">
        <f>[4]EnergyCurve!$G137</f>
        <v>47.125067760023896</v>
      </c>
      <c r="AG115" s="274">
        <f>[4]EnergyCurve!$Y137</f>
        <v>43.684883207438141</v>
      </c>
      <c r="AH115" s="274">
        <f>[4]EnergyCurve!$AD137</f>
        <v>42.319730607205699</v>
      </c>
      <c r="AI115" s="274">
        <f>[4]EnergyCurve!$L137</f>
        <v>28.395174084834792</v>
      </c>
      <c r="AJ115">
        <f t="shared" si="24"/>
        <v>46.595808598087622</v>
      </c>
      <c r="AK115">
        <f t="shared" si="25"/>
        <v>40.148834605591624</v>
      </c>
      <c r="AM115">
        <f>IF(NymexData!AC115="",VLOOKUP('Pricing Summary'!AB115,NymexData!$S$12:$U$250,3),VLOOKUP(NymexData!AA115,NymexData!$AA$12:$AC$250,3))</f>
        <v>0.185</v>
      </c>
      <c r="AO115" s="370">
        <f>AD115*24*VLOOKUP(AB115,Interest!$X$8:$AC$367,6)</f>
        <v>452.57567129489553</v>
      </c>
    </row>
    <row r="116" spans="28:41" x14ac:dyDescent="0.2">
      <c r="AB116" s="266">
        <f>[4]EnergyCurve!$D138</f>
        <v>40360</v>
      </c>
      <c r="AC116" s="30">
        <f>IF(TradeSum!$L$6=0,VLOOKUP(AB116,TradeSum!$DM$13:$DQ$252,2)+VLOOKUP(AB116,TradeSum!$DU$13:$DY$252,3),VLOOKUP(AB116,TradeSum!$DU$13:$DY$252,2)+VLOOKUP(AB116,TradeSum!$DU$13:$DY$252,3))</f>
        <v>26</v>
      </c>
      <c r="AD116" s="30">
        <f>VLOOKUP(AB116,TradeSum!$DM$13:$DR$252,6)</f>
        <v>31</v>
      </c>
      <c r="AE116" s="30">
        <f>IF(TradeSum!$L$6=0,VLOOKUP(AB116,TradeSum!$DM$13:$DQ$252,2),VLOOKUP(AB116,TradeSum!$DU$13:$DY$252,2))</f>
        <v>21</v>
      </c>
      <c r="AF116" s="274">
        <f>[4]EnergyCurve!$G138</f>
        <v>47.746098679525645</v>
      </c>
      <c r="AG116" s="274">
        <f>[4]EnergyCurve!$Y138</f>
        <v>44.260578150197581</v>
      </c>
      <c r="AH116" s="274">
        <f>[4]EnergyCurve!$AD138</f>
        <v>42.87743508300391</v>
      </c>
      <c r="AI116" s="274">
        <f>[4]EnergyCurve!$L138</f>
        <v>28.769375797628427</v>
      </c>
      <c r="AJ116">
        <f t="shared" si="24"/>
        <v>47.075806270039479</v>
      </c>
      <c r="AK116">
        <f t="shared" si="25"/>
        <v>40.522225017188958</v>
      </c>
      <c r="AM116">
        <f>IF(NymexData!AC116="",VLOOKUP('Pricing Summary'!AB116,NymexData!$S$12:$U$250,3),VLOOKUP(NymexData!AA116,NymexData!$AA$12:$AC$250,3))</f>
        <v>0.185</v>
      </c>
      <c r="AO116" s="370">
        <f>AD116*24*VLOOKUP(AB116,Interest!$X$8:$AC$367,6)</f>
        <v>464.8328751246413</v>
      </c>
    </row>
    <row r="117" spans="28:41" x14ac:dyDescent="0.2">
      <c r="AB117" s="266">
        <f>[4]EnergyCurve!$D139</f>
        <v>40391</v>
      </c>
      <c r="AC117" s="30">
        <f>IF(TradeSum!$L$6=0,VLOOKUP(AB117,TradeSum!$DM$13:$DQ$252,2)+VLOOKUP(AB117,TradeSum!$DU$13:$DY$252,3),VLOOKUP(AB117,TradeSum!$DU$13:$DY$252,2)+VLOOKUP(AB117,TradeSum!$DU$13:$DY$252,3))</f>
        <v>26</v>
      </c>
      <c r="AD117" s="30">
        <f>VLOOKUP(AB117,TradeSum!$DM$13:$DR$252,6)</f>
        <v>31</v>
      </c>
      <c r="AE117" s="30">
        <f>IF(TradeSum!$L$6=0,VLOOKUP(AB117,TradeSum!$DM$13:$DQ$252,2),VLOOKUP(AB117,TradeSum!$DU$13:$DY$252,2))</f>
        <v>22</v>
      </c>
      <c r="AF117" s="274">
        <f>[4]EnergyCurve!$G139</f>
        <v>48.278205752781673</v>
      </c>
      <c r="AG117" s="274">
        <f>[4]EnergyCurve!$Y139</f>
        <v>44.753840790527619</v>
      </c>
      <c r="AH117" s="274">
        <f>[4]EnergyCurve!$AD139</f>
        <v>43.35528326582363</v>
      </c>
      <c r="AI117" s="274">
        <f>[4]EnergyCurve!$L139</f>
        <v>29.089996513842951</v>
      </c>
      <c r="AJ117">
        <f t="shared" si="24"/>
        <v>47.735995758588736</v>
      </c>
      <c r="AK117">
        <f t="shared" si="25"/>
        <v>41.049618322946046</v>
      </c>
      <c r="AM117">
        <f>IF(NymexData!AC117="",VLOOKUP('Pricing Summary'!AB117,NymexData!$S$12:$U$250,3),VLOOKUP(NymexData!AA117,NymexData!$AA$12:$AC$250,3))</f>
        <v>0.185</v>
      </c>
      <c r="AO117" s="370">
        <f>AD117*24*VLOOKUP(AB117,Interest!$X$8:$AC$367,6)</f>
        <v>461.98385041690352</v>
      </c>
    </row>
    <row r="118" spans="28:41" x14ac:dyDescent="0.2">
      <c r="AB118" s="266">
        <f>[4]EnergyCurve!$D140</f>
        <v>40422</v>
      </c>
      <c r="AC118" s="30">
        <f>IF(TradeSum!$L$6=0,VLOOKUP(AB118,TradeSum!$DM$13:$DQ$252,2)+VLOOKUP(AB118,TradeSum!$DU$13:$DY$252,3),VLOOKUP(AB118,TradeSum!$DU$13:$DY$252,2)+VLOOKUP(AB118,TradeSum!$DU$13:$DY$252,3))</f>
        <v>25</v>
      </c>
      <c r="AD118" s="30">
        <f>VLOOKUP(AB118,TradeSum!$DM$13:$DR$252,6)</f>
        <v>30</v>
      </c>
      <c r="AE118" s="30">
        <f>IF(TradeSum!$L$6=0,VLOOKUP(AB118,TradeSum!$DM$13:$DQ$252,2),VLOOKUP(AB118,TradeSum!$DU$13:$DY$252,2))</f>
        <v>21</v>
      </c>
      <c r="AF118" s="274">
        <f>[4]EnergyCurve!$G140</f>
        <v>48.236232714741369</v>
      </c>
      <c r="AG118" s="274">
        <f>[4]EnergyCurve!$Y140</f>
        <v>44.714931832900454</v>
      </c>
      <c r="AH118" s="274">
        <f>[4]EnergyCurve!$AD140</f>
        <v>43.317590213122315</v>
      </c>
      <c r="AI118" s="274">
        <f>[4]EnergyCurve!$L140</f>
        <v>29.064705691385296</v>
      </c>
      <c r="AJ118">
        <f t="shared" si="24"/>
        <v>47.672824573646821</v>
      </c>
      <c r="AK118">
        <f t="shared" si="25"/>
        <v>40.986203350612477</v>
      </c>
      <c r="AM118">
        <f>IF(NymexData!AC118="",VLOOKUP('Pricing Summary'!AB118,NymexData!$S$12:$U$250,3),VLOOKUP(NymexData!AA118,NymexData!$AA$12:$AC$250,3))</f>
        <v>0.185</v>
      </c>
      <c r="AO118" s="370">
        <f>AD118*24*VLOOKUP(AB118,Interest!$X$8:$AC$367,6)</f>
        <v>444.39300527884973</v>
      </c>
    </row>
    <row r="119" spans="28:41" x14ac:dyDescent="0.2">
      <c r="AB119" s="266">
        <f>[4]EnergyCurve!$D141</f>
        <v>40452</v>
      </c>
      <c r="AC119" s="30">
        <f>IF(TradeSum!$L$6=0,VLOOKUP(AB119,TradeSum!$DM$13:$DQ$252,2)+VLOOKUP(AB119,TradeSum!$DU$13:$DY$252,3),VLOOKUP(AB119,TradeSum!$DU$13:$DY$252,2)+VLOOKUP(AB119,TradeSum!$DU$13:$DY$252,3))</f>
        <v>26</v>
      </c>
      <c r="AD119" s="30">
        <f>VLOOKUP(AB119,TradeSum!$DM$13:$DR$252,6)</f>
        <v>31</v>
      </c>
      <c r="AE119" s="30">
        <f>IF(TradeSum!$L$6=0,VLOOKUP(AB119,TradeSum!$DM$13:$DQ$252,2),VLOOKUP(AB119,TradeSum!$DU$13:$DY$252,2))</f>
        <v>21</v>
      </c>
      <c r="AF119" s="274">
        <f>[4]EnergyCurve!$G141</f>
        <v>48.272045931066842</v>
      </c>
      <c r="AG119" s="274">
        <f>[4]EnergyCurve!$Y141</f>
        <v>44.748130642935656</v>
      </c>
      <c r="AH119" s="274">
        <f>[4]EnergyCurve!$AD141</f>
        <v>43.349751560343918</v>
      </c>
      <c r="AI119" s="274">
        <f>[4]EnergyCurve!$L141</f>
        <v>29.086284917908177</v>
      </c>
      <c r="AJ119">
        <f t="shared" si="24"/>
        <v>47.594369914118538</v>
      </c>
      <c r="AK119">
        <f t="shared" si="25"/>
        <v>40.968597673040399</v>
      </c>
      <c r="AM119">
        <f>IF(NymexData!AC119="",VLOOKUP('Pricing Summary'!AB119,NymexData!$S$12:$U$250,3),VLOOKUP(NymexData!AA119,NymexData!$AA$12:$AC$250,3))</f>
        <v>0.185</v>
      </c>
      <c r="AO119" s="370">
        <f>AD119*24*VLOOKUP(AB119,Interest!$X$8:$AC$367,6)</f>
        <v>456.38795005634182</v>
      </c>
    </row>
    <row r="120" spans="28:41" x14ac:dyDescent="0.2">
      <c r="AB120" s="266">
        <f>[4]EnergyCurve!$D142</f>
        <v>40483</v>
      </c>
      <c r="AC120" s="30">
        <f>IF(TradeSum!$L$6=0,VLOOKUP(AB120,TradeSum!$DM$13:$DQ$252,2)+VLOOKUP(AB120,TradeSum!$DU$13:$DY$252,3),VLOOKUP(AB120,TradeSum!$DU$13:$DY$252,2)+VLOOKUP(AB120,TradeSum!$DU$13:$DY$252,3))</f>
        <v>25</v>
      </c>
      <c r="AD120" s="30">
        <f>VLOOKUP(AB120,TradeSum!$DM$13:$DR$252,6)</f>
        <v>30</v>
      </c>
      <c r="AE120" s="30">
        <f>IF(TradeSum!$L$6=0,VLOOKUP(AB120,TradeSum!$DM$13:$DQ$252,2),VLOOKUP(AB120,TradeSum!$DU$13:$DY$252,2))</f>
        <v>21</v>
      </c>
      <c r="AF120" s="274">
        <f>[4]EnergyCurve!$G142</f>
        <v>50.654056797074581</v>
      </c>
      <c r="AG120" s="274">
        <f>[4]EnergyCurve!$Y142</f>
        <v>46.956251955573187</v>
      </c>
      <c r="AH120" s="274">
        <f>[4]EnergyCurve!$AD142</f>
        <v>45.488869081961525</v>
      </c>
      <c r="AI120" s="274">
        <f>[4]EnergyCurve!$L142</f>
        <v>30.521563771122572</v>
      </c>
      <c r="AJ120">
        <f t="shared" si="24"/>
        <v>50.062408022434354</v>
      </c>
      <c r="AK120">
        <f t="shared" si="25"/>
        <v>43.040622278611224</v>
      </c>
      <c r="AM120">
        <f>IF(NymexData!AC120="",VLOOKUP('Pricing Summary'!AB120,NymexData!$S$12:$U$250,3),VLOOKUP(NymexData!AA120,NymexData!$AA$12:$AC$250,3))</f>
        <v>0.185</v>
      </c>
      <c r="AO120" s="370">
        <f>AD120*24*VLOOKUP(AB120,Interest!$X$8:$AC$367,6)</f>
        <v>438.98426580490616</v>
      </c>
    </row>
    <row r="121" spans="28:41" x14ac:dyDescent="0.2">
      <c r="AB121" s="266">
        <f>[4]EnergyCurve!$D143</f>
        <v>40513</v>
      </c>
      <c r="AC121" s="30">
        <f>IF(TradeSum!$L$6=0,VLOOKUP(AB121,TradeSum!$DM$13:$DQ$252,2)+VLOOKUP(AB121,TradeSum!$DU$13:$DY$252,3),VLOOKUP(AB121,TradeSum!$DU$13:$DY$252,2)+VLOOKUP(AB121,TradeSum!$DU$13:$DY$252,3))</f>
        <v>26</v>
      </c>
      <c r="AD121" s="30">
        <f>VLOOKUP(AB121,TradeSum!$DM$13:$DR$252,6)</f>
        <v>31</v>
      </c>
      <c r="AE121" s="30">
        <f>IF(TradeSum!$L$6=0,VLOOKUP(AB121,TradeSum!$DM$13:$DQ$252,2),VLOOKUP(AB121,TradeSum!$DU$13:$DY$252,2))</f>
        <v>23</v>
      </c>
      <c r="AF121" s="274">
        <f>[4]EnergyCurve!$G143</f>
        <v>52.685098586274457</v>
      </c>
      <c r="AG121" s="274">
        <f>[4]EnergyCurve!$Y143</f>
        <v>48.839025340694739</v>
      </c>
      <c r="AH121" s="274">
        <f>[4]EnergyCurve!$AD143</f>
        <v>47.312805798798031</v>
      </c>
      <c r="AI121" s="274">
        <f>[4]EnergyCurve!$L143</f>
        <v>31.745366471451582</v>
      </c>
      <c r="AJ121">
        <f t="shared" si="24"/>
        <v>52.241320904092177</v>
      </c>
      <c r="AK121">
        <f t="shared" si="25"/>
        <v>44.879388232427665</v>
      </c>
      <c r="AM121">
        <f>IF(NymexData!AC121="",VLOOKUP('Pricing Summary'!AB121,NymexData!$S$12:$U$250,3),VLOOKUP(NymexData!AA121,NymexData!$AA$12:$AC$250,3))</f>
        <v>0.185</v>
      </c>
      <c r="AO121" s="370">
        <f>AD121*24*VLOOKUP(AB121,Interest!$X$8:$AC$367,6)</f>
        <v>450.80660787773968</v>
      </c>
    </row>
    <row r="122" spans="28:41" x14ac:dyDescent="0.2">
      <c r="AB122" s="266">
        <f>[4]EnergyCurve!$D144</f>
        <v>40544</v>
      </c>
      <c r="AC122" s="30">
        <f>IF(TradeSum!$L$6=0,VLOOKUP(AB122,TradeSum!$DM$13:$DQ$252,2)+VLOOKUP(AB122,TradeSum!$DU$13:$DY$252,3),VLOOKUP(AB122,TradeSum!$DU$13:$DY$252,2)+VLOOKUP(AB122,TradeSum!$DU$13:$DY$252,3))</f>
        <v>25</v>
      </c>
      <c r="AD122" s="30">
        <f>VLOOKUP(AB122,TradeSum!$DM$13:$DR$252,6)</f>
        <v>31</v>
      </c>
      <c r="AE122" s="30">
        <f>IF(TradeSum!$L$6=0,VLOOKUP(AB122,TradeSum!$DM$13:$DQ$252,2),VLOOKUP(AB122,TradeSum!$DU$13:$DY$252,2))</f>
        <v>21</v>
      </c>
      <c r="AF122" s="274">
        <f>[4]EnergyCurve!$G144</f>
        <v>42.770401225290733</v>
      </c>
      <c r="AG122" s="274">
        <f>[4]EnergyCurve!$Y144</f>
        <v>40.631881164026197</v>
      </c>
      <c r="AH122" s="274">
        <f>[4]EnergyCurve!$AD144</f>
        <v>27.800760796438979</v>
      </c>
      <c r="AI122" s="274">
        <f>[4]EnergyCurve!$L144</f>
        <v>27.800760796438979</v>
      </c>
      <c r="AJ122">
        <f t="shared" si="24"/>
        <v>42.428238015488404</v>
      </c>
      <c r="AK122">
        <f t="shared" si="25"/>
        <v>35.664995860444044</v>
      </c>
      <c r="AM122">
        <f>IF(NymexData!AC122="",VLOOKUP('Pricing Summary'!AB122,NymexData!$S$12:$U$250,3),VLOOKUP(NymexData!AA122,NymexData!$AA$12:$AC$250,3))</f>
        <v>0.185</v>
      </c>
      <c r="AO122" s="370">
        <f>AD122*24*VLOOKUP(AB122,Interest!$X$8:$AC$367,6)</f>
        <v>447.97613507019196</v>
      </c>
    </row>
    <row r="123" spans="28:41" x14ac:dyDescent="0.2">
      <c r="AB123" s="266">
        <f>[4]EnergyCurve!$D145</f>
        <v>40575</v>
      </c>
      <c r="AC123" s="30">
        <f>IF(TradeSum!$L$6=0,VLOOKUP(AB123,TradeSum!$DM$13:$DQ$252,2)+VLOOKUP(AB123,TradeSum!$DU$13:$DY$252,3),VLOOKUP(AB123,TradeSum!$DU$13:$DY$252,2)+VLOOKUP(AB123,TradeSum!$DU$13:$DY$252,3))</f>
        <v>24</v>
      </c>
      <c r="AD123" s="30">
        <f>VLOOKUP(AB123,TradeSum!$DM$13:$DR$252,6)</f>
        <v>28</v>
      </c>
      <c r="AE123" s="30">
        <f>IF(TradeSum!$L$6=0,VLOOKUP(AB123,TradeSum!$DM$13:$DQ$252,2),VLOOKUP(AB123,TradeSum!$DU$13:$DY$252,2))</f>
        <v>20</v>
      </c>
      <c r="AF123" s="274">
        <f>[4]EnergyCurve!$G145</f>
        <v>41.85018489859732</v>
      </c>
      <c r="AG123" s="274">
        <f>[4]EnergyCurve!$Y145</f>
        <v>39.757675653667455</v>
      </c>
      <c r="AH123" s="274">
        <f>[4]EnergyCurve!$AD145</f>
        <v>27.202620184088257</v>
      </c>
      <c r="AI123" s="274">
        <f>[4]EnergyCurve!$L145</f>
        <v>27.202620184088257</v>
      </c>
      <c r="AJ123">
        <f t="shared" si="24"/>
        <v>41.501433357775674</v>
      </c>
      <c r="AK123">
        <f t="shared" si="25"/>
        <v>35.373370569052497</v>
      </c>
      <c r="AM123">
        <f>IF(NymexData!AC123="",VLOOKUP('Pricing Summary'!AB123,NymexData!$S$12:$U$250,3),VLOOKUP(NymexData!AA123,NymexData!$AA$12:$AC$250,3))</f>
        <v>0.185</v>
      </c>
      <c r="AO123" s="370">
        <f>AD123*24*VLOOKUP(AB123,Interest!$X$8:$AC$367,6)</f>
        <v>402.25198925449291</v>
      </c>
    </row>
    <row r="124" spans="28:41" x14ac:dyDescent="0.2">
      <c r="AB124" s="266">
        <f>[4]EnergyCurve!$D146</f>
        <v>40603</v>
      </c>
      <c r="AC124" s="30">
        <f>IF(TradeSum!$L$6=0,VLOOKUP(AB124,TradeSum!$DM$13:$DQ$252,2)+VLOOKUP(AB124,TradeSum!$DU$13:$DY$252,3),VLOOKUP(AB124,TradeSum!$DU$13:$DY$252,2)+VLOOKUP(AB124,TradeSum!$DU$13:$DY$252,3))</f>
        <v>27</v>
      </c>
      <c r="AD124" s="30">
        <f>VLOOKUP(AB124,TradeSum!$DM$13:$DR$252,6)</f>
        <v>31</v>
      </c>
      <c r="AE124" s="30">
        <f>IF(TradeSum!$L$6=0,VLOOKUP(AB124,TradeSum!$DM$13:$DQ$252,2),VLOOKUP(AB124,TradeSum!$DU$13:$DY$252,2))</f>
        <v>23</v>
      </c>
      <c r="AF124" s="274">
        <f>[4]EnergyCurve!$G146</f>
        <v>40.380243342385469</v>
      </c>
      <c r="AG124" s="274">
        <f>[4]EnergyCurve!$Y146</f>
        <v>38.361231175266191</v>
      </c>
      <c r="AH124" s="274">
        <f>[4]EnergyCurve!$AD146</f>
        <v>26.247158172550556</v>
      </c>
      <c r="AI124" s="274">
        <f>[4]EnergyCurve!$L146</f>
        <v>26.247158172550556</v>
      </c>
      <c r="AJ124">
        <f t="shared" si="24"/>
        <v>40.081130428738163</v>
      </c>
      <c r="AK124">
        <f t="shared" si="25"/>
        <v>34.279787224530452</v>
      </c>
      <c r="AM124">
        <f>IF(NymexData!AC124="",VLOOKUP('Pricing Summary'!AB124,NymexData!$S$12:$U$250,3),VLOOKUP(NymexData!AA124,NymexData!$AA$12:$AC$250,3))</f>
        <v>0.18</v>
      </c>
      <c r="AO124" s="370">
        <f>AD124*24*VLOOKUP(AB124,Interest!$X$8:$AC$367,6)</f>
        <v>442.60084425035751</v>
      </c>
    </row>
    <row r="125" spans="28:41" x14ac:dyDescent="0.2">
      <c r="AB125" s="266">
        <f>[4]EnergyCurve!$D147</f>
        <v>40634</v>
      </c>
      <c r="AC125" s="30">
        <f>IF(TradeSum!$L$6=0,VLOOKUP(AB125,TradeSum!$DM$13:$DQ$252,2)+VLOOKUP(AB125,TradeSum!$DU$13:$DY$252,3),VLOOKUP(AB125,TradeSum!$DU$13:$DY$252,2)+VLOOKUP(AB125,TradeSum!$DU$13:$DY$252,3))</f>
        <v>26</v>
      </c>
      <c r="AD125" s="30">
        <f>VLOOKUP(AB125,TradeSum!$DM$13:$DR$252,6)</f>
        <v>30</v>
      </c>
      <c r="AE125" s="30">
        <f>IF(TradeSum!$L$6=0,VLOOKUP(AB125,TradeSum!$DM$13:$DQ$252,2),VLOOKUP(AB125,TradeSum!$DU$13:$DY$252,2))</f>
        <v>21</v>
      </c>
      <c r="AF125" s="274">
        <f>[4]EnergyCurve!$G147</f>
        <v>37.784555739076879</v>
      </c>
      <c r="AG125" s="274">
        <f>[4]EnergyCurve!$Y147</f>
        <v>35.895327952123033</v>
      </c>
      <c r="AH125" s="274">
        <f>[4]EnergyCurve!$AD147</f>
        <v>24.559961230399974</v>
      </c>
      <c r="AI125" s="274">
        <f>[4]EnergyCurve!$L147</f>
        <v>24.559961230399974</v>
      </c>
      <c r="AJ125">
        <f t="shared" si="24"/>
        <v>37.421242703124214</v>
      </c>
      <c r="AK125">
        <f t="shared" si="25"/>
        <v>31.99092385908509</v>
      </c>
      <c r="AM125">
        <f>IF(NymexData!AC125="",VLOOKUP('Pricing Summary'!AB125,NymexData!$S$12:$U$250,3),VLOOKUP(NymexData!AA125,NymexData!$AA$12:$AC$250,3))</f>
        <v>0.18</v>
      </c>
      <c r="AO125" s="370">
        <f>AD125*24*VLOOKUP(AB125,Interest!$X$8:$AC$367,6)</f>
        <v>425.66073916578557</v>
      </c>
    </row>
    <row r="126" spans="28:41" x14ac:dyDescent="0.2">
      <c r="AB126" s="266">
        <f>[4]EnergyCurve!$D148</f>
        <v>40664</v>
      </c>
      <c r="AC126" s="30">
        <f>IF(TradeSum!$L$6=0,VLOOKUP(AB126,TradeSum!$DM$13:$DQ$252,2)+VLOOKUP(AB126,TradeSum!$DU$13:$DY$252,3),VLOOKUP(AB126,TradeSum!$DU$13:$DY$252,2)+VLOOKUP(AB126,TradeSum!$DU$13:$DY$252,3))</f>
        <v>25</v>
      </c>
      <c r="AD126" s="30">
        <f>VLOOKUP(AB126,TradeSum!$DM$13:$DR$252,6)</f>
        <v>31</v>
      </c>
      <c r="AE126" s="30">
        <f>IF(TradeSum!$L$6=0,VLOOKUP(AB126,TradeSum!$DM$13:$DQ$252,2),VLOOKUP(AB126,TradeSum!$DU$13:$DY$252,2))</f>
        <v>21</v>
      </c>
      <c r="AF126" s="274">
        <f>[4]EnergyCurve!$G148</f>
        <v>37.859236202723203</v>
      </c>
      <c r="AG126" s="274">
        <f>[4]EnergyCurve!$Y148</f>
        <v>35.966274392587039</v>
      </c>
      <c r="AH126" s="274">
        <f>[4]EnergyCurve!$AD148</f>
        <v>24.608503531770083</v>
      </c>
      <c r="AI126" s="274">
        <f>[4]EnergyCurve!$L148</f>
        <v>24.608503531770083</v>
      </c>
      <c r="AJ126">
        <f t="shared" si="24"/>
        <v>37.556362313101417</v>
      </c>
      <c r="AK126">
        <f t="shared" si="25"/>
        <v>31.569717930335315</v>
      </c>
      <c r="AM126">
        <f>IF(NymexData!AC126="",VLOOKUP('Pricing Summary'!AB126,NymexData!$S$12:$U$250,3),VLOOKUP(NymexData!AA126,NymexData!$AA$12:$AC$250,3))</f>
        <v>0.18</v>
      </c>
      <c r="AO126" s="370">
        <f>AD126*24*VLOOKUP(AB126,Interest!$X$8:$AC$367,6)</f>
        <v>437.06042478670355</v>
      </c>
    </row>
    <row r="127" spans="28:41" x14ac:dyDescent="0.2">
      <c r="AB127" s="266">
        <f>[4]EnergyCurve!$D149</f>
        <v>40695</v>
      </c>
      <c r="AC127" s="30">
        <f>IF(TradeSum!$L$6=0,VLOOKUP(AB127,TradeSum!$DM$13:$DQ$252,2)+VLOOKUP(AB127,TradeSum!$DU$13:$DY$252,3),VLOOKUP(AB127,TradeSum!$DU$13:$DY$252,2)+VLOOKUP(AB127,TradeSum!$DU$13:$DY$252,3))</f>
        <v>26</v>
      </c>
      <c r="AD127" s="30">
        <f>VLOOKUP(AB127,TradeSum!$DM$13:$DR$252,6)</f>
        <v>30</v>
      </c>
      <c r="AE127" s="30">
        <f>IF(TradeSum!$L$6=0,VLOOKUP(AB127,TradeSum!$DM$13:$DQ$252,2),VLOOKUP(AB127,TradeSum!$DU$13:$DY$252,2))</f>
        <v>22</v>
      </c>
      <c r="AF127" s="274">
        <f>[4]EnergyCurve!$G149</f>
        <v>38.289655860869594</v>
      </c>
      <c r="AG127" s="274">
        <f>[4]EnergyCurve!$Y149</f>
        <v>36.375173067826111</v>
      </c>
      <c r="AH127" s="274">
        <f>[4]EnergyCurve!$AD149</f>
        <v>24.888276309565239</v>
      </c>
      <c r="AI127" s="274">
        <f>[4]EnergyCurve!$L149</f>
        <v>24.888276309565239</v>
      </c>
      <c r="AJ127">
        <f t="shared" si="24"/>
        <v>37.995120046555215</v>
      </c>
      <c r="AK127">
        <f t="shared" si="25"/>
        <v>32.461119357603891</v>
      </c>
      <c r="AM127">
        <f>IF(NymexData!AC127="",VLOOKUP('Pricing Summary'!AB127,NymexData!$S$12:$U$250,3),VLOOKUP(NymexData!AA127,NymexData!$AA$12:$AC$250,3))</f>
        <v>0.18</v>
      </c>
      <c r="AO127" s="370">
        <f>AD127*24*VLOOKUP(AB127,Interest!$X$8:$AC$367,6)</f>
        <v>420.3075863798291</v>
      </c>
    </row>
    <row r="128" spans="28:41" x14ac:dyDescent="0.2">
      <c r="AB128" s="266">
        <f>[4]EnergyCurve!$D150</f>
        <v>40725</v>
      </c>
      <c r="AC128" s="30">
        <f>IF(TradeSum!$L$6=0,VLOOKUP(AB128,TradeSum!$DM$13:$DQ$252,2)+VLOOKUP(AB128,TradeSum!$DU$13:$DY$252,3),VLOOKUP(AB128,TradeSum!$DU$13:$DY$252,2)+VLOOKUP(AB128,TradeSum!$DU$13:$DY$252,3))</f>
        <v>25</v>
      </c>
      <c r="AD128" s="30">
        <f>VLOOKUP(AB128,TradeSum!$DM$13:$DR$252,6)</f>
        <v>31</v>
      </c>
      <c r="AE128" s="30">
        <f>IF(TradeSum!$L$6=0,VLOOKUP(AB128,TradeSum!$DM$13:$DQ$252,2),VLOOKUP(AB128,TradeSum!$DU$13:$DY$252,2))</f>
        <v>20</v>
      </c>
      <c r="AF128" s="274">
        <f>[4]EnergyCurve!$G150</f>
        <v>38.795509285891349</v>
      </c>
      <c r="AG128" s="274">
        <f>[4]EnergyCurve!$Y150</f>
        <v>36.855733821596779</v>
      </c>
      <c r="AH128" s="274">
        <f>[4]EnergyCurve!$AD150</f>
        <v>25.217081035829377</v>
      </c>
      <c r="AI128" s="274">
        <f>[4]EnergyCurve!$L150</f>
        <v>25.217081035829377</v>
      </c>
      <c r="AJ128">
        <f t="shared" si="24"/>
        <v>38.407554193032432</v>
      </c>
      <c r="AK128">
        <f t="shared" si="25"/>
        <v>32.308733270884787</v>
      </c>
      <c r="AM128">
        <f>IF(NymexData!AC128="",VLOOKUP('Pricing Summary'!AB128,NymexData!$S$12:$U$250,3),VLOOKUP(NymexData!AA128,NymexData!$AA$12:$AC$250,3))</f>
        <v>0.18</v>
      </c>
      <c r="AO128" s="370">
        <f>AD128*24*VLOOKUP(AB128,Interest!$X$8:$AC$367,6)</f>
        <v>431.53845782002173</v>
      </c>
    </row>
    <row r="129" spans="28:41" x14ac:dyDescent="0.2">
      <c r="AB129" s="266">
        <f>[4]EnergyCurve!$D151</f>
        <v>40756</v>
      </c>
      <c r="AC129" s="30">
        <f>IF(TradeSum!$L$6=0,VLOOKUP(AB129,TradeSum!$DM$13:$DQ$252,2)+VLOOKUP(AB129,TradeSum!$DU$13:$DY$252,3),VLOOKUP(AB129,TradeSum!$DU$13:$DY$252,2)+VLOOKUP(AB129,TradeSum!$DU$13:$DY$252,3))</f>
        <v>27</v>
      </c>
      <c r="AD129" s="30">
        <f>VLOOKUP(AB129,TradeSum!$DM$13:$DR$252,6)</f>
        <v>31</v>
      </c>
      <c r="AE129" s="30">
        <f>IF(TradeSum!$L$6=0,VLOOKUP(AB129,TradeSum!$DM$13:$DQ$252,2),VLOOKUP(AB129,TradeSum!$DU$13:$DY$252,2))</f>
        <v>23</v>
      </c>
      <c r="AF129" s="274">
        <f>[4]EnergyCurve!$G151</f>
        <v>39.227844575025038</v>
      </c>
      <c r="AG129" s="274">
        <f>[4]EnergyCurve!$Y151</f>
        <v>37.266452346273788</v>
      </c>
      <c r="AH129" s="274">
        <f>[4]EnergyCurve!$AD151</f>
        <v>25.498098973766275</v>
      </c>
      <c r="AI129" s="274">
        <f>[4]EnergyCurve!$L151</f>
        <v>25.498098973766275</v>
      </c>
      <c r="AJ129">
        <f t="shared" si="24"/>
        <v>38.937267948543372</v>
      </c>
      <c r="AK129">
        <f t="shared" si="25"/>
        <v>33.301487410733621</v>
      </c>
      <c r="AM129">
        <f>IF(NymexData!AC129="",VLOOKUP('Pricing Summary'!AB129,NymexData!$S$12:$U$250,3),VLOOKUP(NymexData!AA129,NymexData!$AA$12:$AC$250,3))</f>
        <v>0.18</v>
      </c>
      <c r="AO129" s="370">
        <f>AD129*24*VLOOKUP(AB129,Interest!$X$8:$AC$367,6)</f>
        <v>428.73962897055958</v>
      </c>
    </row>
    <row r="130" spans="28:41" x14ac:dyDescent="0.2">
      <c r="AB130" s="266">
        <f>[4]EnergyCurve!$D152</f>
        <v>40787</v>
      </c>
      <c r="AC130" s="30">
        <f>IF(TradeSum!$L$6=0,VLOOKUP(AB130,TradeSum!$DM$13:$DQ$252,2)+VLOOKUP(AB130,TradeSum!$DU$13:$DY$252,3),VLOOKUP(AB130,TradeSum!$DU$13:$DY$252,2)+VLOOKUP(AB130,TradeSum!$DU$13:$DY$252,3))</f>
        <v>25</v>
      </c>
      <c r="AD130" s="30">
        <f>VLOOKUP(AB130,TradeSum!$DM$13:$DR$252,6)</f>
        <v>30</v>
      </c>
      <c r="AE130" s="30">
        <f>IF(TradeSum!$L$6=0,VLOOKUP(AB130,TradeSum!$DM$13:$DQ$252,2),VLOOKUP(AB130,TradeSum!$DU$13:$DY$252,2))</f>
        <v>21</v>
      </c>
      <c r="AF130" s="274">
        <f>[4]EnergyCurve!$G152</f>
        <v>39.187583897328459</v>
      </c>
      <c r="AG130" s="274">
        <f>[4]EnergyCurve!$Y152</f>
        <v>37.228204702462037</v>
      </c>
      <c r="AH130" s="274">
        <f>[4]EnergyCurve!$AD152</f>
        <v>25.471929533263499</v>
      </c>
      <c r="AI130" s="274">
        <f>[4]EnergyCurve!$L152</f>
        <v>25.471929533263499</v>
      </c>
      <c r="AJ130">
        <f t="shared" si="24"/>
        <v>38.874083226149835</v>
      </c>
      <c r="AK130">
        <f t="shared" si="25"/>
        <v>32.917570473755909</v>
      </c>
      <c r="AM130">
        <f>IF(NymexData!AC130="",VLOOKUP('Pricing Summary'!AB130,NymexData!$S$12:$U$250,3),VLOOKUP(NymexData!AA130,NymexData!$AA$12:$AC$250,3))</f>
        <v>0.18</v>
      </c>
      <c r="AO130" s="370">
        <f>AD130*24*VLOOKUP(AB130,Interest!$X$8:$AC$367,6)</f>
        <v>412.26907513722841</v>
      </c>
    </row>
    <row r="131" spans="28:41" x14ac:dyDescent="0.2">
      <c r="AB131" s="266">
        <f>[4]EnergyCurve!$D153</f>
        <v>40817</v>
      </c>
      <c r="AC131" s="30">
        <f>IF(TradeSum!$L$6=0,VLOOKUP(AB131,TradeSum!$DM$13:$DQ$252,2)+VLOOKUP(AB131,TradeSum!$DU$13:$DY$252,3),VLOOKUP(AB131,TradeSum!$DU$13:$DY$252,2)+VLOOKUP(AB131,TradeSum!$DU$13:$DY$252,3))</f>
        <v>26</v>
      </c>
      <c r="AD131" s="30">
        <f>VLOOKUP(AB131,TradeSum!$DM$13:$DR$252,6)</f>
        <v>31</v>
      </c>
      <c r="AE131" s="30">
        <f>IF(TradeSum!$L$6=0,VLOOKUP(AB131,TradeSum!$DM$13:$DQ$252,2),VLOOKUP(AB131,TradeSum!$DU$13:$DY$252,2))</f>
        <v>21</v>
      </c>
      <c r="AF131" s="274">
        <f>[4]EnergyCurve!$G153</f>
        <v>39.211522995165822</v>
      </c>
      <c r="AG131" s="274">
        <f>[4]EnergyCurve!$Y153</f>
        <v>37.250946845407526</v>
      </c>
      <c r="AH131" s="274">
        <f>[4]EnergyCurve!$AD153</f>
        <v>25.487489946857782</v>
      </c>
      <c r="AI131" s="274">
        <f>[4]EnergyCurve!$L153</f>
        <v>25.487489946857782</v>
      </c>
      <c r="AJ131">
        <f t="shared" si="24"/>
        <v>38.834489120212304</v>
      </c>
      <c r="AK131">
        <f t="shared" si="25"/>
        <v>32.950328194324825</v>
      </c>
      <c r="AM131">
        <f>IF(NymexData!AC131="",VLOOKUP('Pricing Summary'!AB131,NymexData!$S$12:$U$250,3),VLOOKUP(NymexData!AA131,NymexData!$AA$12:$AC$250,3))</f>
        <v>0.18</v>
      </c>
      <c r="AO131" s="370">
        <f>AD131*24*VLOOKUP(AB131,Interest!$X$8:$AC$367,6)</f>
        <v>423.24751761483913</v>
      </c>
    </row>
    <row r="132" spans="28:41" x14ac:dyDescent="0.2">
      <c r="AB132" s="266">
        <f>[4]EnergyCurve!$D154</f>
        <v>40848</v>
      </c>
      <c r="AC132" s="30">
        <f>IF(TradeSum!$L$6=0,VLOOKUP(AB132,TradeSum!$DM$13:$DQ$252,2)+VLOOKUP(AB132,TradeSum!$DU$13:$DY$252,3),VLOOKUP(AB132,TradeSum!$DU$13:$DY$252,2)+VLOOKUP(AB132,TradeSum!$DU$13:$DY$252,3))</f>
        <v>25</v>
      </c>
      <c r="AD132" s="30">
        <f>VLOOKUP(AB132,TradeSum!$DM$13:$DR$252,6)</f>
        <v>30</v>
      </c>
      <c r="AE132" s="30">
        <f>IF(TradeSum!$L$6=0,VLOOKUP(AB132,TradeSum!$DM$13:$DQ$252,2),VLOOKUP(AB132,TradeSum!$DU$13:$DY$252,2))</f>
        <v>21</v>
      </c>
      <c r="AF132" s="274">
        <f>[4]EnergyCurve!$G154</f>
        <v>41.488980318355829</v>
      </c>
      <c r="AG132" s="274">
        <f>[4]EnergyCurve!$Y154</f>
        <v>39.414531302438036</v>
      </c>
      <c r="AH132" s="274">
        <f>[4]EnergyCurve!$AD154</f>
        <v>26.967837206931289</v>
      </c>
      <c r="AI132" s="274">
        <f>[4]EnergyCurve!$L154</f>
        <v>26.967837206931289</v>
      </c>
      <c r="AJ132">
        <f t="shared" si="24"/>
        <v>41.157068475808984</v>
      </c>
      <c r="AK132">
        <f t="shared" si="25"/>
        <v>34.850743467418894</v>
      </c>
      <c r="AM132">
        <f>IF(NymexData!AC132="",VLOOKUP('Pricing Summary'!AB132,NymexData!$S$12:$U$250,3),VLOOKUP(NymexData!AA132,NymexData!$AA$12:$AC$250,3))</f>
        <v>0.18</v>
      </c>
      <c r="AO132" s="370">
        <f>AD132*24*VLOOKUP(AB132,Interest!$X$8:$AC$367,6)</f>
        <v>407.07716141179588</v>
      </c>
    </row>
    <row r="133" spans="28:41" x14ac:dyDescent="0.2">
      <c r="AB133" s="266">
        <f>[4]EnergyCurve!$D155</f>
        <v>40878</v>
      </c>
      <c r="AC133" s="30">
        <f>IF(TradeSum!$L$6=0,VLOOKUP(AB133,TradeSum!$DM$13:$DQ$252,2)+VLOOKUP(AB133,TradeSum!$DU$13:$DY$252,3),VLOOKUP(AB133,TradeSum!$DU$13:$DY$252,2)+VLOOKUP(AB133,TradeSum!$DU$13:$DY$252,3))</f>
        <v>26</v>
      </c>
      <c r="AD133" s="30">
        <f>VLOOKUP(AB133,TradeSum!$DM$13:$DR$252,6)</f>
        <v>31</v>
      </c>
      <c r="AE133" s="30">
        <f>IF(TradeSum!$L$6=0,VLOOKUP(AB133,TradeSum!$DM$13:$DQ$252,2),VLOOKUP(AB133,TradeSum!$DU$13:$DY$252,2))</f>
        <v>21</v>
      </c>
      <c r="AF133" s="274">
        <f>[4]EnergyCurve!$G155</f>
        <v>43.15428165929039</v>
      </c>
      <c r="AG133" s="274">
        <f>[4]EnergyCurve!$Y155</f>
        <v>40.996567576325866</v>
      </c>
      <c r="AH133" s="274">
        <f>[4]EnergyCurve!$AD155</f>
        <v>28.050283078538754</v>
      </c>
      <c r="AI133" s="274">
        <f>[4]EnergyCurve!$L155</f>
        <v>28.050283078538754</v>
      </c>
      <c r="AJ133">
        <f t="shared" si="24"/>
        <v>42.739336643335676</v>
      </c>
      <c r="AK133">
        <f t="shared" si="25"/>
        <v>36.26351732982306</v>
      </c>
      <c r="AM133">
        <f>IF(NymexData!AC133="",VLOOKUP('Pricing Summary'!AB133,NymexData!$S$12:$U$250,3),VLOOKUP(NymexData!AA133,NymexData!$AA$12:$AC$250,3))</f>
        <v>0.18</v>
      </c>
      <c r="AO133" s="370">
        <f>AD133*24*VLOOKUP(AB133,Interest!$X$8:$AC$367,6)</f>
        <v>418.3333723439269</v>
      </c>
    </row>
    <row r="134" spans="28:41" x14ac:dyDescent="0.2">
      <c r="AB134" s="266">
        <f>[4]EnergyCurve!$D156</f>
        <v>40909</v>
      </c>
      <c r="AC134" s="30">
        <f>IF(TradeSum!$L$6=0,VLOOKUP(AB134,TradeSum!$DM$13:$DQ$252,2)+VLOOKUP(AB134,TradeSum!$DU$13:$DY$252,3),VLOOKUP(AB134,TradeSum!$DU$13:$DY$252,2)+VLOOKUP(AB134,TradeSum!$DU$13:$DY$252,3))</f>
        <v>25</v>
      </c>
      <c r="AD134" s="30">
        <f>VLOOKUP(AB134,TradeSum!$DM$13:$DR$252,6)</f>
        <v>31</v>
      </c>
      <c r="AE134" s="30">
        <f>IF(TradeSum!$L$6=0,VLOOKUP(AB134,TradeSum!$DM$13:$DQ$252,2),VLOOKUP(AB134,TradeSum!$DU$13:$DY$252,2))</f>
        <v>21</v>
      </c>
      <c r="AF134" s="274">
        <f>[4]EnergyCurve!$G156</f>
        <v>42.770401225290733</v>
      </c>
      <c r="AG134" s="274">
        <f>[4]EnergyCurve!$Y156</f>
        <v>40.631881164026197</v>
      </c>
      <c r="AH134" s="274">
        <f>[4]EnergyCurve!$AD156</f>
        <v>27.800760796438979</v>
      </c>
      <c r="AI134" s="274">
        <f>[4]EnergyCurve!$L156</f>
        <v>27.800760796438979</v>
      </c>
      <c r="AJ134">
        <f t="shared" si="24"/>
        <v>42.428238015488404</v>
      </c>
      <c r="AK134">
        <f t="shared" si="25"/>
        <v>35.664995860444044</v>
      </c>
      <c r="AM134">
        <f>IF(NymexData!AC134="",VLOOKUP('Pricing Summary'!AB134,NymexData!$S$12:$U$250,3),VLOOKUP(NymexData!AA134,NymexData!$AA$12:$AC$250,3))</f>
        <v>0.18</v>
      </c>
      <c r="AO134" s="370">
        <f>AD134*24*VLOOKUP(AB134,Interest!$X$8:$AC$367,6)</f>
        <v>416.01787147198047</v>
      </c>
    </row>
    <row r="135" spans="28:41" x14ac:dyDescent="0.2">
      <c r="AB135" s="266">
        <f>[4]EnergyCurve!$D157</f>
        <v>40940</v>
      </c>
      <c r="AC135" s="30">
        <f>IF(TradeSum!$L$6=0,VLOOKUP(AB135,TradeSum!$DM$13:$DQ$252,2)+VLOOKUP(AB135,TradeSum!$DU$13:$DY$252,3),VLOOKUP(AB135,TradeSum!$DU$13:$DY$252,2)+VLOOKUP(AB135,TradeSum!$DU$13:$DY$252,3))</f>
        <v>25</v>
      </c>
      <c r="AD135" s="30">
        <f>VLOOKUP(AB135,TradeSum!$DM$13:$DR$252,6)</f>
        <v>29</v>
      </c>
      <c r="AE135" s="30">
        <f>IF(TradeSum!$L$6=0,VLOOKUP(AB135,TradeSum!$DM$13:$DQ$252,2),VLOOKUP(AB135,TradeSum!$DU$13:$DY$252,2))</f>
        <v>21</v>
      </c>
      <c r="AF135" s="274">
        <f>[4]EnergyCurve!$G157</f>
        <v>41.85018489859732</v>
      </c>
      <c r="AG135" s="274">
        <f>[4]EnergyCurve!$Y157</f>
        <v>39.757675653667455</v>
      </c>
      <c r="AH135" s="274">
        <f>[4]EnergyCurve!$AD157</f>
        <v>27.202620184088257</v>
      </c>
      <c r="AI135" s="274">
        <f>[4]EnergyCurve!$L157</f>
        <v>27.202620184088257</v>
      </c>
      <c r="AJ135">
        <f t="shared" si="24"/>
        <v>41.515383419408536</v>
      </c>
      <c r="AK135">
        <f t="shared" si="25"/>
        <v>35.428346181398759</v>
      </c>
      <c r="AM135">
        <f>IF(NymexData!AC135="",VLOOKUP('Pricing Summary'!AB135,NymexData!$S$12:$U$250,3),VLOOKUP(NymexData!AA135,NymexData!$AA$12:$AC$250,3))</f>
        <v>0.17499999999999999</v>
      </c>
      <c r="AO135" s="370">
        <f>AD135*24*VLOOKUP(AB135,Interest!$X$8:$AC$367,6)</f>
        <v>387.1390583392905</v>
      </c>
    </row>
    <row r="136" spans="28:41" x14ac:dyDescent="0.2">
      <c r="AB136" s="266">
        <f>[4]EnergyCurve!$D158</f>
        <v>40969</v>
      </c>
      <c r="AC136" s="30">
        <f>IF(TradeSum!$L$6=0,VLOOKUP(AB136,TradeSum!$DM$13:$DQ$252,2)+VLOOKUP(AB136,TradeSum!$DU$13:$DY$252,3),VLOOKUP(AB136,TradeSum!$DU$13:$DY$252,2)+VLOOKUP(AB136,TradeSum!$DU$13:$DY$252,3))</f>
        <v>27</v>
      </c>
      <c r="AD136" s="30">
        <f>VLOOKUP(AB136,TradeSum!$DM$13:$DR$252,6)</f>
        <v>31</v>
      </c>
      <c r="AE136" s="30">
        <f>IF(TradeSum!$L$6=0,VLOOKUP(AB136,TradeSum!$DM$13:$DQ$252,2),VLOOKUP(AB136,TradeSum!$DU$13:$DY$252,2))</f>
        <v>22</v>
      </c>
      <c r="AF136" s="274">
        <f>[4]EnergyCurve!$G158</f>
        <v>40.380243342385469</v>
      </c>
      <c r="AG136" s="274">
        <f>[4]EnergyCurve!$Y158</f>
        <v>38.361231175266191</v>
      </c>
      <c r="AH136" s="274">
        <f>[4]EnergyCurve!$AD158</f>
        <v>26.247158172550556</v>
      </c>
      <c r="AI136" s="274">
        <f>[4]EnergyCurve!$L158</f>
        <v>26.247158172550556</v>
      </c>
      <c r="AJ136">
        <f t="shared" si="24"/>
        <v>40.006352200326347</v>
      </c>
      <c r="AK136">
        <f t="shared" si="25"/>
        <v>34.23636760803327</v>
      </c>
      <c r="AM136">
        <f>IF(NymexData!AC136="",VLOOKUP('Pricing Summary'!AB136,NymexData!$S$12:$U$250,3),VLOOKUP(NymexData!AA136,NymexData!$AA$12:$AC$250,3))</f>
        <v>0.17</v>
      </c>
      <c r="AO136" s="370">
        <f>AD136*24*VLOOKUP(AB136,Interest!$X$8:$AC$367,6)</f>
        <v>411.5580114315934</v>
      </c>
    </row>
    <row r="137" spans="28:41" x14ac:dyDescent="0.2">
      <c r="AB137" s="266">
        <f>[4]EnergyCurve!$D159</f>
        <v>41000</v>
      </c>
      <c r="AC137" s="30">
        <f>IF(TradeSum!$L$6=0,VLOOKUP(AB137,TradeSum!$DM$13:$DQ$252,2)+VLOOKUP(AB137,TradeSum!$DU$13:$DY$252,3),VLOOKUP(AB137,TradeSum!$DU$13:$DY$252,2)+VLOOKUP(AB137,TradeSum!$DU$13:$DY$252,3))</f>
        <v>25</v>
      </c>
      <c r="AD137" s="30">
        <f>VLOOKUP(AB137,TradeSum!$DM$13:$DR$252,6)</f>
        <v>30</v>
      </c>
      <c r="AE137" s="30">
        <f>IF(TradeSum!$L$6=0,VLOOKUP(AB137,TradeSum!$DM$13:$DQ$252,2),VLOOKUP(AB137,TradeSum!$DU$13:$DY$252,2))</f>
        <v>21</v>
      </c>
      <c r="AF137" s="274">
        <f>[4]EnergyCurve!$G159</f>
        <v>37.784555739076879</v>
      </c>
      <c r="AG137" s="274">
        <f>[4]EnergyCurve!$Y159</f>
        <v>35.895327952123033</v>
      </c>
      <c r="AH137" s="274">
        <f>[4]EnergyCurve!$AD159</f>
        <v>24.559961230399974</v>
      </c>
      <c r="AI137" s="274">
        <f>[4]EnergyCurve!$L159</f>
        <v>24.559961230399974</v>
      </c>
      <c r="AJ137">
        <f t="shared" si="24"/>
        <v>37.482279293164268</v>
      </c>
      <c r="AK137">
        <f t="shared" si="25"/>
        <v>31.739026820824584</v>
      </c>
      <c r="AM137">
        <f>IF(NymexData!AC137="",VLOOKUP('Pricing Summary'!AB137,NymexData!$S$12:$U$250,3),VLOOKUP(NymexData!AA137,NymexData!$AA$12:$AC$250,3))</f>
        <v>0.17</v>
      </c>
      <c r="AO137" s="370">
        <f>AD137*24*VLOOKUP(AB137,Interest!$X$8:$AC$367,6)</f>
        <v>396.12447589436619</v>
      </c>
    </row>
    <row r="138" spans="28:41" x14ac:dyDescent="0.2">
      <c r="AB138" s="266">
        <f>[4]EnergyCurve!$D160</f>
        <v>41030</v>
      </c>
      <c r="AC138" s="30">
        <f>IF(TradeSum!$L$6=0,VLOOKUP(AB138,TradeSum!$DM$13:$DQ$252,2)+VLOOKUP(AB138,TradeSum!$DU$13:$DY$252,3),VLOOKUP(AB138,TradeSum!$DU$13:$DY$252,2)+VLOOKUP(AB138,TradeSum!$DU$13:$DY$252,3))</f>
        <v>26</v>
      </c>
      <c r="AD138" s="30">
        <f>VLOOKUP(AB138,TradeSum!$DM$13:$DR$252,6)</f>
        <v>31</v>
      </c>
      <c r="AE138" s="30">
        <f>IF(TradeSum!$L$6=0,VLOOKUP(AB138,TradeSum!$DM$13:$DQ$252,2),VLOOKUP(AB138,TradeSum!$DU$13:$DY$252,2))</f>
        <v>22</v>
      </c>
      <c r="AF138" s="274">
        <f>[4]EnergyCurve!$G160</f>
        <v>37.859236202723203</v>
      </c>
      <c r="AG138" s="274">
        <f>[4]EnergyCurve!$Y160</f>
        <v>35.966274392587039</v>
      </c>
      <c r="AH138" s="274">
        <f>[4]EnergyCurve!$AD160</f>
        <v>24.608503531770083</v>
      </c>
      <c r="AI138" s="274">
        <f>[4]EnergyCurve!$L160</f>
        <v>24.608503531770083</v>
      </c>
      <c r="AJ138">
        <f t="shared" si="24"/>
        <v>37.5680113088561</v>
      </c>
      <c r="AK138">
        <f t="shared" si="25"/>
        <v>31.854679923259038</v>
      </c>
      <c r="AM138">
        <f>IF(NymexData!AC138="",VLOOKUP('Pricing Summary'!AB138,NymexData!$S$12:$U$250,3),VLOOKUP(NymexData!AA138,NymexData!$AA$12:$AC$250,3))</f>
        <v>0.17</v>
      </c>
      <c r="AO138" s="370">
        <f>AD138*24*VLOOKUP(AB138,Interest!$X$8:$AC$367,6)</f>
        <v>407.05332306649643</v>
      </c>
    </row>
    <row r="139" spans="28:41" x14ac:dyDescent="0.2">
      <c r="AB139" s="266">
        <f>[4]EnergyCurve!$D161</f>
        <v>41061</v>
      </c>
      <c r="AC139" s="30">
        <f>IF(TradeSum!$L$6=0,VLOOKUP(AB139,TradeSum!$DM$13:$DQ$252,2)+VLOOKUP(AB139,TradeSum!$DU$13:$DY$252,3),VLOOKUP(AB139,TradeSum!$DU$13:$DY$252,2)+VLOOKUP(AB139,TradeSum!$DU$13:$DY$252,3))</f>
        <v>26</v>
      </c>
      <c r="AD139" s="30">
        <f>VLOOKUP(AB139,TradeSum!$DM$13:$DR$252,6)</f>
        <v>30</v>
      </c>
      <c r="AE139" s="30">
        <f>IF(TradeSum!$L$6=0,VLOOKUP(AB139,TradeSum!$DM$13:$DQ$252,2),VLOOKUP(AB139,TradeSum!$DU$13:$DY$252,2))</f>
        <v>21</v>
      </c>
      <c r="AF139" s="274">
        <f>[4]EnergyCurve!$G161</f>
        <v>38.289655860869594</v>
      </c>
      <c r="AG139" s="274">
        <f>[4]EnergyCurve!$Y161</f>
        <v>36.375173067826111</v>
      </c>
      <c r="AH139" s="274">
        <f>[4]EnergyCurve!$AD161</f>
        <v>24.888276309565239</v>
      </c>
      <c r="AI139" s="274">
        <f>[4]EnergyCurve!$L161</f>
        <v>24.888276309565239</v>
      </c>
      <c r="AJ139">
        <f t="shared" si="24"/>
        <v>37.921486092976615</v>
      </c>
      <c r="AK139">
        <f t="shared" si="25"/>
        <v>32.418575295536257</v>
      </c>
      <c r="AM139">
        <f>IF(NymexData!AC139="",VLOOKUP('Pricing Summary'!AB139,NymexData!$S$12:$U$250,3),VLOOKUP(NymexData!AA139,NymexData!$AA$12:$AC$250,3))</f>
        <v>0.17</v>
      </c>
      <c r="AO139" s="370">
        <f>AD139*24*VLOOKUP(AB139,Interest!$X$8:$AC$367,6)</f>
        <v>391.77925039002025</v>
      </c>
    </row>
    <row r="140" spans="28:41" x14ac:dyDescent="0.2">
      <c r="AB140" s="266">
        <f>[4]EnergyCurve!$D162</f>
        <v>41091</v>
      </c>
      <c r="AC140" s="30">
        <f>IF(TradeSum!$L$6=0,VLOOKUP(AB140,TradeSum!$DM$13:$DQ$252,2)+VLOOKUP(AB140,TradeSum!$DU$13:$DY$252,3),VLOOKUP(AB140,TradeSum!$DU$13:$DY$252,2)+VLOOKUP(AB140,TradeSum!$DU$13:$DY$252,3))</f>
        <v>25</v>
      </c>
      <c r="AD140" s="30">
        <f>VLOOKUP(AB140,TradeSum!$DM$13:$DR$252,6)</f>
        <v>31</v>
      </c>
      <c r="AE140" s="30">
        <f>IF(TradeSum!$L$6=0,VLOOKUP(AB140,TradeSum!$DM$13:$DQ$252,2),VLOOKUP(AB140,TradeSum!$DU$13:$DY$252,2))</f>
        <v>21</v>
      </c>
      <c r="AF140" s="274">
        <f>[4]EnergyCurve!$G162</f>
        <v>38.795509285891349</v>
      </c>
      <c r="AG140" s="274">
        <f>[4]EnergyCurve!$Y162</f>
        <v>36.855733821596779</v>
      </c>
      <c r="AH140" s="274">
        <f>[4]EnergyCurve!$AD162</f>
        <v>25.217081035829377</v>
      </c>
      <c r="AI140" s="274">
        <f>[4]EnergyCurve!$L162</f>
        <v>25.217081035829377</v>
      </c>
      <c r="AJ140">
        <f t="shared" si="24"/>
        <v>38.48514521160422</v>
      </c>
      <c r="AK140">
        <f t="shared" si="25"/>
        <v>32.350448872267464</v>
      </c>
      <c r="AM140">
        <f>IF(NymexData!AC140="",VLOOKUP('Pricing Summary'!AB140,NymexData!$S$12:$U$250,3),VLOOKUP(NymexData!AA140,NymexData!$AA$12:$AC$250,3))</f>
        <v>0.17</v>
      </c>
      <c r="AO140" s="370">
        <f>AD140*24*VLOOKUP(AB140,Interest!$X$8:$AC$367,6)</f>
        <v>402.57849004040924</v>
      </c>
    </row>
    <row r="141" spans="28:41" x14ac:dyDescent="0.2">
      <c r="AB141" s="266">
        <f>[4]EnergyCurve!$D163</f>
        <v>41122</v>
      </c>
      <c r="AC141" s="30">
        <f>IF(TradeSum!$L$6=0,VLOOKUP(AB141,TradeSum!$DM$13:$DQ$252,2)+VLOOKUP(AB141,TradeSum!$DU$13:$DY$252,3),VLOOKUP(AB141,TradeSum!$DU$13:$DY$252,2)+VLOOKUP(AB141,TradeSum!$DU$13:$DY$252,3))</f>
        <v>27</v>
      </c>
      <c r="AD141" s="30">
        <f>VLOOKUP(AB141,TradeSum!$DM$13:$DR$252,6)</f>
        <v>31</v>
      </c>
      <c r="AE141" s="30">
        <f>IF(TradeSum!$L$6=0,VLOOKUP(AB141,TradeSum!$DM$13:$DQ$252,2),VLOOKUP(AB141,TradeSum!$DU$13:$DY$252,2))</f>
        <v>23</v>
      </c>
      <c r="AF141" s="274">
        <f>[4]EnergyCurve!$G163</f>
        <v>39.227844575025038</v>
      </c>
      <c r="AG141" s="274">
        <f>[4]EnergyCurve!$Y163</f>
        <v>37.266452346273788</v>
      </c>
      <c r="AH141" s="274">
        <f>[4]EnergyCurve!$AD163</f>
        <v>25.498098973766275</v>
      </c>
      <c r="AI141" s="274">
        <f>[4]EnergyCurve!$L163</f>
        <v>25.498098973766275</v>
      </c>
      <c r="AJ141">
        <f t="shared" ref="AJ141:AJ204" si="26">(AE141*AF141+(AC141-AE141)*AG141)/AC141</f>
        <v>38.937267948543372</v>
      </c>
      <c r="AK141">
        <f t="shared" ref="AK141:AK204" si="27">(AC141*16*AJ141+(AD141-AC141)*16*AH141+AD141*8*AI141)/(AD141*24)</f>
        <v>33.301487410733621</v>
      </c>
      <c r="AM141">
        <f>IF(NymexData!AC141="",VLOOKUP('Pricing Summary'!AB141,NymexData!$S$12:$U$250,3),VLOOKUP(NymexData!AA141,NymexData!$AA$12:$AC$250,3))</f>
        <v>0.17</v>
      </c>
      <c r="AO141" s="370">
        <f>AD141*24*VLOOKUP(AB141,Interest!$X$8:$AC$367,6)</f>
        <v>400.31586954305976</v>
      </c>
    </row>
    <row r="142" spans="28:41" x14ac:dyDescent="0.2">
      <c r="AB142" s="266">
        <f>[4]EnergyCurve!$D164</f>
        <v>41153</v>
      </c>
      <c r="AC142" s="30">
        <f>IF(TradeSum!$L$6=0,VLOOKUP(AB142,TradeSum!$DM$13:$DQ$252,2)+VLOOKUP(AB142,TradeSum!$DU$13:$DY$252,3),VLOOKUP(AB142,TradeSum!$DU$13:$DY$252,2)+VLOOKUP(AB142,TradeSum!$DU$13:$DY$252,3))</f>
        <v>24</v>
      </c>
      <c r="AD142" s="30">
        <f>VLOOKUP(AB142,TradeSum!$DM$13:$DR$252,6)</f>
        <v>30</v>
      </c>
      <c r="AE142" s="30">
        <f>IF(TradeSum!$L$6=0,VLOOKUP(AB142,TradeSum!$DM$13:$DQ$252,2),VLOOKUP(AB142,TradeSum!$DU$13:$DY$252,2))</f>
        <v>19</v>
      </c>
      <c r="AF142" s="274">
        <f>[4]EnergyCurve!$G164</f>
        <v>39.187583897328459</v>
      </c>
      <c r="AG142" s="274">
        <f>[4]EnergyCurve!$Y164</f>
        <v>37.228204702462037</v>
      </c>
      <c r="AH142" s="274">
        <f>[4]EnergyCurve!$AD164</f>
        <v>25.471929533263499</v>
      </c>
      <c r="AI142" s="274">
        <f>[4]EnergyCurve!$L164</f>
        <v>25.471929533263499</v>
      </c>
      <c r="AJ142">
        <f t="shared" si="26"/>
        <v>38.779379898397956</v>
      </c>
      <c r="AK142">
        <f t="shared" si="27"/>
        <v>32.569236394668543</v>
      </c>
      <c r="AM142">
        <f>IF(NymexData!AC142="",VLOOKUP('Pricing Summary'!AB142,NymexData!$S$12:$U$250,3),VLOOKUP(NymexData!AA142,NymexData!$AA$12:$AC$250,3))</f>
        <v>0.17</v>
      </c>
      <c r="AO142" s="370">
        <f>AD142*24*VLOOKUP(AB142,Interest!$X$8:$AC$367,6)</f>
        <v>385.28057461627719</v>
      </c>
    </row>
    <row r="143" spans="28:41" x14ac:dyDescent="0.2">
      <c r="AB143" s="266">
        <f>[4]EnergyCurve!$D165</f>
        <v>41183</v>
      </c>
      <c r="AC143" s="30">
        <f>IF(TradeSum!$L$6=0,VLOOKUP(AB143,TradeSum!$DM$13:$DQ$252,2)+VLOOKUP(AB143,TradeSum!$DU$13:$DY$252,3),VLOOKUP(AB143,TradeSum!$DU$13:$DY$252,2)+VLOOKUP(AB143,TradeSum!$DU$13:$DY$252,3))</f>
        <v>27</v>
      </c>
      <c r="AD143" s="30">
        <f>VLOOKUP(AB143,TradeSum!$DM$13:$DR$252,6)</f>
        <v>31</v>
      </c>
      <c r="AE143" s="30">
        <f>IF(TradeSum!$L$6=0,VLOOKUP(AB143,TradeSum!$DM$13:$DQ$252,2),VLOOKUP(AB143,TradeSum!$DU$13:$DY$252,2))</f>
        <v>23</v>
      </c>
      <c r="AF143" s="274">
        <f>[4]EnergyCurve!$G165</f>
        <v>39.211522995165822</v>
      </c>
      <c r="AG143" s="274">
        <f>[4]EnergyCurve!$Y165</f>
        <v>37.250946845407526</v>
      </c>
      <c r="AH143" s="274">
        <f>[4]EnergyCurve!$AD165</f>
        <v>25.487489946857782</v>
      </c>
      <c r="AI143" s="274">
        <f>[4]EnergyCurve!$L165</f>
        <v>25.487489946857782</v>
      </c>
      <c r="AJ143">
        <f t="shared" si="26"/>
        <v>38.921067269275696</v>
      </c>
      <c r="AK143">
        <f t="shared" si="27"/>
        <v>33.287631617939155</v>
      </c>
      <c r="AM143">
        <f>IF(NymexData!AC143="",VLOOKUP('Pricing Summary'!AB143,NymexData!$S$12:$U$250,3),VLOOKUP(NymexData!AA143,NymexData!$AA$12:$AC$250,3))</f>
        <v>0.17</v>
      </c>
      <c r="AO143" s="370">
        <f>AD143*24*VLOOKUP(AB143,Interest!$X$8:$AC$367,6)</f>
        <v>395.88625895900282</v>
      </c>
    </row>
    <row r="144" spans="28:41" x14ac:dyDescent="0.2">
      <c r="AB144" s="266">
        <f>[4]EnergyCurve!$D166</f>
        <v>41214</v>
      </c>
      <c r="AC144" s="30">
        <f>IF(TradeSum!$L$6=0,VLOOKUP(AB144,TradeSum!$DM$13:$DQ$252,2)+VLOOKUP(AB144,TradeSum!$DU$13:$DY$252,3),VLOOKUP(AB144,TradeSum!$DU$13:$DY$252,2)+VLOOKUP(AB144,TradeSum!$DU$13:$DY$252,3))</f>
        <v>25</v>
      </c>
      <c r="AD144" s="30">
        <f>VLOOKUP(AB144,TradeSum!$DM$13:$DR$252,6)</f>
        <v>30</v>
      </c>
      <c r="AE144" s="30">
        <f>IF(TradeSum!$L$6=0,VLOOKUP(AB144,TradeSum!$DM$13:$DQ$252,2),VLOOKUP(AB144,TradeSum!$DU$13:$DY$252,2))</f>
        <v>21</v>
      </c>
      <c r="AF144" s="274">
        <f>[4]EnergyCurve!$G166</f>
        <v>41.488980318355829</v>
      </c>
      <c r="AG144" s="274">
        <f>[4]EnergyCurve!$Y166</f>
        <v>39.414531302438036</v>
      </c>
      <c r="AH144" s="274">
        <f>[4]EnergyCurve!$AD166</f>
        <v>26.967837206931289</v>
      </c>
      <c r="AI144" s="274">
        <f>[4]EnergyCurve!$L166</f>
        <v>26.967837206931289</v>
      </c>
      <c r="AJ144">
        <f t="shared" si="26"/>
        <v>41.157068475808984</v>
      </c>
      <c r="AK144">
        <f t="shared" si="27"/>
        <v>34.850743467418894</v>
      </c>
      <c r="AM144">
        <f>IF(NymexData!AC144="",VLOOKUP('Pricing Summary'!AB144,NymexData!$S$12:$U$250,3),VLOOKUP(NymexData!AA144,NymexData!$AA$12:$AC$250,3))</f>
        <v>0.17</v>
      </c>
      <c r="AO144" s="370">
        <f>AD144*24*VLOOKUP(AB144,Interest!$X$8:$AC$367,6)</f>
        <v>381.00813246611494</v>
      </c>
    </row>
    <row r="145" spans="28:41" x14ac:dyDescent="0.2">
      <c r="AB145" s="266">
        <f>[4]EnergyCurve!$D167</f>
        <v>41244</v>
      </c>
      <c r="AC145" s="30">
        <f>IF(TradeSum!$L$6=0,VLOOKUP(AB145,TradeSum!$DM$13:$DQ$252,2)+VLOOKUP(AB145,TradeSum!$DU$13:$DY$252,3),VLOOKUP(AB145,TradeSum!$DU$13:$DY$252,2)+VLOOKUP(AB145,TradeSum!$DU$13:$DY$252,3))</f>
        <v>25</v>
      </c>
      <c r="AD145" s="30">
        <f>VLOOKUP(AB145,TradeSum!$DM$13:$DR$252,6)</f>
        <v>31</v>
      </c>
      <c r="AE145" s="30">
        <f>IF(TradeSum!$L$6=0,VLOOKUP(AB145,TradeSum!$DM$13:$DQ$252,2),VLOOKUP(AB145,TradeSum!$DU$13:$DY$252,2))</f>
        <v>20</v>
      </c>
      <c r="AF145" s="274">
        <f>[4]EnergyCurve!$G167</f>
        <v>43.15428165929039</v>
      </c>
      <c r="AG145" s="274">
        <f>[4]EnergyCurve!$Y167</f>
        <v>40.996567576325866</v>
      </c>
      <c r="AH145" s="274">
        <f>[4]EnergyCurve!$AD167</f>
        <v>28.050283078538754</v>
      </c>
      <c r="AI145" s="274">
        <f>[4]EnergyCurve!$L167</f>
        <v>28.050283078538754</v>
      </c>
      <c r="AJ145">
        <f t="shared" si="26"/>
        <v>42.722738842697488</v>
      </c>
      <c r="AK145">
        <f t="shared" si="27"/>
        <v>35.938700156043453</v>
      </c>
      <c r="AM145">
        <f>IF(NymexData!AC145="",VLOOKUP('Pricing Summary'!AB145,NymexData!$S$12:$U$250,3),VLOOKUP(NymexData!AA145,NymexData!$AA$12:$AC$250,3))</f>
        <v>0.17</v>
      </c>
      <c r="AO145" s="370">
        <f>AD145*24*VLOOKUP(AB145,Interest!$X$8:$AC$367,6)</f>
        <v>391.48675382890531</v>
      </c>
    </row>
    <row r="146" spans="28:41" x14ac:dyDescent="0.2">
      <c r="AB146" s="266">
        <f>[4]EnergyCurve!$D168</f>
        <v>41275</v>
      </c>
      <c r="AC146" s="30">
        <f>IF(TradeSum!$L$6=0,VLOOKUP(AB146,TradeSum!$DM$13:$DQ$252,2)+VLOOKUP(AB146,TradeSum!$DU$13:$DY$252,3),VLOOKUP(AB146,TradeSum!$DU$13:$DY$252,2)+VLOOKUP(AB146,TradeSum!$DU$13:$DY$252,3))</f>
        <v>26</v>
      </c>
      <c r="AD146" s="30">
        <f>VLOOKUP(AB146,TradeSum!$DM$13:$DR$252,6)</f>
        <v>31</v>
      </c>
      <c r="AE146" s="30">
        <f>IF(TradeSum!$L$6=0,VLOOKUP(AB146,TradeSum!$DM$13:$DQ$252,2),VLOOKUP(AB146,TradeSum!$DU$13:$DY$252,2))</f>
        <v>22</v>
      </c>
      <c r="AF146" s="274">
        <f>[4]EnergyCurve!$G168</f>
        <v>42.770401225290733</v>
      </c>
      <c r="AG146" s="274">
        <f>[4]EnergyCurve!$Y168</f>
        <v>40.631881164026197</v>
      </c>
      <c r="AH146" s="274">
        <f>[4]EnergyCurve!$AD168</f>
        <v>27.800760796438979</v>
      </c>
      <c r="AI146" s="274">
        <f>[4]EnergyCurve!$L168</f>
        <v>27.800760796438979</v>
      </c>
      <c r="AJ146">
        <f t="shared" si="26"/>
        <v>42.44139813894234</v>
      </c>
      <c r="AK146">
        <f t="shared" si="27"/>
        <v>35.986923611602144</v>
      </c>
      <c r="AM146">
        <f>IF(NymexData!AC146="",VLOOKUP('Pricing Summary'!AB146,NymexData!$S$12:$U$250,3),VLOOKUP(NymexData!AA146,NymexData!$AA$12:$AC$250,3))</f>
        <v>0.17</v>
      </c>
      <c r="AO146" s="370">
        <f>AD146*24*VLOOKUP(AB146,Interest!$X$8:$AC$367,6)</f>
        <v>389.26250614877648</v>
      </c>
    </row>
    <row r="147" spans="28:41" x14ac:dyDescent="0.2">
      <c r="AB147" s="266">
        <f>[4]EnergyCurve!$D169</f>
        <v>41306</v>
      </c>
      <c r="AC147" s="30">
        <f>IF(TradeSum!$L$6=0,VLOOKUP(AB147,TradeSum!$DM$13:$DQ$252,2)+VLOOKUP(AB147,TradeSum!$DU$13:$DY$252,3),VLOOKUP(AB147,TradeSum!$DU$13:$DY$252,2)+VLOOKUP(AB147,TradeSum!$DU$13:$DY$252,3))</f>
        <v>24</v>
      </c>
      <c r="AD147" s="30">
        <f>VLOOKUP(AB147,TradeSum!$DM$13:$DR$252,6)</f>
        <v>28</v>
      </c>
      <c r="AE147" s="30">
        <f>IF(TradeSum!$L$6=0,VLOOKUP(AB147,TradeSum!$DM$13:$DQ$252,2),VLOOKUP(AB147,TradeSum!$DU$13:$DY$252,2))</f>
        <v>20</v>
      </c>
      <c r="AF147" s="274">
        <f>[4]EnergyCurve!$G169</f>
        <v>41.85018489859732</v>
      </c>
      <c r="AG147" s="274">
        <f>[4]EnergyCurve!$Y169</f>
        <v>39.757675653667455</v>
      </c>
      <c r="AH147" s="274">
        <f>[4]EnergyCurve!$AD169</f>
        <v>27.202620184088257</v>
      </c>
      <c r="AI147" s="274">
        <f>[4]EnergyCurve!$L169</f>
        <v>27.202620184088257</v>
      </c>
      <c r="AJ147">
        <f t="shared" si="26"/>
        <v>41.501433357775674</v>
      </c>
      <c r="AK147">
        <f t="shared" si="27"/>
        <v>35.373370569052497</v>
      </c>
      <c r="AM147">
        <f>IF(NymexData!AC147="",VLOOKUP('Pricing Summary'!AB147,NymexData!$S$12:$U$250,3),VLOOKUP(NymexData!AA147,NymexData!$AA$12:$AC$250,3))</f>
        <v>0.17</v>
      </c>
      <c r="AO147" s="370">
        <f>AD147*24*VLOOKUP(AB147,Interest!$X$8:$AC$367,6)</f>
        <v>349.75510556921256</v>
      </c>
    </row>
    <row r="148" spans="28:41" x14ac:dyDescent="0.2">
      <c r="AB148" s="266">
        <f>[4]EnergyCurve!$D170</f>
        <v>41334</v>
      </c>
      <c r="AC148" s="30">
        <f>IF(TradeSum!$L$6=0,VLOOKUP(AB148,TradeSum!$DM$13:$DQ$252,2)+VLOOKUP(AB148,TradeSum!$DU$13:$DY$252,3),VLOOKUP(AB148,TradeSum!$DU$13:$DY$252,2)+VLOOKUP(AB148,TradeSum!$DU$13:$DY$252,3))</f>
        <v>26</v>
      </c>
      <c r="AD148" s="30">
        <f>VLOOKUP(AB148,TradeSum!$DM$13:$DR$252,6)</f>
        <v>31</v>
      </c>
      <c r="AE148" s="30">
        <f>IF(TradeSum!$L$6=0,VLOOKUP(AB148,TradeSum!$DM$13:$DQ$252,2),VLOOKUP(AB148,TradeSum!$DU$13:$DY$252,2))</f>
        <v>21</v>
      </c>
      <c r="AF148" s="274">
        <f>[4]EnergyCurve!$G170</f>
        <v>40.380243342385469</v>
      </c>
      <c r="AG148" s="274">
        <f>[4]EnergyCurve!$Y170</f>
        <v>38.361231175266191</v>
      </c>
      <c r="AH148" s="274">
        <f>[4]EnergyCurve!$AD170</f>
        <v>26.247158172550556</v>
      </c>
      <c r="AI148" s="274">
        <f>[4]EnergyCurve!$L170</f>
        <v>26.247158172550556</v>
      </c>
      <c r="AJ148">
        <f t="shared" si="26"/>
        <v>39.991971771785607</v>
      </c>
      <c r="AK148">
        <f t="shared" si="27"/>
        <v>33.932430292552951</v>
      </c>
      <c r="AM148">
        <f>IF(NymexData!AC148="",VLOOKUP('Pricing Summary'!AB148,NymexData!$S$12:$U$250,3),VLOOKUP(NymexData!AA148,NymexData!$AA$12:$AC$250,3))</f>
        <v>0.17</v>
      </c>
      <c r="AO148" s="370">
        <f>AD148*24*VLOOKUP(AB148,Interest!$X$8:$AC$367,6)</f>
        <v>385.05084614165588</v>
      </c>
    </row>
    <row r="149" spans="28:41" x14ac:dyDescent="0.2">
      <c r="AB149" s="266">
        <f>[4]EnergyCurve!$D171</f>
        <v>41365</v>
      </c>
      <c r="AC149" s="30">
        <f>IF(TradeSum!$L$6=0,VLOOKUP(AB149,TradeSum!$DM$13:$DQ$252,2)+VLOOKUP(AB149,TradeSum!$DU$13:$DY$252,3),VLOOKUP(AB149,TradeSum!$DU$13:$DY$252,2)+VLOOKUP(AB149,TradeSum!$DU$13:$DY$252,3))</f>
        <v>26</v>
      </c>
      <c r="AD149" s="30">
        <f>VLOOKUP(AB149,TradeSum!$DM$13:$DR$252,6)</f>
        <v>30</v>
      </c>
      <c r="AE149" s="30">
        <f>IF(TradeSum!$L$6=0,VLOOKUP(AB149,TradeSum!$DM$13:$DQ$252,2),VLOOKUP(AB149,TradeSum!$DU$13:$DY$252,2))</f>
        <v>22</v>
      </c>
      <c r="AF149" s="274">
        <f>[4]EnergyCurve!$G171</f>
        <v>37.784555739076879</v>
      </c>
      <c r="AG149" s="274">
        <f>[4]EnergyCurve!$Y171</f>
        <v>35.895327952123033</v>
      </c>
      <c r="AH149" s="274">
        <f>[4]EnergyCurve!$AD171</f>
        <v>24.559961230399974</v>
      </c>
      <c r="AI149" s="274">
        <f>[4]EnergyCurve!$L171</f>
        <v>24.559961230399974</v>
      </c>
      <c r="AJ149">
        <f t="shared" si="26"/>
        <v>37.493905310314751</v>
      </c>
      <c r="AK149">
        <f t="shared" si="27"/>
        <v>32.03290669879518</v>
      </c>
      <c r="AM149">
        <f>IF(NymexData!AC149="",VLOOKUP('Pricing Summary'!AB149,NymexData!$S$12:$U$250,3),VLOOKUP(NymexData!AA149,NymexData!$AA$12:$AC$250,3))</f>
        <v>0.17</v>
      </c>
      <c r="AO149" s="370">
        <f>AD149*24*VLOOKUP(AB149,Interest!$X$8:$AC$367,6)</f>
        <v>370.55778539948165</v>
      </c>
    </row>
    <row r="150" spans="28:41" x14ac:dyDescent="0.2">
      <c r="AB150" s="266">
        <f>[4]EnergyCurve!$D172</f>
        <v>41395</v>
      </c>
      <c r="AC150" s="30">
        <f>IF(TradeSum!$L$6=0,VLOOKUP(AB150,TradeSum!$DM$13:$DQ$252,2)+VLOOKUP(AB150,TradeSum!$DU$13:$DY$252,3),VLOOKUP(AB150,TradeSum!$DU$13:$DY$252,2)+VLOOKUP(AB150,TradeSum!$DU$13:$DY$252,3))</f>
        <v>26</v>
      </c>
      <c r="AD150" s="30">
        <f>VLOOKUP(AB150,TradeSum!$DM$13:$DR$252,6)</f>
        <v>31</v>
      </c>
      <c r="AE150" s="30">
        <f>IF(TradeSum!$L$6=0,VLOOKUP(AB150,TradeSum!$DM$13:$DQ$252,2),VLOOKUP(AB150,TradeSum!$DU$13:$DY$252,2))</f>
        <v>22</v>
      </c>
      <c r="AF150" s="274">
        <f>[4]EnergyCurve!$G172</f>
        <v>37.859236202723203</v>
      </c>
      <c r="AG150" s="274">
        <f>[4]EnergyCurve!$Y172</f>
        <v>35.966274392587039</v>
      </c>
      <c r="AH150" s="274">
        <f>[4]EnergyCurve!$AD172</f>
        <v>24.608503531770083</v>
      </c>
      <c r="AI150" s="274">
        <f>[4]EnergyCurve!$L172</f>
        <v>24.608503531770083</v>
      </c>
      <c r="AJ150">
        <f t="shared" si="26"/>
        <v>37.5680113088561</v>
      </c>
      <c r="AK150">
        <f t="shared" si="27"/>
        <v>31.854679923259038</v>
      </c>
      <c r="AM150">
        <f>IF(NymexData!AC150="",VLOOKUP('Pricing Summary'!AB150,NymexData!$S$12:$U$250,3),VLOOKUP(NymexData!AA150,NymexData!$AA$12:$AC$250,3))</f>
        <v>0.17</v>
      </c>
      <c r="AO150" s="370">
        <f>AD150*24*VLOOKUP(AB150,Interest!$X$8:$AC$367,6)</f>
        <v>380.7262404170998</v>
      </c>
    </row>
    <row r="151" spans="28:41" x14ac:dyDescent="0.2">
      <c r="AB151" s="266">
        <f>[4]EnergyCurve!$D173</f>
        <v>41426</v>
      </c>
      <c r="AC151" s="30">
        <f>IF(TradeSum!$L$6=0,VLOOKUP(AB151,TradeSum!$DM$13:$DQ$252,2)+VLOOKUP(AB151,TradeSum!$DU$13:$DY$252,3),VLOOKUP(AB151,TradeSum!$DU$13:$DY$252,2)+VLOOKUP(AB151,TradeSum!$DU$13:$DY$252,3))</f>
        <v>25</v>
      </c>
      <c r="AD151" s="30">
        <f>VLOOKUP(AB151,TradeSum!$DM$13:$DR$252,6)</f>
        <v>30</v>
      </c>
      <c r="AE151" s="30">
        <f>IF(TradeSum!$L$6=0,VLOOKUP(AB151,TradeSum!$DM$13:$DQ$252,2),VLOOKUP(AB151,TradeSum!$DU$13:$DY$252,2))</f>
        <v>20</v>
      </c>
      <c r="AF151" s="274">
        <f>[4]EnergyCurve!$G173</f>
        <v>38.289655860869594</v>
      </c>
      <c r="AG151" s="274">
        <f>[4]EnergyCurve!$Y173</f>
        <v>36.375173067826111</v>
      </c>
      <c r="AH151" s="274">
        <f>[4]EnergyCurve!$AD173</f>
        <v>24.888276309565239</v>
      </c>
      <c r="AI151" s="274">
        <f>[4]EnergyCurve!$L173</f>
        <v>24.888276309565239</v>
      </c>
      <c r="AJ151">
        <f t="shared" si="26"/>
        <v>37.906759302260895</v>
      </c>
      <c r="AK151">
        <f t="shared" si="27"/>
        <v>32.120766861062826</v>
      </c>
      <c r="AM151">
        <f>IF(NymexData!AC151="",VLOOKUP('Pricing Summary'!AB151,NymexData!$S$12:$U$250,3),VLOOKUP(NymexData!AA151,NymexData!$AA$12:$AC$250,3))</f>
        <v>0.17</v>
      </c>
      <c r="AO151" s="370">
        <f>AD151*24*VLOOKUP(AB151,Interest!$X$8:$AC$367,6)</f>
        <v>366.38711000642911</v>
      </c>
    </row>
    <row r="152" spans="28:41" x14ac:dyDescent="0.2">
      <c r="AB152" s="266">
        <f>[4]EnergyCurve!$D174</f>
        <v>41456</v>
      </c>
      <c r="AC152" s="30">
        <f>IF(TradeSum!$L$6=0,VLOOKUP(AB152,TradeSum!$DM$13:$DQ$252,2)+VLOOKUP(AB152,TradeSum!$DU$13:$DY$252,3),VLOOKUP(AB152,TradeSum!$DU$13:$DY$252,2)+VLOOKUP(AB152,TradeSum!$DU$13:$DY$252,3))</f>
        <v>26</v>
      </c>
      <c r="AD152" s="30">
        <f>VLOOKUP(AB152,TradeSum!$DM$13:$DR$252,6)</f>
        <v>31</v>
      </c>
      <c r="AE152" s="30">
        <f>IF(TradeSum!$L$6=0,VLOOKUP(AB152,TradeSum!$DM$13:$DQ$252,2),VLOOKUP(AB152,TradeSum!$DU$13:$DY$252,2))</f>
        <v>22</v>
      </c>
      <c r="AF152" s="274">
        <f>[4]EnergyCurve!$G174</f>
        <v>38.795509285891349</v>
      </c>
      <c r="AG152" s="274">
        <f>[4]EnergyCurve!$Y174</f>
        <v>36.855733821596779</v>
      </c>
      <c r="AH152" s="274">
        <f>[4]EnergyCurve!$AD174</f>
        <v>25.217081035829377</v>
      </c>
      <c r="AI152" s="274">
        <f>[4]EnergyCurve!$L174</f>
        <v>25.217081035829377</v>
      </c>
      <c r="AJ152">
        <f t="shared" si="26"/>
        <v>38.497082291384487</v>
      </c>
      <c r="AK152">
        <f t="shared" si="27"/>
        <v>32.642458081946209</v>
      </c>
      <c r="AM152">
        <f>IF(NymexData!AC152="",VLOOKUP('Pricing Summary'!AB152,NymexData!$S$12:$U$250,3),VLOOKUP(NymexData!AA152,NymexData!$AA$12:$AC$250,3))</f>
        <v>0.17</v>
      </c>
      <c r="AO152" s="370">
        <f>AD152*24*VLOOKUP(AB152,Interest!$X$8:$AC$367,6)</f>
        <v>376.43203001954055</v>
      </c>
    </row>
    <row r="153" spans="28:41" x14ac:dyDescent="0.2">
      <c r="AB153" s="266">
        <f>[4]EnergyCurve!$D175</f>
        <v>41487</v>
      </c>
      <c r="AC153" s="30">
        <f>IF(TradeSum!$L$6=0,VLOOKUP(AB153,TradeSum!$DM$13:$DQ$252,2)+VLOOKUP(AB153,TradeSum!$DU$13:$DY$252,3),VLOOKUP(AB153,TradeSum!$DU$13:$DY$252,2)+VLOOKUP(AB153,TradeSum!$DU$13:$DY$252,3))</f>
        <v>27</v>
      </c>
      <c r="AD153" s="30">
        <f>VLOOKUP(AB153,TradeSum!$DM$13:$DR$252,6)</f>
        <v>31</v>
      </c>
      <c r="AE153" s="30">
        <f>IF(TradeSum!$L$6=0,VLOOKUP(AB153,TradeSum!$DM$13:$DQ$252,2),VLOOKUP(AB153,TradeSum!$DU$13:$DY$252,2))</f>
        <v>22</v>
      </c>
      <c r="AF153" s="274">
        <f>[4]EnergyCurve!$G175</f>
        <v>39.227844575025038</v>
      </c>
      <c r="AG153" s="274">
        <f>[4]EnergyCurve!$Y175</f>
        <v>37.266452346273788</v>
      </c>
      <c r="AH153" s="274">
        <f>[4]EnergyCurve!$AD175</f>
        <v>25.498098973766275</v>
      </c>
      <c r="AI153" s="274">
        <f>[4]EnergyCurve!$L175</f>
        <v>25.498098973766275</v>
      </c>
      <c r="AJ153">
        <f t="shared" si="26"/>
        <v>38.864623791922952</v>
      </c>
      <c r="AK153">
        <f t="shared" si="27"/>
        <v>33.259306932695964</v>
      </c>
      <c r="AM153">
        <f>IF(NymexData!AC153="",VLOOKUP('Pricing Summary'!AB153,NymexData!$S$12:$U$250,3),VLOOKUP(NymexData!AA153,NymexData!$AA$12:$AC$250,3))</f>
        <v>0.17</v>
      </c>
      <c r="AO153" s="370">
        <f>AD153*24*VLOOKUP(AB153,Interest!$X$8:$AC$367,6)</f>
        <v>374.26139788360837</v>
      </c>
    </row>
    <row r="154" spans="28:41" x14ac:dyDescent="0.2">
      <c r="AB154" s="266">
        <f>[4]EnergyCurve!$D176</f>
        <v>41518</v>
      </c>
      <c r="AC154" s="30">
        <f>IF(TradeSum!$L$6=0,VLOOKUP(AB154,TradeSum!$DM$13:$DQ$252,2)+VLOOKUP(AB154,TradeSum!$DU$13:$DY$252,3),VLOOKUP(AB154,TradeSum!$DU$13:$DY$252,2)+VLOOKUP(AB154,TradeSum!$DU$13:$DY$252,3))</f>
        <v>24</v>
      </c>
      <c r="AD154" s="30">
        <f>VLOOKUP(AB154,TradeSum!$DM$13:$DR$252,6)</f>
        <v>30</v>
      </c>
      <c r="AE154" s="30">
        <f>IF(TradeSum!$L$6=0,VLOOKUP(AB154,TradeSum!$DM$13:$DQ$252,2),VLOOKUP(AB154,TradeSum!$DU$13:$DY$252,2))</f>
        <v>20</v>
      </c>
      <c r="AF154" s="274">
        <f>[4]EnergyCurve!$G176</f>
        <v>39.187583897328459</v>
      </c>
      <c r="AG154" s="274">
        <f>[4]EnergyCurve!$Y176</f>
        <v>37.228204702462037</v>
      </c>
      <c r="AH154" s="274">
        <f>[4]EnergyCurve!$AD176</f>
        <v>25.471929533263499</v>
      </c>
      <c r="AI154" s="274">
        <f>[4]EnergyCurve!$L176</f>
        <v>25.471929533263499</v>
      </c>
      <c r="AJ154">
        <f t="shared" si="26"/>
        <v>38.861020698184056</v>
      </c>
      <c r="AK154">
        <f t="shared" si="27"/>
        <v>32.612778154554462</v>
      </c>
      <c r="AM154">
        <f>IF(NymexData!AC154="",VLOOKUP('Pricing Summary'!AB154,NymexData!$S$12:$U$250,3),VLOOKUP(NymexData!AA154,NymexData!$AA$12:$AC$250,3))</f>
        <v>0.17</v>
      </c>
      <c r="AO154" s="370">
        <f>AD154*24*VLOOKUP(AB154,Interest!$X$8:$AC$367,6)</f>
        <v>360.1526388168744</v>
      </c>
    </row>
    <row r="155" spans="28:41" x14ac:dyDescent="0.2">
      <c r="AB155" s="266">
        <f>[4]EnergyCurve!$D177</f>
        <v>41548</v>
      </c>
      <c r="AC155" s="30">
        <f>IF(TradeSum!$L$6=0,VLOOKUP(AB155,TradeSum!$DM$13:$DQ$252,2)+VLOOKUP(AB155,TradeSum!$DU$13:$DY$252,3),VLOOKUP(AB155,TradeSum!$DU$13:$DY$252,2)+VLOOKUP(AB155,TradeSum!$DU$13:$DY$252,3))</f>
        <v>27</v>
      </c>
      <c r="AD155" s="30">
        <f>VLOOKUP(AB155,TradeSum!$DM$13:$DR$252,6)</f>
        <v>31</v>
      </c>
      <c r="AE155" s="30">
        <f>IF(TradeSum!$L$6=0,VLOOKUP(AB155,TradeSum!$DM$13:$DQ$252,2),VLOOKUP(AB155,TradeSum!$DU$13:$DY$252,2))</f>
        <v>23</v>
      </c>
      <c r="AF155" s="274">
        <f>[4]EnergyCurve!$G177</f>
        <v>39.211522995165822</v>
      </c>
      <c r="AG155" s="274">
        <f>[4]EnergyCurve!$Y177</f>
        <v>37.250946845407526</v>
      </c>
      <c r="AH155" s="274">
        <f>[4]EnergyCurve!$AD177</f>
        <v>25.487489946857782</v>
      </c>
      <c r="AI155" s="274">
        <f>[4]EnergyCurve!$L177</f>
        <v>25.487489946857782</v>
      </c>
      <c r="AJ155">
        <f t="shared" si="26"/>
        <v>38.921067269275696</v>
      </c>
      <c r="AK155">
        <f t="shared" si="27"/>
        <v>33.287631617939155</v>
      </c>
      <c r="AM155">
        <f>IF(NymexData!AC155="",VLOOKUP('Pricing Summary'!AB155,NymexData!$S$12:$U$250,3),VLOOKUP(NymexData!AA155,NymexData!$AA$12:$AC$250,3))</f>
        <v>0.17</v>
      </c>
      <c r="AO155" s="370">
        <f>AD155*24*VLOOKUP(AB155,Interest!$X$8:$AC$367,6)</f>
        <v>370.01316305640165</v>
      </c>
    </row>
    <row r="156" spans="28:41" x14ac:dyDescent="0.2">
      <c r="AB156" s="266">
        <f>[4]EnergyCurve!$D178</f>
        <v>41579</v>
      </c>
      <c r="AC156" s="30">
        <f>IF(TradeSum!$L$6=0,VLOOKUP(AB156,TradeSum!$DM$13:$DQ$252,2)+VLOOKUP(AB156,TradeSum!$DU$13:$DY$252,3),VLOOKUP(AB156,TradeSum!$DU$13:$DY$252,2)+VLOOKUP(AB156,TradeSum!$DU$13:$DY$252,3))</f>
        <v>25</v>
      </c>
      <c r="AD156" s="30">
        <f>VLOOKUP(AB156,TradeSum!$DM$13:$DR$252,6)</f>
        <v>30</v>
      </c>
      <c r="AE156" s="30">
        <f>IF(TradeSum!$L$6=0,VLOOKUP(AB156,TradeSum!$DM$13:$DQ$252,2),VLOOKUP(AB156,TradeSum!$DU$13:$DY$252,2))</f>
        <v>20</v>
      </c>
      <c r="AF156" s="274">
        <f>[4]EnergyCurve!$G178</f>
        <v>41.488980318355829</v>
      </c>
      <c r="AG156" s="274">
        <f>[4]EnergyCurve!$Y178</f>
        <v>39.414531302438036</v>
      </c>
      <c r="AH156" s="274">
        <f>[4]EnergyCurve!$AD178</f>
        <v>26.967837206931289</v>
      </c>
      <c r="AI156" s="274">
        <f>[4]EnergyCurve!$L178</f>
        <v>26.967837206931289</v>
      </c>
      <c r="AJ156">
        <f t="shared" si="26"/>
        <v>41.074090515172266</v>
      </c>
      <c r="AK156">
        <f t="shared" si="27"/>
        <v>34.804644600398497</v>
      </c>
      <c r="AM156">
        <f>IF(NymexData!AC156="",VLOOKUP('Pricing Summary'!AB156,NymexData!$S$12:$U$250,3),VLOOKUP(NymexData!AA156,NymexData!$AA$12:$AC$250,3))</f>
        <v>0.17</v>
      </c>
      <c r="AO156" s="370">
        <f>AD156*24*VLOOKUP(AB156,Interest!$X$8:$AC$367,6)</f>
        <v>356.05595904828283</v>
      </c>
    </row>
    <row r="157" spans="28:41" x14ac:dyDescent="0.2">
      <c r="AB157" s="266">
        <f>[4]EnergyCurve!$D179</f>
        <v>41609</v>
      </c>
      <c r="AC157" s="30">
        <f>IF(TradeSum!$L$6=0,VLOOKUP(AB157,TradeSum!$DM$13:$DQ$252,2)+VLOOKUP(AB157,TradeSum!$DU$13:$DY$252,3),VLOOKUP(AB157,TradeSum!$DU$13:$DY$252,2)+VLOOKUP(AB157,TradeSum!$DU$13:$DY$252,3))</f>
        <v>25</v>
      </c>
      <c r="AD157" s="30">
        <f>VLOOKUP(AB157,TradeSum!$DM$13:$DR$252,6)</f>
        <v>31</v>
      </c>
      <c r="AE157" s="30">
        <f>IF(TradeSum!$L$6=0,VLOOKUP(AB157,TradeSum!$DM$13:$DQ$252,2),VLOOKUP(AB157,TradeSum!$DU$13:$DY$252,2))</f>
        <v>21</v>
      </c>
      <c r="AF157" s="274">
        <f>[4]EnergyCurve!$G179</f>
        <v>43.15428165929039</v>
      </c>
      <c r="AG157" s="274">
        <f>[4]EnergyCurve!$Y179</f>
        <v>40.996567576325866</v>
      </c>
      <c r="AH157" s="274">
        <f>[4]EnergyCurve!$AD179</f>
        <v>28.050283078538754</v>
      </c>
      <c r="AI157" s="274">
        <f>[4]EnergyCurve!$L179</f>
        <v>28.050283078538754</v>
      </c>
      <c r="AJ157">
        <f t="shared" si="26"/>
        <v>42.809047406016063</v>
      </c>
      <c r="AK157">
        <f t="shared" si="27"/>
        <v>35.985102609440531</v>
      </c>
      <c r="AM157">
        <f>IF(NymexData!AC157="",VLOOKUP('Pricing Summary'!AB157,NymexData!$S$12:$U$250,3),VLOOKUP(NymexData!AA157,NymexData!$AA$12:$AC$250,3))</f>
        <v>0.17</v>
      </c>
      <c r="AO157" s="370">
        <f>AD157*24*VLOOKUP(AB157,Interest!$X$8:$AC$367,6)</f>
        <v>365.79549280699496</v>
      </c>
    </row>
    <row r="158" spans="28:41" x14ac:dyDescent="0.2">
      <c r="AB158" s="266">
        <f>[4]EnergyCurve!$D180</f>
        <v>41640</v>
      </c>
      <c r="AC158" s="30">
        <f>IF(TradeSum!$L$6=0,VLOOKUP(AB158,TradeSum!$DM$13:$DQ$252,2)+VLOOKUP(AB158,TradeSum!$DU$13:$DY$252,3),VLOOKUP(AB158,TradeSum!$DU$13:$DY$252,2)+VLOOKUP(AB158,TradeSum!$DU$13:$DY$252,3))</f>
        <v>26</v>
      </c>
      <c r="AD158" s="30">
        <f>VLOOKUP(AB158,TradeSum!$DM$13:$DR$252,6)</f>
        <v>31</v>
      </c>
      <c r="AE158" s="30">
        <f>IF(TradeSum!$L$6=0,VLOOKUP(AB158,TradeSum!$DM$13:$DQ$252,2),VLOOKUP(AB158,TradeSum!$DU$13:$DY$252,2))</f>
        <v>22</v>
      </c>
      <c r="AF158" s="274">
        <f>[4]EnergyCurve!$G180</f>
        <v>42.770401225290733</v>
      </c>
      <c r="AG158" s="274">
        <f>[4]EnergyCurve!$Y180</f>
        <v>40.631881164026197</v>
      </c>
      <c r="AH158" s="274">
        <f>[4]EnergyCurve!$AD180</f>
        <v>27.800760796438979</v>
      </c>
      <c r="AI158" s="274">
        <f>[4]EnergyCurve!$L180</f>
        <v>27.800760796438979</v>
      </c>
      <c r="AJ158">
        <f t="shared" si="26"/>
        <v>42.44139813894234</v>
      </c>
      <c r="AK158">
        <f t="shared" si="27"/>
        <v>35.986923611602144</v>
      </c>
      <c r="AM158">
        <f>IF(NymexData!AC158="",VLOOKUP('Pricing Summary'!AB158,NymexData!$S$12:$U$250,3),VLOOKUP(NymexData!AA158,NymexData!$AA$12:$AC$250,3))</f>
        <v>0.17</v>
      </c>
      <c r="AO158" s="370">
        <f>AD158*24*VLOOKUP(AB158,Interest!$X$8:$AC$367,6)</f>
        <v>363.66381878088288</v>
      </c>
    </row>
    <row r="159" spans="28:41" x14ac:dyDescent="0.2">
      <c r="AB159" s="266">
        <f>[4]EnergyCurve!$D181</f>
        <v>41671</v>
      </c>
      <c r="AC159" s="30">
        <f>IF(TradeSum!$L$6=0,VLOOKUP(AB159,TradeSum!$DM$13:$DQ$252,2)+VLOOKUP(AB159,TradeSum!$DU$13:$DY$252,3),VLOOKUP(AB159,TradeSum!$DU$13:$DY$252,2)+VLOOKUP(AB159,TradeSum!$DU$13:$DY$252,3))</f>
        <v>24</v>
      </c>
      <c r="AD159" s="30">
        <f>VLOOKUP(AB159,TradeSum!$DM$13:$DR$252,6)</f>
        <v>28</v>
      </c>
      <c r="AE159" s="30">
        <f>IF(TradeSum!$L$6=0,VLOOKUP(AB159,TradeSum!$DM$13:$DQ$252,2),VLOOKUP(AB159,TradeSum!$DU$13:$DY$252,2))</f>
        <v>20</v>
      </c>
      <c r="AF159" s="274">
        <f>[4]EnergyCurve!$G181</f>
        <v>41.85018489859732</v>
      </c>
      <c r="AG159" s="274">
        <f>[4]EnergyCurve!$Y181</f>
        <v>39.757675653667455</v>
      </c>
      <c r="AH159" s="274">
        <f>[4]EnergyCurve!$AD181</f>
        <v>27.202620184088257</v>
      </c>
      <c r="AI159" s="274">
        <f>[4]EnergyCurve!$L181</f>
        <v>27.202620184088257</v>
      </c>
      <c r="AJ159">
        <f t="shared" si="26"/>
        <v>41.501433357775674</v>
      </c>
      <c r="AK159">
        <f t="shared" si="27"/>
        <v>35.373370569052497</v>
      </c>
      <c r="AM159">
        <f>IF(NymexData!AC159="",VLOOKUP('Pricing Summary'!AB159,NymexData!$S$12:$U$250,3),VLOOKUP(NymexData!AA159,NymexData!$AA$12:$AC$250,3))</f>
        <v>0.17</v>
      </c>
      <c r="AO159" s="370">
        <f>AD159*24*VLOOKUP(AB159,Interest!$X$8:$AC$367,6)</f>
        <v>326.70886746356211</v>
      </c>
    </row>
    <row r="160" spans="28:41" x14ac:dyDescent="0.2">
      <c r="AB160" s="266">
        <f>[4]EnergyCurve!$D182</f>
        <v>41699</v>
      </c>
      <c r="AC160" s="30">
        <f>IF(TradeSum!$L$6=0,VLOOKUP(AB160,TradeSum!$DM$13:$DQ$252,2)+VLOOKUP(AB160,TradeSum!$DU$13:$DY$252,3),VLOOKUP(AB160,TradeSum!$DU$13:$DY$252,2)+VLOOKUP(AB160,TradeSum!$DU$13:$DY$252,3))</f>
        <v>26</v>
      </c>
      <c r="AD160" s="30">
        <f>VLOOKUP(AB160,TradeSum!$DM$13:$DR$252,6)</f>
        <v>31</v>
      </c>
      <c r="AE160" s="30">
        <f>IF(TradeSum!$L$6=0,VLOOKUP(AB160,TradeSum!$DM$13:$DQ$252,2),VLOOKUP(AB160,TradeSum!$DU$13:$DY$252,2))</f>
        <v>21</v>
      </c>
      <c r="AF160" s="274">
        <f>[4]EnergyCurve!$G182</f>
        <v>40.380243342385469</v>
      </c>
      <c r="AG160" s="274">
        <f>[4]EnergyCurve!$Y182</f>
        <v>38.361231175266191</v>
      </c>
      <c r="AH160" s="274">
        <f>[4]EnergyCurve!$AD182</f>
        <v>26.247158172550556</v>
      </c>
      <c r="AI160" s="274">
        <f>[4]EnergyCurve!$L182</f>
        <v>26.247158172550556</v>
      </c>
      <c r="AJ160">
        <f t="shared" si="26"/>
        <v>39.991971771785607</v>
      </c>
      <c r="AK160">
        <f t="shared" si="27"/>
        <v>33.932430292552951</v>
      </c>
      <c r="AM160">
        <f>IF(NymexData!AC160="",VLOOKUP('Pricing Summary'!AB160,NymexData!$S$12:$U$250,3),VLOOKUP(NymexData!AA160,NymexData!$AA$12:$AC$250,3))</f>
        <v>0.17</v>
      </c>
      <c r="AO160" s="370">
        <f>AD160*24*VLOOKUP(AB160,Interest!$X$8:$AC$367,6)</f>
        <v>359.62863739488756</v>
      </c>
    </row>
    <row r="161" spans="28:41" x14ac:dyDescent="0.2">
      <c r="AB161" s="266">
        <f>[4]EnergyCurve!$D183</f>
        <v>41730</v>
      </c>
      <c r="AC161" s="30">
        <f>IF(TradeSum!$L$6=0,VLOOKUP(AB161,TradeSum!$DM$13:$DQ$252,2)+VLOOKUP(AB161,TradeSum!$DU$13:$DY$252,3),VLOOKUP(AB161,TradeSum!$DU$13:$DY$252,2)+VLOOKUP(AB161,TradeSum!$DU$13:$DY$252,3))</f>
        <v>26</v>
      </c>
      <c r="AD161" s="30">
        <f>VLOOKUP(AB161,TradeSum!$DM$13:$DR$252,6)</f>
        <v>30</v>
      </c>
      <c r="AE161" s="30">
        <f>IF(TradeSum!$L$6=0,VLOOKUP(AB161,TradeSum!$DM$13:$DQ$252,2),VLOOKUP(AB161,TradeSum!$DU$13:$DY$252,2))</f>
        <v>22</v>
      </c>
      <c r="AF161" s="274">
        <f>[4]EnergyCurve!$G183</f>
        <v>37.784555739076879</v>
      </c>
      <c r="AG161" s="274">
        <f>[4]EnergyCurve!$Y183</f>
        <v>35.895327952123033</v>
      </c>
      <c r="AH161" s="274">
        <f>[4]EnergyCurve!$AD183</f>
        <v>24.559961230399974</v>
      </c>
      <c r="AI161" s="274">
        <f>[4]EnergyCurve!$L183</f>
        <v>24.559961230399974</v>
      </c>
      <c r="AJ161">
        <f t="shared" si="26"/>
        <v>37.493905310314751</v>
      </c>
      <c r="AK161">
        <f t="shared" si="27"/>
        <v>32.03290669879518</v>
      </c>
      <c r="AM161">
        <f>IF(NymexData!AC161="",VLOOKUP('Pricing Summary'!AB161,NymexData!$S$12:$U$250,3),VLOOKUP(NymexData!AA161,NymexData!$AA$12:$AC$250,3))</f>
        <v>0.17</v>
      </c>
      <c r="AO161" s="370">
        <f>AD161*24*VLOOKUP(AB161,Interest!$X$8:$AC$367,6)</f>
        <v>346.0424763469328</v>
      </c>
    </row>
    <row r="162" spans="28:41" x14ac:dyDescent="0.2">
      <c r="AB162" s="266">
        <f>[4]EnergyCurve!$D184</f>
        <v>41760</v>
      </c>
      <c r="AC162" s="30">
        <f>IF(TradeSum!$L$6=0,VLOOKUP(AB162,TradeSum!$DM$13:$DQ$252,2)+VLOOKUP(AB162,TradeSum!$DU$13:$DY$252,3),VLOOKUP(AB162,TradeSum!$DU$13:$DY$252,2)+VLOOKUP(AB162,TradeSum!$DU$13:$DY$252,3))</f>
        <v>26</v>
      </c>
      <c r="AD162" s="30">
        <f>VLOOKUP(AB162,TradeSum!$DM$13:$DR$252,6)</f>
        <v>31</v>
      </c>
      <c r="AE162" s="30">
        <f>IF(TradeSum!$L$6=0,VLOOKUP(AB162,TradeSum!$DM$13:$DQ$252,2),VLOOKUP(AB162,TradeSum!$DU$13:$DY$252,2))</f>
        <v>21</v>
      </c>
      <c r="AF162" s="274">
        <f>[4]EnergyCurve!$G184</f>
        <v>37.859236202723203</v>
      </c>
      <c r="AG162" s="274">
        <f>[4]EnergyCurve!$Y184</f>
        <v>35.966274392587039</v>
      </c>
      <c r="AH162" s="274">
        <f>[4]EnergyCurve!$AD184</f>
        <v>24.608503531770083</v>
      </c>
      <c r="AI162" s="274">
        <f>[4]EnergyCurve!$L184</f>
        <v>24.608503531770083</v>
      </c>
      <c r="AJ162">
        <f t="shared" si="26"/>
        <v>37.495205085389323</v>
      </c>
      <c r="AK162">
        <f t="shared" si="27"/>
        <v>31.813971067127074</v>
      </c>
      <c r="AM162">
        <f>IF(NymexData!AC162="",VLOOKUP('Pricing Summary'!AB162,NymexData!$S$12:$U$250,3),VLOOKUP(NymexData!AA162,NymexData!$AA$12:$AC$250,3))</f>
        <v>0.17</v>
      </c>
      <c r="AO162" s="370">
        <f>AD162*24*VLOOKUP(AB162,Interest!$X$8:$AC$367,6)</f>
        <v>355.48686706215557</v>
      </c>
    </row>
    <row r="163" spans="28:41" x14ac:dyDescent="0.2">
      <c r="AB163" s="266">
        <f>[4]EnergyCurve!$D185</f>
        <v>41791</v>
      </c>
      <c r="AC163" s="30">
        <f>IF(TradeSum!$L$6=0,VLOOKUP(AB163,TradeSum!$DM$13:$DQ$252,2)+VLOOKUP(AB163,TradeSum!$DU$13:$DY$252,3),VLOOKUP(AB163,TradeSum!$DU$13:$DY$252,2)+VLOOKUP(AB163,TradeSum!$DU$13:$DY$252,3))</f>
        <v>25</v>
      </c>
      <c r="AD163" s="30">
        <f>VLOOKUP(AB163,TradeSum!$DM$13:$DR$252,6)</f>
        <v>30</v>
      </c>
      <c r="AE163" s="30">
        <f>IF(TradeSum!$L$6=0,VLOOKUP(AB163,TradeSum!$DM$13:$DQ$252,2),VLOOKUP(AB163,TradeSum!$DU$13:$DY$252,2))</f>
        <v>21</v>
      </c>
      <c r="AF163" s="274">
        <f>[4]EnergyCurve!$G185</f>
        <v>38.289655860869594</v>
      </c>
      <c r="AG163" s="274">
        <f>[4]EnergyCurve!$Y185</f>
        <v>36.375173067826111</v>
      </c>
      <c r="AH163" s="274">
        <f>[4]EnergyCurve!$AD185</f>
        <v>24.888276309565239</v>
      </c>
      <c r="AI163" s="274">
        <f>[4]EnergyCurve!$L185</f>
        <v>24.888276309565239</v>
      </c>
      <c r="AJ163">
        <f t="shared" si="26"/>
        <v>37.983338613982632</v>
      </c>
      <c r="AK163">
        <f t="shared" si="27"/>
        <v>32.16331092313046</v>
      </c>
      <c r="AM163">
        <f>IF(NymexData!AC163="",VLOOKUP('Pricing Summary'!AB163,NymexData!$S$12:$U$250,3),VLOOKUP(NymexData!AA163,NymexData!$AA$12:$AC$250,3))</f>
        <v>0.17</v>
      </c>
      <c r="AO163" s="370">
        <f>AD163*24*VLOOKUP(AB163,Interest!$X$8:$AC$367,6)</f>
        <v>342.04892303857014</v>
      </c>
    </row>
    <row r="164" spans="28:41" x14ac:dyDescent="0.2">
      <c r="AB164" s="266">
        <f>[4]EnergyCurve!$D186</f>
        <v>41821</v>
      </c>
      <c r="AC164" s="30">
        <f>IF(TradeSum!$L$6=0,VLOOKUP(AB164,TradeSum!$DM$13:$DQ$252,2)+VLOOKUP(AB164,TradeSum!$DU$13:$DY$252,3),VLOOKUP(AB164,TradeSum!$DU$13:$DY$252,2)+VLOOKUP(AB164,TradeSum!$DU$13:$DY$252,3))</f>
        <v>26</v>
      </c>
      <c r="AD164" s="30">
        <f>VLOOKUP(AB164,TradeSum!$DM$13:$DR$252,6)</f>
        <v>31</v>
      </c>
      <c r="AE164" s="30">
        <f>IF(TradeSum!$L$6=0,VLOOKUP(AB164,TradeSum!$DM$13:$DQ$252,2),VLOOKUP(AB164,TradeSum!$DU$13:$DY$252,2))</f>
        <v>22</v>
      </c>
      <c r="AF164" s="274">
        <f>[4]EnergyCurve!$G186</f>
        <v>38.795509285891349</v>
      </c>
      <c r="AG164" s="274">
        <f>[4]EnergyCurve!$Y186</f>
        <v>36.855733821596779</v>
      </c>
      <c r="AH164" s="274">
        <f>[4]EnergyCurve!$AD186</f>
        <v>25.217081035829377</v>
      </c>
      <c r="AI164" s="274">
        <f>[4]EnergyCurve!$L186</f>
        <v>25.217081035829377</v>
      </c>
      <c r="AJ164">
        <f t="shared" si="26"/>
        <v>38.497082291384487</v>
      </c>
      <c r="AK164">
        <f t="shared" si="27"/>
        <v>32.642458081946209</v>
      </c>
      <c r="AM164">
        <f>IF(NymexData!AC164="",VLOOKUP('Pricing Summary'!AB164,NymexData!$S$12:$U$250,3),VLOOKUP(NymexData!AA164,NymexData!$AA$12:$AC$250,3))</f>
        <v>0.17</v>
      </c>
      <c r="AO164" s="370">
        <f>AD164*24*VLOOKUP(AB164,Interest!$X$8:$AC$367,6)</f>
        <v>351.37584203170616</v>
      </c>
    </row>
    <row r="165" spans="28:41" x14ac:dyDescent="0.2">
      <c r="AB165" s="266">
        <f>[4]EnergyCurve!$D187</f>
        <v>41852</v>
      </c>
      <c r="AC165" s="30">
        <f>IF(TradeSum!$L$6=0,VLOOKUP(AB165,TradeSum!$DM$13:$DQ$252,2)+VLOOKUP(AB165,TradeSum!$DU$13:$DY$252,3),VLOOKUP(AB165,TradeSum!$DU$13:$DY$252,2)+VLOOKUP(AB165,TradeSum!$DU$13:$DY$252,3))</f>
        <v>26</v>
      </c>
      <c r="AD165" s="30">
        <f>VLOOKUP(AB165,TradeSum!$DM$13:$DR$252,6)</f>
        <v>31</v>
      </c>
      <c r="AE165" s="30">
        <f>IF(TradeSum!$L$6=0,VLOOKUP(AB165,TradeSum!$DM$13:$DQ$252,2),VLOOKUP(AB165,TradeSum!$DU$13:$DY$252,2))</f>
        <v>21</v>
      </c>
      <c r="AF165" s="274">
        <f>[4]EnergyCurve!$G187</f>
        <v>39.227844575025038</v>
      </c>
      <c r="AG165" s="274">
        <f>[4]EnergyCurve!$Y187</f>
        <v>37.266452346273788</v>
      </c>
      <c r="AH165" s="274">
        <f>[4]EnergyCurve!$AD187</f>
        <v>25.498098973766275</v>
      </c>
      <c r="AI165" s="274">
        <f>[4]EnergyCurve!$L187</f>
        <v>25.498098973766275</v>
      </c>
      <c r="AJ165">
        <f t="shared" si="26"/>
        <v>38.850653761803642</v>
      </c>
      <c r="AK165">
        <f t="shared" si="27"/>
        <v>32.964043586432332</v>
      </c>
      <c r="AM165">
        <f>IF(NymexData!AC165="",VLOOKUP('Pricing Summary'!AB165,NymexData!$S$12:$U$250,3),VLOOKUP(NymexData!AA165,NymexData!$AA$12:$AC$250,3))</f>
        <v>0.17</v>
      </c>
      <c r="AO165" s="370">
        <f>AD165*24*VLOOKUP(AB165,Interest!$X$8:$AC$367,6)</f>
        <v>349.29842835280652</v>
      </c>
    </row>
    <row r="166" spans="28:41" x14ac:dyDescent="0.2">
      <c r="AB166" s="266">
        <f>[4]EnergyCurve!$D188</f>
        <v>41883</v>
      </c>
      <c r="AC166" s="30">
        <f>IF(TradeSum!$L$6=0,VLOOKUP(AB166,TradeSum!$DM$13:$DQ$252,2)+VLOOKUP(AB166,TradeSum!$DU$13:$DY$252,3),VLOOKUP(AB166,TradeSum!$DU$13:$DY$252,2)+VLOOKUP(AB166,TradeSum!$DU$13:$DY$252,3))</f>
        <v>25</v>
      </c>
      <c r="AD166" s="30">
        <f>VLOOKUP(AB166,TradeSum!$DM$13:$DR$252,6)</f>
        <v>30</v>
      </c>
      <c r="AE166" s="30">
        <f>IF(TradeSum!$L$6=0,VLOOKUP(AB166,TradeSum!$DM$13:$DQ$252,2),VLOOKUP(AB166,TradeSum!$DU$13:$DY$252,2))</f>
        <v>21</v>
      </c>
      <c r="AF166" s="274">
        <f>[4]EnergyCurve!$G188</f>
        <v>39.187583897328459</v>
      </c>
      <c r="AG166" s="274">
        <f>[4]EnergyCurve!$Y188</f>
        <v>37.228204702462037</v>
      </c>
      <c r="AH166" s="274">
        <f>[4]EnergyCurve!$AD188</f>
        <v>25.471929533263499</v>
      </c>
      <c r="AI166" s="274">
        <f>[4]EnergyCurve!$L188</f>
        <v>25.471929533263499</v>
      </c>
      <c r="AJ166">
        <f t="shared" si="26"/>
        <v>38.874083226149835</v>
      </c>
      <c r="AK166">
        <f t="shared" si="27"/>
        <v>32.917570473755909</v>
      </c>
      <c r="AM166">
        <f>IF(NymexData!AC166="",VLOOKUP('Pricing Summary'!AB166,NymexData!$S$12:$U$250,3),VLOOKUP(NymexData!AA166,NymexData!$AA$12:$AC$250,3))</f>
        <v>0.17</v>
      </c>
      <c r="AO166" s="370">
        <f>AD166*24*VLOOKUP(AB166,Interest!$X$8:$AC$367,6)</f>
        <v>336.08218971274528</v>
      </c>
    </row>
    <row r="167" spans="28:41" x14ac:dyDescent="0.2">
      <c r="AB167" s="266">
        <f>[4]EnergyCurve!$D189</f>
        <v>41913</v>
      </c>
      <c r="AC167" s="30">
        <f>IF(TradeSum!$L$6=0,VLOOKUP(AB167,TradeSum!$DM$13:$DQ$252,2)+VLOOKUP(AB167,TradeSum!$DU$13:$DY$252,3),VLOOKUP(AB167,TradeSum!$DU$13:$DY$252,2)+VLOOKUP(AB167,TradeSum!$DU$13:$DY$252,3))</f>
        <v>27</v>
      </c>
      <c r="AD167" s="30">
        <f>VLOOKUP(AB167,TradeSum!$DM$13:$DR$252,6)</f>
        <v>31</v>
      </c>
      <c r="AE167" s="30">
        <f>IF(TradeSum!$L$6=0,VLOOKUP(AB167,TradeSum!$DM$13:$DQ$252,2),VLOOKUP(AB167,TradeSum!$DU$13:$DY$252,2))</f>
        <v>23</v>
      </c>
      <c r="AF167" s="274">
        <f>[4]EnergyCurve!$G189</f>
        <v>39.211522995165822</v>
      </c>
      <c r="AG167" s="274">
        <f>[4]EnergyCurve!$Y189</f>
        <v>37.250946845407526</v>
      </c>
      <c r="AH167" s="274">
        <f>[4]EnergyCurve!$AD189</f>
        <v>25.487489946857782</v>
      </c>
      <c r="AI167" s="274">
        <f>[4]EnergyCurve!$L189</f>
        <v>25.487489946857782</v>
      </c>
      <c r="AJ167">
        <f t="shared" si="26"/>
        <v>38.921067269275696</v>
      </c>
      <c r="AK167">
        <f t="shared" si="27"/>
        <v>33.287631617939155</v>
      </c>
      <c r="AM167">
        <f>IF(NymexData!AC167="",VLOOKUP('Pricing Summary'!AB167,NymexData!$S$12:$U$250,3),VLOOKUP(NymexData!AA167,NymexData!$AA$12:$AC$250,3))</f>
        <v>0.17</v>
      </c>
      <c r="AO167" s="370">
        <f>AD167*24*VLOOKUP(AB167,Interest!$X$8:$AC$367,6)</f>
        <v>345.23384864033648</v>
      </c>
    </row>
    <row r="168" spans="28:41" x14ac:dyDescent="0.2">
      <c r="AB168" s="266">
        <f>[4]EnergyCurve!$D190</f>
        <v>41944</v>
      </c>
      <c r="AC168" s="30">
        <f>IF(TradeSum!$L$6=0,VLOOKUP(AB168,TradeSum!$DM$13:$DQ$252,2)+VLOOKUP(AB168,TradeSum!$DU$13:$DY$252,3),VLOOKUP(AB168,TradeSum!$DU$13:$DY$252,2)+VLOOKUP(AB168,TradeSum!$DU$13:$DY$252,3))</f>
        <v>24</v>
      </c>
      <c r="AD168" s="30">
        <f>VLOOKUP(AB168,TradeSum!$DM$13:$DR$252,6)</f>
        <v>30</v>
      </c>
      <c r="AE168" s="30">
        <f>IF(TradeSum!$L$6=0,VLOOKUP(AB168,TradeSum!$DM$13:$DQ$252,2),VLOOKUP(AB168,TradeSum!$DU$13:$DY$252,2))</f>
        <v>19</v>
      </c>
      <c r="AF168" s="274">
        <f>[4]EnergyCurve!$G190</f>
        <v>41.488980318355829</v>
      </c>
      <c r="AG168" s="274">
        <f>[4]EnergyCurve!$Y190</f>
        <v>39.414531302438036</v>
      </c>
      <c r="AH168" s="274">
        <f>[4]EnergyCurve!$AD190</f>
        <v>26.967837206931289</v>
      </c>
      <c r="AI168" s="274">
        <f>[4]EnergyCurve!$L190</f>
        <v>26.967837206931289</v>
      </c>
      <c r="AJ168">
        <f t="shared" si="26"/>
        <v>41.056803440039623</v>
      </c>
      <c r="AK168">
        <f t="shared" si="27"/>
        <v>34.481952531255736</v>
      </c>
      <c r="AM168">
        <f>IF(NymexData!AC168="",VLOOKUP('Pricing Summary'!AB168,NymexData!$S$12:$U$250,3),VLOOKUP(NymexData!AA168,NymexData!$AA$12:$AC$250,3))</f>
        <v>0.17</v>
      </c>
      <c r="AO168" s="370">
        <f>AD168*24*VLOOKUP(AB168,Interest!$X$8:$AC$367,6)</f>
        <v>332.16338820821392</v>
      </c>
    </row>
    <row r="169" spans="28:41" x14ac:dyDescent="0.2">
      <c r="AB169" s="266">
        <f>[4]EnergyCurve!$D191</f>
        <v>41974</v>
      </c>
      <c r="AC169" s="30">
        <f>IF(TradeSum!$L$6=0,VLOOKUP(AB169,TradeSum!$DM$13:$DQ$252,2)+VLOOKUP(AB169,TradeSum!$DU$13:$DY$252,3),VLOOKUP(AB169,TradeSum!$DU$13:$DY$252,2)+VLOOKUP(AB169,TradeSum!$DU$13:$DY$252,3))</f>
        <v>26</v>
      </c>
      <c r="AD169" s="30">
        <f>VLOOKUP(AB169,TradeSum!$DM$13:$DR$252,6)</f>
        <v>31</v>
      </c>
      <c r="AE169" s="30">
        <f>IF(TradeSum!$L$6=0,VLOOKUP(AB169,TradeSum!$DM$13:$DQ$252,2),VLOOKUP(AB169,TradeSum!$DU$13:$DY$252,2))</f>
        <v>22</v>
      </c>
      <c r="AF169" s="274">
        <f>[4]EnergyCurve!$G191</f>
        <v>43.15428165929039</v>
      </c>
      <c r="AG169" s="274">
        <f>[4]EnergyCurve!$Y191</f>
        <v>40.996567576325866</v>
      </c>
      <c r="AH169" s="274">
        <f>[4]EnergyCurve!$AD191</f>
        <v>28.050283078538754</v>
      </c>
      <c r="AI169" s="274">
        <f>[4]EnergyCurve!$L191</f>
        <v>28.050283078538754</v>
      </c>
      <c r="AJ169">
        <f t="shared" si="26"/>
        <v>42.822325646526615</v>
      </c>
      <c r="AK169">
        <f t="shared" si="27"/>
        <v>36.309919783220145</v>
      </c>
      <c r="AM169">
        <f>IF(NymexData!AC169="",VLOOKUP('Pricing Summary'!AB169,NymexData!$S$12:$U$250,3),VLOOKUP(NymexData!AA169,NymexData!$AA$12:$AC$250,3))</f>
        <v>0.17</v>
      </c>
      <c r="AO169" s="370">
        <f>AD169*24*VLOOKUP(AB169,Interest!$X$8:$AC$367,6)</f>
        <v>341.20010689298624</v>
      </c>
    </row>
    <row r="170" spans="28:41" x14ac:dyDescent="0.2">
      <c r="AB170" s="266">
        <f>[4]EnergyCurve!$D192</f>
        <v>42005</v>
      </c>
      <c r="AC170" s="30">
        <f>IF(TradeSum!$L$6=0,VLOOKUP(AB170,TradeSum!$DM$13:$DQ$252,2)+VLOOKUP(AB170,TradeSum!$DU$13:$DY$252,3),VLOOKUP(AB170,TradeSum!$DU$13:$DY$252,2)+VLOOKUP(AB170,TradeSum!$DU$13:$DY$252,3))</f>
        <v>26</v>
      </c>
      <c r="AD170" s="30">
        <f>VLOOKUP(AB170,TradeSum!$DM$13:$DR$252,6)</f>
        <v>31</v>
      </c>
      <c r="AE170" s="30">
        <f>IF(TradeSum!$L$6=0,VLOOKUP(AB170,TradeSum!$DM$13:$DQ$252,2),VLOOKUP(AB170,TradeSum!$DU$13:$DY$252,2))</f>
        <v>21</v>
      </c>
      <c r="AF170" s="274">
        <f>[4]EnergyCurve!$G192</f>
        <v>42.770401225290733</v>
      </c>
      <c r="AG170" s="274">
        <f>[4]EnergyCurve!$Y192</f>
        <v>40.631881164026197</v>
      </c>
      <c r="AH170" s="274">
        <f>[4]EnergyCurve!$AD192</f>
        <v>27.800760796438979</v>
      </c>
      <c r="AI170" s="274">
        <f>[4]EnergyCurve!$L192</f>
        <v>27.800760796438979</v>
      </c>
      <c r="AJ170">
        <f t="shared" si="26"/>
        <v>42.359147367355249</v>
      </c>
      <c r="AK170">
        <f t="shared" si="27"/>
        <v>35.940933932865271</v>
      </c>
      <c r="AM170">
        <f>IF(NymexData!AC170="",VLOOKUP('Pricing Summary'!AB170,NymexData!$S$12:$U$250,3),VLOOKUP(NymexData!AA170,NymexData!$AA$12:$AC$250,3))</f>
        <v>0.17</v>
      </c>
      <c r="AO170" s="370">
        <f>AD170*24*VLOOKUP(AB170,Interest!$X$8:$AC$367,6)</f>
        <v>339.16199987213946</v>
      </c>
    </row>
    <row r="171" spans="28:41" x14ac:dyDescent="0.2">
      <c r="AB171" s="266">
        <f>[4]EnergyCurve!$D193</f>
        <v>42036</v>
      </c>
      <c r="AC171" s="30">
        <f>IF(TradeSum!$L$6=0,VLOOKUP(AB171,TradeSum!$DM$13:$DQ$252,2)+VLOOKUP(AB171,TradeSum!$DU$13:$DY$252,3),VLOOKUP(AB171,TradeSum!$DU$13:$DY$252,2)+VLOOKUP(AB171,TradeSum!$DU$13:$DY$252,3))</f>
        <v>24</v>
      </c>
      <c r="AD171" s="30">
        <f>VLOOKUP(AB171,TradeSum!$DM$13:$DR$252,6)</f>
        <v>28</v>
      </c>
      <c r="AE171" s="30">
        <f>IF(TradeSum!$L$6=0,VLOOKUP(AB171,TradeSum!$DM$13:$DQ$252,2),VLOOKUP(AB171,TradeSum!$DU$13:$DY$252,2))</f>
        <v>20</v>
      </c>
      <c r="AF171" s="274">
        <f>[4]EnergyCurve!$G193</f>
        <v>41.85018489859732</v>
      </c>
      <c r="AG171" s="274">
        <f>[4]EnergyCurve!$Y193</f>
        <v>39.757675653667455</v>
      </c>
      <c r="AH171" s="274">
        <f>[4]EnergyCurve!$AD193</f>
        <v>27.202620184088257</v>
      </c>
      <c r="AI171" s="274">
        <f>[4]EnergyCurve!$L193</f>
        <v>27.202620184088257</v>
      </c>
      <c r="AJ171">
        <f t="shared" si="26"/>
        <v>41.501433357775674</v>
      </c>
      <c r="AK171">
        <f t="shared" si="27"/>
        <v>35.373370569052497</v>
      </c>
      <c r="AM171">
        <f>IF(NymexData!AC171="",VLOOKUP('Pricing Summary'!AB171,NymexData!$S$12:$U$250,3),VLOOKUP(NymexData!AA171,NymexData!$AA$12:$AC$250,3))</f>
        <v>0.17</v>
      </c>
      <c r="AO171" s="370">
        <f>AD171*24*VLOOKUP(AB171,Interest!$X$8:$AC$367,6)</f>
        <v>304.65435701286026</v>
      </c>
    </row>
    <row r="172" spans="28:41" x14ac:dyDescent="0.2">
      <c r="AB172" s="266">
        <f>[4]EnergyCurve!$D194</f>
        <v>42064</v>
      </c>
      <c r="AC172" s="30">
        <f>IF(TradeSum!$L$6=0,VLOOKUP(AB172,TradeSum!$DM$13:$DQ$252,2)+VLOOKUP(AB172,TradeSum!$DU$13:$DY$252,3),VLOOKUP(AB172,TradeSum!$DU$13:$DY$252,2)+VLOOKUP(AB172,TradeSum!$DU$13:$DY$252,3))</f>
        <v>26</v>
      </c>
      <c r="AD172" s="30">
        <f>VLOOKUP(AB172,TradeSum!$DM$13:$DR$252,6)</f>
        <v>31</v>
      </c>
      <c r="AE172" s="30">
        <f>IF(TradeSum!$L$6=0,VLOOKUP(AB172,TradeSum!$DM$13:$DQ$252,2),VLOOKUP(AB172,TradeSum!$DU$13:$DY$252,2))</f>
        <v>22</v>
      </c>
      <c r="AF172" s="274">
        <f>[4]EnergyCurve!$G194</f>
        <v>40.380243342385469</v>
      </c>
      <c r="AG172" s="274">
        <f>[4]EnergyCurve!$Y194</f>
        <v>38.361231175266191</v>
      </c>
      <c r="AH172" s="274">
        <f>[4]EnergyCurve!$AD194</f>
        <v>26.247158172550556</v>
      </c>
      <c r="AI172" s="274">
        <f>[4]EnergyCurve!$L194</f>
        <v>26.247158172550556</v>
      </c>
      <c r="AJ172">
        <f t="shared" si="26"/>
        <v>40.069626085905576</v>
      </c>
      <c r="AK172">
        <f t="shared" si="27"/>
        <v>33.975849909050133</v>
      </c>
      <c r="AM172">
        <f>IF(NymexData!AC172="",VLOOKUP('Pricing Summary'!AB172,NymexData!$S$12:$U$250,3),VLOOKUP(NymexData!AA172,NymexData!$AA$12:$AC$250,3))</f>
        <v>0.17</v>
      </c>
      <c r="AO172" s="370">
        <f>AD172*24*VLOOKUP(AB172,Interest!$X$8:$AC$367,6)</f>
        <v>335.30505723530621</v>
      </c>
    </row>
    <row r="173" spans="28:41" x14ac:dyDescent="0.2">
      <c r="AB173" s="266">
        <f>[4]EnergyCurve!$D195</f>
        <v>42095</v>
      </c>
      <c r="AC173" s="30">
        <f>IF(TradeSum!$L$6=0,VLOOKUP(AB173,TradeSum!$DM$13:$DQ$252,2)+VLOOKUP(AB173,TradeSum!$DU$13:$DY$252,3),VLOOKUP(AB173,TradeSum!$DU$13:$DY$252,2)+VLOOKUP(AB173,TradeSum!$DU$13:$DY$252,3))</f>
        <v>26</v>
      </c>
      <c r="AD173" s="30">
        <f>VLOOKUP(AB173,TradeSum!$DM$13:$DR$252,6)</f>
        <v>30</v>
      </c>
      <c r="AE173" s="30">
        <f>IF(TradeSum!$L$6=0,VLOOKUP(AB173,TradeSum!$DM$13:$DQ$252,2),VLOOKUP(AB173,TradeSum!$DU$13:$DY$252,2))</f>
        <v>22</v>
      </c>
      <c r="AF173" s="274">
        <f>[4]EnergyCurve!$G195</f>
        <v>37.784555739076879</v>
      </c>
      <c r="AG173" s="274">
        <f>[4]EnergyCurve!$Y195</f>
        <v>35.895327952123033</v>
      </c>
      <c r="AH173" s="274">
        <f>[4]EnergyCurve!$AD195</f>
        <v>24.559961230399974</v>
      </c>
      <c r="AI173" s="274">
        <f>[4]EnergyCurve!$L195</f>
        <v>24.559961230399974</v>
      </c>
      <c r="AJ173">
        <f t="shared" si="26"/>
        <v>37.493905310314751</v>
      </c>
      <c r="AK173">
        <f t="shared" si="27"/>
        <v>32.03290669879518</v>
      </c>
      <c r="AM173">
        <f>IF(NymexData!AC173="",VLOOKUP('Pricing Summary'!AB173,NymexData!$S$12:$U$250,3),VLOOKUP(NymexData!AA173,NymexData!$AA$12:$AC$250,3))</f>
        <v>0.17</v>
      </c>
      <c r="AO173" s="370">
        <f>AD173*24*VLOOKUP(AB173,Interest!$X$8:$AC$367,6)</f>
        <v>322.59124156128598</v>
      </c>
    </row>
    <row r="174" spans="28:41" x14ac:dyDescent="0.2">
      <c r="AB174" s="266">
        <f>[4]EnergyCurve!$D196</f>
        <v>42125</v>
      </c>
      <c r="AC174" s="30">
        <f>IF(TradeSum!$L$6=0,VLOOKUP(AB174,TradeSum!$DM$13:$DQ$252,2)+VLOOKUP(AB174,TradeSum!$DU$13:$DY$252,3),VLOOKUP(AB174,TradeSum!$DU$13:$DY$252,2)+VLOOKUP(AB174,TradeSum!$DU$13:$DY$252,3))</f>
        <v>25</v>
      </c>
      <c r="AD174" s="30">
        <f>VLOOKUP(AB174,TradeSum!$DM$13:$DR$252,6)</f>
        <v>31</v>
      </c>
      <c r="AE174" s="30">
        <f>IF(TradeSum!$L$6=0,VLOOKUP(AB174,TradeSum!$DM$13:$DQ$252,2),VLOOKUP(AB174,TradeSum!$DU$13:$DY$252,2))</f>
        <v>20</v>
      </c>
      <c r="AF174" s="274">
        <f>[4]EnergyCurve!$G196</f>
        <v>37.859236202723203</v>
      </c>
      <c r="AG174" s="274">
        <f>[4]EnergyCurve!$Y196</f>
        <v>35.966274392587039</v>
      </c>
      <c r="AH174" s="274">
        <f>[4]EnergyCurve!$AD196</f>
        <v>24.608503531770083</v>
      </c>
      <c r="AI174" s="274">
        <f>[4]EnergyCurve!$L196</f>
        <v>24.608503531770083</v>
      </c>
      <c r="AJ174">
        <f t="shared" si="26"/>
        <v>37.480643840695969</v>
      </c>
      <c r="AK174">
        <f t="shared" si="27"/>
        <v>31.529009074203358</v>
      </c>
      <c r="AM174">
        <f>IF(NymexData!AC174="",VLOOKUP('Pricing Summary'!AB174,NymexData!$S$12:$U$250,3),VLOOKUP(NymexData!AA174,NymexData!$AA$12:$AC$250,3))</f>
        <v>0.17</v>
      </c>
      <c r="AO174" s="370">
        <f>AD174*24*VLOOKUP(AB174,Interest!$X$8:$AC$367,6)</f>
        <v>331.34776371853172</v>
      </c>
    </row>
    <row r="175" spans="28:41" x14ac:dyDescent="0.2">
      <c r="AB175" s="266">
        <f>[4]EnergyCurve!$D197</f>
        <v>42156</v>
      </c>
      <c r="AC175" s="30">
        <f>IF(TradeSum!$L$6=0,VLOOKUP(AB175,TradeSum!$DM$13:$DQ$252,2)+VLOOKUP(AB175,TradeSum!$DU$13:$DY$252,3),VLOOKUP(AB175,TradeSum!$DU$13:$DY$252,2)+VLOOKUP(AB175,TradeSum!$DU$13:$DY$252,3))</f>
        <v>26</v>
      </c>
      <c r="AD175" s="30">
        <f>VLOOKUP(AB175,TradeSum!$DM$13:$DR$252,6)</f>
        <v>30</v>
      </c>
      <c r="AE175" s="30">
        <f>IF(TradeSum!$L$6=0,VLOOKUP(AB175,TradeSum!$DM$13:$DQ$252,2),VLOOKUP(AB175,TradeSum!$DU$13:$DY$252,2))</f>
        <v>22</v>
      </c>
      <c r="AF175" s="274">
        <f>[4]EnergyCurve!$G197</f>
        <v>38.289655860869594</v>
      </c>
      <c r="AG175" s="274">
        <f>[4]EnergyCurve!$Y197</f>
        <v>36.375173067826111</v>
      </c>
      <c r="AH175" s="274">
        <f>[4]EnergyCurve!$AD197</f>
        <v>24.888276309565239</v>
      </c>
      <c r="AI175" s="274">
        <f>[4]EnergyCurve!$L197</f>
        <v>24.888276309565239</v>
      </c>
      <c r="AJ175">
        <f t="shared" si="26"/>
        <v>37.995120046555215</v>
      </c>
      <c r="AK175">
        <f t="shared" si="27"/>
        <v>32.461119357603891</v>
      </c>
      <c r="AM175">
        <f>IF(NymexData!AC175="",VLOOKUP('Pricing Summary'!AB175,NymexData!$S$12:$U$250,3),VLOOKUP(NymexData!AA175,NymexData!$AA$12:$AC$250,3))</f>
        <v>0.17</v>
      </c>
      <c r="AO175" s="370">
        <f>AD175*24*VLOOKUP(AB175,Interest!$X$8:$AC$367,6)</f>
        <v>318.77631180695147</v>
      </c>
    </row>
    <row r="176" spans="28:41" x14ac:dyDescent="0.2">
      <c r="AB176" s="266">
        <f>[4]EnergyCurve!$D198</f>
        <v>42186</v>
      </c>
      <c r="AC176" s="30">
        <f>IF(TradeSum!$L$6=0,VLOOKUP(AB176,TradeSum!$DM$13:$DQ$252,2)+VLOOKUP(AB176,TradeSum!$DU$13:$DY$252,3),VLOOKUP(AB176,TradeSum!$DU$13:$DY$252,2)+VLOOKUP(AB176,TradeSum!$DU$13:$DY$252,3))</f>
        <v>26</v>
      </c>
      <c r="AD176" s="30">
        <f>VLOOKUP(AB176,TradeSum!$DM$13:$DR$252,6)</f>
        <v>31</v>
      </c>
      <c r="AE176" s="30">
        <f>IF(TradeSum!$L$6=0,VLOOKUP(AB176,TradeSum!$DM$13:$DQ$252,2),VLOOKUP(AB176,TradeSum!$DU$13:$DY$252,2))</f>
        <v>23</v>
      </c>
      <c r="AF176" s="274">
        <f>[4]EnergyCurve!$G198</f>
        <v>38.795509285891349</v>
      </c>
      <c r="AG176" s="274">
        <f>[4]EnergyCurve!$Y198</f>
        <v>36.855733821596779</v>
      </c>
      <c r="AH176" s="274">
        <f>[4]EnergyCurve!$AD198</f>
        <v>25.217081035829377</v>
      </c>
      <c r="AI176" s="274">
        <f>[4]EnergyCurve!$L198</f>
        <v>25.217081035829377</v>
      </c>
      <c r="AJ176">
        <f t="shared" si="26"/>
        <v>38.571689040011208</v>
      </c>
      <c r="AK176">
        <f t="shared" si="27"/>
        <v>32.684173683328893</v>
      </c>
      <c r="AM176">
        <f>IF(NymexData!AC176="",VLOOKUP('Pricing Summary'!AB176,NymexData!$S$12:$U$250,3),VLOOKUP(NymexData!AA176,NymexData!$AA$12:$AC$250,3))</f>
        <v>0.17</v>
      </c>
      <c r="AO176" s="370">
        <f>AD176*24*VLOOKUP(AB176,Interest!$X$8:$AC$367,6)</f>
        <v>327.42138592575185</v>
      </c>
    </row>
    <row r="177" spans="28:41" x14ac:dyDescent="0.2">
      <c r="AB177" s="266">
        <f>[4]EnergyCurve!$D199</f>
        <v>42217</v>
      </c>
      <c r="AC177" s="30">
        <f>IF(TradeSum!$L$6=0,VLOOKUP(AB177,TradeSum!$DM$13:$DQ$252,2)+VLOOKUP(AB177,TradeSum!$DU$13:$DY$252,3),VLOOKUP(AB177,TradeSum!$DU$13:$DY$252,2)+VLOOKUP(AB177,TradeSum!$DU$13:$DY$252,3))</f>
        <v>26</v>
      </c>
      <c r="AD177" s="30">
        <f>VLOOKUP(AB177,TradeSum!$DM$13:$DR$252,6)</f>
        <v>31</v>
      </c>
      <c r="AE177" s="30">
        <f>IF(TradeSum!$L$6=0,VLOOKUP(AB177,TradeSum!$DM$13:$DQ$252,2),VLOOKUP(AB177,TradeSum!$DU$13:$DY$252,2))</f>
        <v>21</v>
      </c>
      <c r="AF177" s="274">
        <f>[4]EnergyCurve!$G199</f>
        <v>39.227844575025038</v>
      </c>
      <c r="AG177" s="274">
        <f>[4]EnergyCurve!$Y199</f>
        <v>37.266452346273788</v>
      </c>
      <c r="AH177" s="274">
        <f>[4]EnergyCurve!$AD199</f>
        <v>25.498098973766275</v>
      </c>
      <c r="AI177" s="274">
        <f>[4]EnergyCurve!$L199</f>
        <v>25.498098973766275</v>
      </c>
      <c r="AJ177">
        <f t="shared" si="26"/>
        <v>38.850653761803642</v>
      </c>
      <c r="AK177">
        <f t="shared" si="27"/>
        <v>32.964043586432332</v>
      </c>
      <c r="AM177">
        <f>IF(NymexData!AC177="",VLOOKUP('Pricing Summary'!AB177,NymexData!$S$12:$U$250,3),VLOOKUP(NymexData!AA177,NymexData!$AA$12:$AC$250,3))</f>
        <v>0.17</v>
      </c>
      <c r="AO177" s="370">
        <f>AD177*24*VLOOKUP(AB177,Interest!$X$8:$AC$367,6)</f>
        <v>325.43786539694082</v>
      </c>
    </row>
    <row r="178" spans="28:41" x14ac:dyDescent="0.2">
      <c r="AB178" s="266">
        <f>[4]EnergyCurve!$D200</f>
        <v>42248</v>
      </c>
      <c r="AC178" s="30">
        <f>IF(TradeSum!$L$6=0,VLOOKUP(AB178,TradeSum!$DM$13:$DQ$252,2)+VLOOKUP(AB178,TradeSum!$DU$13:$DY$252,3),VLOOKUP(AB178,TradeSum!$DU$13:$DY$252,2)+VLOOKUP(AB178,TradeSum!$DU$13:$DY$252,3))</f>
        <v>25</v>
      </c>
      <c r="AD178" s="30">
        <f>VLOOKUP(AB178,TradeSum!$DM$13:$DR$252,6)</f>
        <v>30</v>
      </c>
      <c r="AE178" s="30">
        <f>IF(TradeSum!$L$6=0,VLOOKUP(AB178,TradeSum!$DM$13:$DQ$252,2),VLOOKUP(AB178,TradeSum!$DU$13:$DY$252,2))</f>
        <v>21</v>
      </c>
      <c r="AF178" s="274">
        <f>[4]EnergyCurve!$G200</f>
        <v>39.187583897328459</v>
      </c>
      <c r="AG178" s="274">
        <f>[4]EnergyCurve!$Y200</f>
        <v>37.228204702462037</v>
      </c>
      <c r="AH178" s="274">
        <f>[4]EnergyCurve!$AD200</f>
        <v>25.471929533263499</v>
      </c>
      <c r="AI178" s="274">
        <f>[4]EnergyCurve!$L200</f>
        <v>25.471929533263499</v>
      </c>
      <c r="AJ178">
        <f t="shared" si="26"/>
        <v>38.874083226149835</v>
      </c>
      <c r="AK178">
        <f t="shared" si="27"/>
        <v>32.917570473755909</v>
      </c>
      <c r="AM178">
        <f>IF(NymexData!AC178="",VLOOKUP('Pricing Summary'!AB178,NymexData!$S$12:$U$250,3),VLOOKUP(NymexData!AA178,NymexData!$AA$12:$AC$250,3))</f>
        <v>0.17</v>
      </c>
      <c r="AO178" s="370">
        <f>AD178*24*VLOOKUP(AB178,Interest!$X$8:$AC$367,6)</f>
        <v>313.07925441789087</v>
      </c>
    </row>
    <row r="179" spans="28:41" x14ac:dyDescent="0.2">
      <c r="AB179" s="266">
        <f>[4]EnergyCurve!$D201</f>
        <v>42278</v>
      </c>
      <c r="AC179" s="30">
        <f>IF(TradeSum!$L$6=0,VLOOKUP(AB179,TradeSum!$DM$13:$DQ$252,2)+VLOOKUP(AB179,TradeSum!$DU$13:$DY$252,3),VLOOKUP(AB179,TradeSum!$DU$13:$DY$252,2)+VLOOKUP(AB179,TradeSum!$DU$13:$DY$252,3))</f>
        <v>27</v>
      </c>
      <c r="AD179" s="30">
        <f>VLOOKUP(AB179,TradeSum!$DM$13:$DR$252,6)</f>
        <v>31</v>
      </c>
      <c r="AE179" s="30">
        <f>IF(TradeSum!$L$6=0,VLOOKUP(AB179,TradeSum!$DM$13:$DQ$252,2),VLOOKUP(AB179,TradeSum!$DU$13:$DY$252,2))</f>
        <v>22</v>
      </c>
      <c r="AF179" s="274">
        <f>[4]EnergyCurve!$G201</f>
        <v>39.211522995165822</v>
      </c>
      <c r="AG179" s="274">
        <f>[4]EnergyCurve!$Y201</f>
        <v>37.250946845407526</v>
      </c>
      <c r="AH179" s="274">
        <f>[4]EnergyCurve!$AD201</f>
        <v>25.487489946857782</v>
      </c>
      <c r="AI179" s="274">
        <f>[4]EnergyCurve!$L201</f>
        <v>25.487489946857782</v>
      </c>
      <c r="AJ179">
        <f t="shared" si="26"/>
        <v>38.848453337803178</v>
      </c>
      <c r="AK179">
        <f t="shared" si="27"/>
        <v>33.245468689987369</v>
      </c>
      <c r="AM179">
        <f>IF(NymexData!AC179="",VLOOKUP('Pricing Summary'!AB179,NymexData!$S$12:$U$250,3),VLOOKUP(NymexData!AA179,NymexData!$AA$12:$AC$250,3))</f>
        <v>0.17</v>
      </c>
      <c r="AO179" s="370">
        <f>AD179*24*VLOOKUP(AB179,Interest!$X$8:$AC$367,6)</f>
        <v>321.55813533655396</v>
      </c>
    </row>
    <row r="180" spans="28:41" x14ac:dyDescent="0.2">
      <c r="AB180" s="266">
        <f>[4]EnergyCurve!$D202</f>
        <v>42309</v>
      </c>
      <c r="AC180" s="30">
        <f>IF(TradeSum!$L$6=0,VLOOKUP(AB180,TradeSum!$DM$13:$DQ$252,2)+VLOOKUP(AB180,TradeSum!$DU$13:$DY$252,3),VLOOKUP(AB180,TradeSum!$DU$13:$DY$252,2)+VLOOKUP(AB180,TradeSum!$DU$13:$DY$252,3))</f>
        <v>24</v>
      </c>
      <c r="AD180" s="30">
        <f>VLOOKUP(AB180,TradeSum!$DM$13:$DR$252,6)</f>
        <v>30</v>
      </c>
      <c r="AE180" s="30">
        <f>IF(TradeSum!$L$6=0,VLOOKUP(AB180,TradeSum!$DM$13:$DQ$252,2),VLOOKUP(AB180,TradeSum!$DU$13:$DY$252,2))</f>
        <v>20</v>
      </c>
      <c r="AF180" s="274">
        <f>[4]EnergyCurve!$G202</f>
        <v>41.488980318355829</v>
      </c>
      <c r="AG180" s="274">
        <f>[4]EnergyCurve!$Y202</f>
        <v>39.414531302438036</v>
      </c>
      <c r="AH180" s="274">
        <f>[4]EnergyCurve!$AD202</f>
        <v>26.967837206931289</v>
      </c>
      <c r="AI180" s="274">
        <f>[4]EnergyCurve!$L202</f>
        <v>26.967837206931289</v>
      </c>
      <c r="AJ180">
        <f t="shared" si="26"/>
        <v>41.143238815702865</v>
      </c>
      <c r="AK180">
        <f t="shared" si="27"/>
        <v>34.528051398276133</v>
      </c>
      <c r="AM180">
        <f>IF(NymexData!AC180="",VLOOKUP('Pricing Summary'!AB180,NymexData!$S$12:$U$250,3),VLOOKUP(NymexData!AA180,NymexData!$AA$12:$AC$250,3))</f>
        <v>0.17</v>
      </c>
      <c r="AO180" s="370">
        <f>AD180*24*VLOOKUP(AB180,Interest!$X$8:$AC$367,6)</f>
        <v>309.33940238233589</v>
      </c>
    </row>
    <row r="181" spans="28:41" x14ac:dyDescent="0.2">
      <c r="AB181" s="266">
        <f>[4]EnergyCurve!$D203</f>
        <v>42339</v>
      </c>
      <c r="AC181" s="30">
        <f>IF(TradeSum!$L$6=0,VLOOKUP(AB181,TradeSum!$DM$13:$DQ$252,2)+VLOOKUP(AB181,TradeSum!$DU$13:$DY$252,3),VLOOKUP(AB181,TradeSum!$DU$13:$DY$252,2)+VLOOKUP(AB181,TradeSum!$DU$13:$DY$252,3))</f>
        <v>26</v>
      </c>
      <c r="AD181" s="30">
        <f>VLOOKUP(AB181,TradeSum!$DM$13:$DR$252,6)</f>
        <v>31</v>
      </c>
      <c r="AE181" s="30">
        <f>IF(TradeSum!$L$6=0,VLOOKUP(AB181,TradeSum!$DM$13:$DQ$252,2),VLOOKUP(AB181,TradeSum!$DU$13:$DY$252,2))</f>
        <v>22</v>
      </c>
      <c r="AF181" s="274">
        <f>[4]EnergyCurve!$G203</f>
        <v>43.15428165929039</v>
      </c>
      <c r="AG181" s="274">
        <f>[4]EnergyCurve!$Y203</f>
        <v>40.996567576325866</v>
      </c>
      <c r="AH181" s="274">
        <f>[4]EnergyCurve!$AD203</f>
        <v>28.050283078538754</v>
      </c>
      <c r="AI181" s="274">
        <f>[4]EnergyCurve!$L203</f>
        <v>28.050283078538754</v>
      </c>
      <c r="AJ181">
        <f t="shared" si="26"/>
        <v>42.822325646526615</v>
      </c>
      <c r="AK181">
        <f t="shared" si="27"/>
        <v>36.309919783220145</v>
      </c>
      <c r="AM181">
        <f>IF(NymexData!AC181="",VLOOKUP('Pricing Summary'!AB181,NymexData!$S$12:$U$250,3),VLOOKUP(NymexData!AA181,NymexData!$AA$12:$AC$250,3))</f>
        <v>0.17</v>
      </c>
      <c r="AO181" s="370">
        <f>AD181*24*VLOOKUP(AB181,Interest!$X$8:$AC$367,6)</f>
        <v>317.70934170626538</v>
      </c>
    </row>
    <row r="182" spans="28:41" x14ac:dyDescent="0.2">
      <c r="AB182" s="266">
        <f>[4]EnergyCurve!$D204</f>
        <v>42370</v>
      </c>
      <c r="AC182" s="30">
        <f>IF(TradeSum!$L$6=0,VLOOKUP(AB182,TradeSum!$DM$13:$DQ$252,2)+VLOOKUP(AB182,TradeSum!$DU$13:$DY$252,3),VLOOKUP(AB182,TradeSum!$DU$13:$DY$252,2)+VLOOKUP(AB182,TradeSum!$DU$13:$DY$252,3))</f>
        <v>25</v>
      </c>
      <c r="AD182" s="30">
        <f>VLOOKUP(AB182,TradeSum!$DM$13:$DR$252,6)</f>
        <v>31</v>
      </c>
      <c r="AE182" s="30">
        <f>IF(TradeSum!$L$6=0,VLOOKUP(AB182,TradeSum!$DM$13:$DQ$252,2),VLOOKUP(AB182,TradeSum!$DU$13:$DY$252,2))</f>
        <v>20</v>
      </c>
      <c r="AF182" s="274">
        <f>[4]EnergyCurve!$G204</f>
        <v>42.770401225290733</v>
      </c>
      <c r="AG182" s="274">
        <f>[4]EnergyCurve!$Y204</f>
        <v>40.631881164026197</v>
      </c>
      <c r="AH182" s="274">
        <f>[4]EnergyCurve!$AD204</f>
        <v>27.800760796438979</v>
      </c>
      <c r="AI182" s="274">
        <f>[4]EnergyCurve!$L204</f>
        <v>27.800760796438979</v>
      </c>
      <c r="AJ182">
        <f t="shared" si="26"/>
        <v>42.34269721303783</v>
      </c>
      <c r="AK182">
        <f t="shared" si="27"/>
        <v>35.619006181707178</v>
      </c>
      <c r="AM182">
        <f>IF(NymexData!AC182="",VLOOKUP('Pricing Summary'!AB182,NymexData!$S$12:$U$250,3),VLOOKUP(NymexData!AA182,NymexData!$AA$12:$AC$250,3))</f>
        <v>0.17</v>
      </c>
      <c r="AO182" s="370">
        <f>AD182*24*VLOOKUP(AB182,Interest!$X$8:$AC$367,6)</f>
        <v>315.76525342258725</v>
      </c>
    </row>
    <row r="183" spans="28:41" x14ac:dyDescent="0.2">
      <c r="AB183" s="266">
        <f>[4]EnergyCurve!$D205</f>
        <v>42401</v>
      </c>
      <c r="AC183" s="30">
        <f>IF(TradeSum!$L$6=0,VLOOKUP(AB183,TradeSum!$DM$13:$DQ$252,2)+VLOOKUP(AB183,TradeSum!$DU$13:$DY$252,3),VLOOKUP(AB183,TradeSum!$DU$13:$DY$252,2)+VLOOKUP(AB183,TradeSum!$DU$13:$DY$252,3))</f>
        <v>25</v>
      </c>
      <c r="AD183" s="30">
        <f>VLOOKUP(AB183,TradeSum!$DM$13:$DR$252,6)</f>
        <v>29</v>
      </c>
      <c r="AE183" s="30">
        <f>IF(TradeSum!$L$6=0,VLOOKUP(AB183,TradeSum!$DM$13:$DQ$252,2),VLOOKUP(AB183,TradeSum!$DU$13:$DY$252,2))</f>
        <v>21</v>
      </c>
      <c r="AF183" s="274">
        <f>[4]EnergyCurve!$G205</f>
        <v>41.85018489859732</v>
      </c>
      <c r="AG183" s="274">
        <f>[4]EnergyCurve!$Y205</f>
        <v>39.757675653667455</v>
      </c>
      <c r="AH183" s="274">
        <f>[4]EnergyCurve!$AD205</f>
        <v>27.202620184088257</v>
      </c>
      <c r="AI183" s="274">
        <f>[4]EnergyCurve!$L205</f>
        <v>27.202620184088257</v>
      </c>
      <c r="AJ183">
        <f t="shared" si="26"/>
        <v>41.515383419408536</v>
      </c>
      <c r="AK183">
        <f t="shared" si="27"/>
        <v>35.428346181398759</v>
      </c>
      <c r="AM183">
        <f>IF(NymexData!AC183="",VLOOKUP('Pricing Summary'!AB183,NymexData!$S$12:$U$250,3),VLOOKUP(NymexData!AA183,NymexData!$AA$12:$AC$250,3))</f>
        <v>0.17</v>
      </c>
      <c r="AO183" s="370">
        <f>AD183*24*VLOOKUP(AB183,Interest!$X$8:$AC$367,6)</f>
        <v>293.67872358249548</v>
      </c>
    </row>
    <row r="184" spans="28:41" x14ac:dyDescent="0.2">
      <c r="AB184" s="266">
        <f>[4]EnergyCurve!$D206</f>
        <v>42430</v>
      </c>
      <c r="AC184" s="30">
        <f>IF(TradeSum!$L$6=0,VLOOKUP(AB184,TradeSum!$DM$13:$DQ$252,2)+VLOOKUP(AB184,TradeSum!$DU$13:$DY$252,3),VLOOKUP(AB184,TradeSum!$DU$13:$DY$252,2)+VLOOKUP(AB184,TradeSum!$DU$13:$DY$252,3))</f>
        <v>27</v>
      </c>
      <c r="AD184" s="30">
        <f>VLOOKUP(AB184,TradeSum!$DM$13:$DR$252,6)</f>
        <v>31</v>
      </c>
      <c r="AE184" s="30">
        <f>IF(TradeSum!$L$6=0,VLOOKUP(AB184,TradeSum!$DM$13:$DQ$252,2),VLOOKUP(AB184,TradeSum!$DU$13:$DY$252,2))</f>
        <v>23</v>
      </c>
      <c r="AF184" s="274">
        <f>[4]EnergyCurve!$G206</f>
        <v>40.380243342385469</v>
      </c>
      <c r="AG184" s="274">
        <f>[4]EnergyCurve!$Y206</f>
        <v>38.361231175266191</v>
      </c>
      <c r="AH184" s="274">
        <f>[4]EnergyCurve!$AD206</f>
        <v>26.247158172550556</v>
      </c>
      <c r="AI184" s="274">
        <f>[4]EnergyCurve!$L206</f>
        <v>26.247158172550556</v>
      </c>
      <c r="AJ184">
        <f t="shared" si="26"/>
        <v>40.081130428738163</v>
      </c>
      <c r="AK184">
        <f t="shared" si="27"/>
        <v>34.279787224530452</v>
      </c>
      <c r="AM184">
        <f>IF(NymexData!AC184="",VLOOKUP('Pricing Summary'!AB184,NymexData!$S$12:$U$250,3),VLOOKUP(NymexData!AA184,NymexData!$AA$12:$AC$250,3))</f>
        <v>0.17</v>
      </c>
      <c r="AO184" s="370">
        <f>AD184*24*VLOOKUP(AB184,Interest!$X$8:$AC$367,6)</f>
        <v>312.02519767279671</v>
      </c>
    </row>
    <row r="185" spans="28:41" x14ac:dyDescent="0.2">
      <c r="AB185" s="266">
        <f>[4]EnergyCurve!$D207</f>
        <v>42461</v>
      </c>
      <c r="AC185" s="30">
        <f>IF(TradeSum!$L$6=0,VLOOKUP(AB185,TradeSum!$DM$13:$DQ$252,2)+VLOOKUP(AB185,TradeSum!$DU$13:$DY$252,3),VLOOKUP(AB185,TradeSum!$DU$13:$DY$252,2)+VLOOKUP(AB185,TradeSum!$DU$13:$DY$252,3))</f>
        <v>26</v>
      </c>
      <c r="AD185" s="30">
        <f>VLOOKUP(AB185,TradeSum!$DM$13:$DR$252,6)</f>
        <v>30</v>
      </c>
      <c r="AE185" s="30">
        <f>IF(TradeSum!$L$6=0,VLOOKUP(AB185,TradeSum!$DM$13:$DQ$252,2),VLOOKUP(AB185,TradeSum!$DU$13:$DY$252,2))</f>
        <v>21</v>
      </c>
      <c r="AF185" s="274">
        <f>[4]EnergyCurve!$G207</f>
        <v>37.784555739076879</v>
      </c>
      <c r="AG185" s="274">
        <f>[4]EnergyCurve!$Y207</f>
        <v>35.895327952123033</v>
      </c>
      <c r="AH185" s="274">
        <f>[4]EnergyCurve!$AD207</f>
        <v>24.559961230399974</v>
      </c>
      <c r="AI185" s="274">
        <f>[4]EnergyCurve!$L207</f>
        <v>24.559961230399974</v>
      </c>
      <c r="AJ185">
        <f t="shared" si="26"/>
        <v>37.421242703124214</v>
      </c>
      <c r="AK185">
        <f t="shared" si="27"/>
        <v>31.99092385908509</v>
      </c>
      <c r="AM185">
        <f>IF(NymexData!AC185="",VLOOKUP('Pricing Summary'!AB185,NymexData!$S$12:$U$250,3),VLOOKUP(NymexData!AA185,NymexData!$AA$12:$AC$250,3))</f>
        <v>0.17</v>
      </c>
      <c r="AO185" s="370">
        <f>AD185*24*VLOOKUP(AB185,Interest!$X$8:$AC$367,6)</f>
        <v>300.1506782969463</v>
      </c>
    </row>
    <row r="186" spans="28:41" x14ac:dyDescent="0.2">
      <c r="AB186" s="266">
        <f>[4]EnergyCurve!$D208</f>
        <v>42491</v>
      </c>
      <c r="AC186" s="30">
        <f>IF(TradeSum!$L$6=0,VLOOKUP(AB186,TradeSum!$DM$13:$DQ$252,2)+VLOOKUP(AB186,TradeSum!$DU$13:$DY$252,3),VLOOKUP(AB186,TradeSum!$DU$13:$DY$252,2)+VLOOKUP(AB186,TradeSum!$DU$13:$DY$252,3))</f>
        <v>25</v>
      </c>
      <c r="AD186" s="30">
        <f>VLOOKUP(AB186,TradeSum!$DM$13:$DR$252,6)</f>
        <v>31</v>
      </c>
      <c r="AE186" s="30">
        <f>IF(TradeSum!$L$6=0,VLOOKUP(AB186,TradeSum!$DM$13:$DQ$252,2),VLOOKUP(AB186,TradeSum!$DU$13:$DY$252,2))</f>
        <v>21</v>
      </c>
      <c r="AF186" s="274">
        <f>[4]EnergyCurve!$G208</f>
        <v>37.859236202723203</v>
      </c>
      <c r="AG186" s="274">
        <f>[4]EnergyCurve!$Y208</f>
        <v>35.966274392587039</v>
      </c>
      <c r="AH186" s="274">
        <f>[4]EnergyCurve!$AD208</f>
        <v>24.608503531770083</v>
      </c>
      <c r="AI186" s="274">
        <f>[4]EnergyCurve!$L208</f>
        <v>24.608503531770083</v>
      </c>
      <c r="AJ186">
        <f t="shared" si="26"/>
        <v>37.556362313101417</v>
      </c>
      <c r="AK186">
        <f t="shared" si="27"/>
        <v>31.569717930335315</v>
      </c>
      <c r="AM186">
        <f>IF(NymexData!AC186="",VLOOKUP('Pricing Summary'!AB186,NymexData!$S$12:$U$250,3),VLOOKUP(NymexData!AA186,NymexData!$AA$12:$AC$250,3))</f>
        <v>0.17</v>
      </c>
      <c r="AO186" s="370">
        <f>AD186*24*VLOOKUP(AB186,Interest!$X$8:$AC$367,6)</f>
        <v>308.25348267148917</v>
      </c>
    </row>
    <row r="187" spans="28:41" x14ac:dyDescent="0.2">
      <c r="AB187" s="266">
        <f>[4]EnergyCurve!$D209</f>
        <v>42522</v>
      </c>
      <c r="AC187" s="30">
        <f>IF(TradeSum!$L$6=0,VLOOKUP(AB187,TradeSum!$DM$13:$DQ$252,2)+VLOOKUP(AB187,TradeSum!$DU$13:$DY$252,3),VLOOKUP(AB187,TradeSum!$DU$13:$DY$252,2)+VLOOKUP(AB187,TradeSum!$DU$13:$DY$252,3))</f>
        <v>26</v>
      </c>
      <c r="AD187" s="30">
        <f>VLOOKUP(AB187,TradeSum!$DM$13:$DR$252,6)</f>
        <v>30</v>
      </c>
      <c r="AE187" s="30">
        <f>IF(TradeSum!$L$6=0,VLOOKUP(AB187,TradeSum!$DM$13:$DQ$252,2),VLOOKUP(AB187,TradeSum!$DU$13:$DY$252,2))</f>
        <v>22</v>
      </c>
      <c r="AF187" s="274">
        <f>[4]EnergyCurve!$G209</f>
        <v>38.289655860869594</v>
      </c>
      <c r="AG187" s="274">
        <f>[4]EnergyCurve!$Y209</f>
        <v>36.375173067826111</v>
      </c>
      <c r="AH187" s="274">
        <f>[4]EnergyCurve!$AD209</f>
        <v>24.888276309565239</v>
      </c>
      <c r="AI187" s="274">
        <f>[4]EnergyCurve!$L209</f>
        <v>24.888276309565239</v>
      </c>
      <c r="AJ187">
        <f t="shared" si="26"/>
        <v>37.995120046555215</v>
      </c>
      <c r="AK187">
        <f t="shared" si="27"/>
        <v>32.461119357603891</v>
      </c>
      <c r="AM187">
        <f>IF(NymexData!AC187="",VLOOKUP('Pricing Summary'!AB187,NymexData!$S$12:$U$250,3),VLOOKUP(NymexData!AA187,NymexData!$AA$12:$AC$250,3))</f>
        <v>0.17</v>
      </c>
      <c r="AO187" s="370">
        <f>AD187*24*VLOOKUP(AB187,Interest!$X$8:$AC$367,6)</f>
        <v>296.51535655573502</v>
      </c>
    </row>
    <row r="188" spans="28:41" x14ac:dyDescent="0.2">
      <c r="AB188" s="266">
        <f>[4]EnergyCurve!$D210</f>
        <v>42552</v>
      </c>
      <c r="AC188" s="30">
        <f>IF(TradeSum!$L$6=0,VLOOKUP(AB188,TradeSum!$DM$13:$DQ$252,2)+VLOOKUP(AB188,TradeSum!$DU$13:$DY$252,3),VLOOKUP(AB188,TradeSum!$DU$13:$DY$252,2)+VLOOKUP(AB188,TradeSum!$DU$13:$DY$252,3))</f>
        <v>25</v>
      </c>
      <c r="AD188" s="30">
        <f>VLOOKUP(AB188,TradeSum!$DM$13:$DR$252,6)</f>
        <v>31</v>
      </c>
      <c r="AE188" s="30">
        <f>IF(TradeSum!$L$6=0,VLOOKUP(AB188,TradeSum!$DM$13:$DQ$252,2),VLOOKUP(AB188,TradeSum!$DU$13:$DY$252,2))</f>
        <v>20</v>
      </c>
      <c r="AF188" s="274">
        <f>[4]EnergyCurve!$G210</f>
        <v>38.795509285891349</v>
      </c>
      <c r="AG188" s="274">
        <f>[4]EnergyCurve!$Y210</f>
        <v>36.855733821596779</v>
      </c>
      <c r="AH188" s="274">
        <f>[4]EnergyCurve!$AD210</f>
        <v>25.217081035829377</v>
      </c>
      <c r="AI188" s="274">
        <f>[4]EnergyCurve!$L210</f>
        <v>25.217081035829377</v>
      </c>
      <c r="AJ188">
        <f t="shared" si="26"/>
        <v>38.407554193032432</v>
      </c>
      <c r="AK188">
        <f t="shared" si="27"/>
        <v>32.308733270884787</v>
      </c>
      <c r="AM188">
        <f>IF(NymexData!AC188="",VLOOKUP('Pricing Summary'!AB188,NymexData!$S$12:$U$250,3),VLOOKUP(NymexData!AA188,NymexData!$AA$12:$AC$250,3))</f>
        <v>0.17</v>
      </c>
      <c r="AO188" s="370">
        <f>AD188*24*VLOOKUP(AB188,Interest!$X$8:$AC$367,6)</f>
        <v>304.51268530418554</v>
      </c>
    </row>
    <row r="189" spans="28:41" x14ac:dyDescent="0.2">
      <c r="AB189" s="266">
        <f>[4]EnergyCurve!$D211</f>
        <v>42583</v>
      </c>
      <c r="AC189" s="30">
        <f>IF(TradeSum!$L$6=0,VLOOKUP(AB189,TradeSum!$DM$13:$DQ$252,2)+VLOOKUP(AB189,TradeSum!$DU$13:$DY$252,3),VLOOKUP(AB189,TradeSum!$DU$13:$DY$252,2)+VLOOKUP(AB189,TradeSum!$DU$13:$DY$252,3))</f>
        <v>27</v>
      </c>
      <c r="AD189" s="30">
        <f>VLOOKUP(AB189,TradeSum!$DM$13:$DR$252,6)</f>
        <v>31</v>
      </c>
      <c r="AE189" s="30">
        <f>IF(TradeSum!$L$6=0,VLOOKUP(AB189,TradeSum!$DM$13:$DQ$252,2),VLOOKUP(AB189,TradeSum!$DU$13:$DY$252,2))</f>
        <v>23</v>
      </c>
      <c r="AF189" s="274">
        <f>[4]EnergyCurve!$G211</f>
        <v>39.227844575025038</v>
      </c>
      <c r="AG189" s="274">
        <f>[4]EnergyCurve!$Y211</f>
        <v>37.266452346273788</v>
      </c>
      <c r="AH189" s="274">
        <f>[4]EnergyCurve!$AD211</f>
        <v>25.498098973766275</v>
      </c>
      <c r="AI189" s="274">
        <f>[4]EnergyCurve!$L211</f>
        <v>25.498098973766275</v>
      </c>
      <c r="AJ189">
        <f t="shared" si="26"/>
        <v>38.937267948543372</v>
      </c>
      <c r="AK189">
        <f t="shared" si="27"/>
        <v>33.301487410733621</v>
      </c>
      <c r="AM189">
        <f>IF(NymexData!AC189="",VLOOKUP('Pricing Summary'!AB189,NymexData!$S$12:$U$250,3),VLOOKUP(NymexData!AA189,NymexData!$AA$12:$AC$250,3))</f>
        <v>0.17</v>
      </c>
      <c r="AO189" s="370">
        <f>AD189*24*VLOOKUP(AB189,Interest!$X$8:$AC$367,6)</f>
        <v>302.62346818996969</v>
      </c>
    </row>
    <row r="190" spans="28:41" x14ac:dyDescent="0.2">
      <c r="AB190" s="266">
        <f>[4]EnergyCurve!$D212</f>
        <v>42614</v>
      </c>
      <c r="AC190" s="30">
        <f>IF(TradeSum!$L$6=0,VLOOKUP(AB190,TradeSum!$DM$13:$DQ$252,2)+VLOOKUP(AB190,TradeSum!$DU$13:$DY$252,3),VLOOKUP(AB190,TradeSum!$DU$13:$DY$252,2)+VLOOKUP(AB190,TradeSum!$DU$13:$DY$252,3))</f>
        <v>25</v>
      </c>
      <c r="AD190" s="30">
        <f>VLOOKUP(AB190,TradeSum!$DM$13:$DR$252,6)</f>
        <v>30</v>
      </c>
      <c r="AE190" s="30">
        <f>IF(TradeSum!$L$6=0,VLOOKUP(AB190,TradeSum!$DM$13:$DQ$252,2),VLOOKUP(AB190,TradeSum!$DU$13:$DY$252,2))</f>
        <v>21</v>
      </c>
      <c r="AF190" s="274">
        <f>[4]EnergyCurve!$G212</f>
        <v>39.187583897328459</v>
      </c>
      <c r="AG190" s="274">
        <f>[4]EnergyCurve!$Y212</f>
        <v>37.228204702462037</v>
      </c>
      <c r="AH190" s="274">
        <f>[4]EnergyCurve!$AD212</f>
        <v>25.471929533263499</v>
      </c>
      <c r="AI190" s="274">
        <f>[4]EnergyCurve!$L212</f>
        <v>25.471929533263499</v>
      </c>
      <c r="AJ190">
        <f t="shared" si="26"/>
        <v>38.874083226149835</v>
      </c>
      <c r="AK190">
        <f t="shared" si="27"/>
        <v>32.917570473755909</v>
      </c>
      <c r="AM190">
        <f>IF(NymexData!AC190="",VLOOKUP('Pricing Summary'!AB190,NymexData!$S$12:$U$250,3),VLOOKUP(NymexData!AA190,NymexData!$AA$12:$AC$250,3))</f>
        <v>0.17</v>
      </c>
      <c r="AO190" s="370">
        <f>AD190*24*VLOOKUP(AB190,Interest!$X$8:$AC$367,6)</f>
        <v>291.08915369194642</v>
      </c>
    </row>
    <row r="191" spans="28:41" x14ac:dyDescent="0.2">
      <c r="AB191" s="266">
        <f>[4]EnergyCurve!$D213</f>
        <v>42644</v>
      </c>
      <c r="AC191" s="30">
        <f>IF(TradeSum!$L$6=0,VLOOKUP(AB191,TradeSum!$DM$13:$DQ$252,2)+VLOOKUP(AB191,TradeSum!$DU$13:$DY$252,3),VLOOKUP(AB191,TradeSum!$DU$13:$DY$252,2)+VLOOKUP(AB191,TradeSum!$DU$13:$DY$252,3))</f>
        <v>26</v>
      </c>
      <c r="AD191" s="30">
        <f>VLOOKUP(AB191,TradeSum!$DM$13:$DR$252,6)</f>
        <v>31</v>
      </c>
      <c r="AE191" s="30">
        <f>IF(TradeSum!$L$6=0,VLOOKUP(AB191,TradeSum!$DM$13:$DQ$252,2),VLOOKUP(AB191,TradeSum!$DU$13:$DY$252,2))</f>
        <v>21</v>
      </c>
      <c r="AF191" s="274">
        <f>[4]EnergyCurve!$G213</f>
        <v>39.211522995165822</v>
      </c>
      <c r="AG191" s="274">
        <f>[4]EnergyCurve!$Y213</f>
        <v>37.250946845407526</v>
      </c>
      <c r="AH191" s="274">
        <f>[4]EnergyCurve!$AD213</f>
        <v>25.487489946857782</v>
      </c>
      <c r="AI191" s="274">
        <f>[4]EnergyCurve!$L213</f>
        <v>25.487489946857782</v>
      </c>
      <c r="AJ191">
        <f t="shared" si="26"/>
        <v>38.834489120212304</v>
      </c>
      <c r="AK191">
        <f t="shared" si="27"/>
        <v>32.950328194324825</v>
      </c>
      <c r="AM191">
        <f>IF(NymexData!AC191="",VLOOKUP('Pricing Summary'!AB191,NymexData!$S$12:$U$250,3),VLOOKUP(NymexData!AA191,NymexData!$AA$12:$AC$250,3))</f>
        <v>0.17</v>
      </c>
      <c r="AO191" s="370">
        <f>AD191*24*VLOOKUP(AB191,Interest!$X$8:$AC$367,6)</f>
        <v>298.92927037435101</v>
      </c>
    </row>
    <row r="192" spans="28:41" x14ac:dyDescent="0.2">
      <c r="AB192" s="266">
        <f>[4]EnergyCurve!$D214</f>
        <v>42675</v>
      </c>
      <c r="AC192" s="30">
        <f>IF(TradeSum!$L$6=0,VLOOKUP(AB192,TradeSum!$DM$13:$DQ$252,2)+VLOOKUP(AB192,TradeSum!$DU$13:$DY$252,3),VLOOKUP(AB192,TradeSum!$DU$13:$DY$252,2)+VLOOKUP(AB192,TradeSum!$DU$13:$DY$252,3))</f>
        <v>25</v>
      </c>
      <c r="AD192" s="30">
        <f>VLOOKUP(AB192,TradeSum!$DM$13:$DR$252,6)</f>
        <v>30</v>
      </c>
      <c r="AE192" s="30">
        <f>IF(TradeSum!$L$6=0,VLOOKUP(AB192,TradeSum!$DM$13:$DQ$252,2),VLOOKUP(AB192,TradeSum!$DU$13:$DY$252,2))</f>
        <v>21</v>
      </c>
      <c r="AF192" s="274">
        <f>[4]EnergyCurve!$G214</f>
        <v>41.488980318355829</v>
      </c>
      <c r="AG192" s="274">
        <f>[4]EnergyCurve!$Y214</f>
        <v>39.414531302438036</v>
      </c>
      <c r="AH192" s="274">
        <f>[4]EnergyCurve!$AD214</f>
        <v>26.967837206931289</v>
      </c>
      <c r="AI192" s="274">
        <f>[4]EnergyCurve!$L214</f>
        <v>26.967837206931289</v>
      </c>
      <c r="AJ192">
        <f t="shared" si="26"/>
        <v>41.157068475808984</v>
      </c>
      <c r="AK192">
        <f t="shared" si="27"/>
        <v>34.850743467418894</v>
      </c>
      <c r="AM192">
        <f>IF(NymexData!AC192="",VLOOKUP('Pricing Summary'!AB192,NymexData!$S$12:$U$250,3),VLOOKUP(NymexData!AA192,NymexData!$AA$12:$AC$250,3))</f>
        <v>0.17</v>
      </c>
      <c r="AO192" s="370">
        <f>AD192*24*VLOOKUP(AB192,Interest!$X$8:$AC$367,6)</f>
        <v>287.57712900012393</v>
      </c>
    </row>
    <row r="193" spans="28:41" x14ac:dyDescent="0.2">
      <c r="AB193" s="266">
        <f>[4]EnergyCurve!$D215</f>
        <v>42705</v>
      </c>
      <c r="AC193" s="30">
        <f>IF(TradeSum!$L$6=0,VLOOKUP(AB193,TradeSum!$DM$13:$DQ$252,2)+VLOOKUP(AB193,TradeSum!$DU$13:$DY$252,3),VLOOKUP(AB193,TradeSum!$DU$13:$DY$252,2)+VLOOKUP(AB193,TradeSum!$DU$13:$DY$252,3))</f>
        <v>26</v>
      </c>
      <c r="AD193" s="30">
        <f>VLOOKUP(AB193,TradeSum!$DM$13:$DR$252,6)</f>
        <v>31</v>
      </c>
      <c r="AE193" s="30">
        <f>IF(TradeSum!$L$6=0,VLOOKUP(AB193,TradeSum!$DM$13:$DQ$252,2),VLOOKUP(AB193,TradeSum!$DU$13:$DY$252,2))</f>
        <v>21</v>
      </c>
      <c r="AF193" s="274">
        <f>[4]EnergyCurve!$G215</f>
        <v>43.15428165929039</v>
      </c>
      <c r="AG193" s="274">
        <f>[4]EnergyCurve!$Y215</f>
        <v>40.996567576325866</v>
      </c>
      <c r="AH193" s="274">
        <f>[4]EnergyCurve!$AD215</f>
        <v>28.050283078538754</v>
      </c>
      <c r="AI193" s="274">
        <f>[4]EnergyCurve!$L215</f>
        <v>28.050283078538754</v>
      </c>
      <c r="AJ193">
        <f t="shared" si="26"/>
        <v>42.739336643335676</v>
      </c>
      <c r="AK193">
        <f t="shared" si="27"/>
        <v>36.26351732982306</v>
      </c>
      <c r="AM193">
        <f>IF(NymexData!AC193="",VLOOKUP('Pricing Summary'!AB193,NymexData!$S$12:$U$250,3),VLOOKUP(NymexData!AA193,NymexData!$AA$12:$AC$250,3))</f>
        <v>0.17</v>
      </c>
      <c r="AO193" s="370">
        <f>AD193*24*VLOOKUP(AB193,Interest!$X$8:$AC$367,6)</f>
        <v>295.50291859532649</v>
      </c>
    </row>
    <row r="194" spans="28:41" x14ac:dyDescent="0.2">
      <c r="AB194" s="266">
        <f>[4]EnergyCurve!$D216</f>
        <v>42736</v>
      </c>
      <c r="AC194" s="30">
        <f>IF(TradeSum!$L$6=0,VLOOKUP(AB194,TradeSum!$DM$13:$DQ$252,2)+VLOOKUP(AB194,TradeSum!$DU$13:$DY$252,3),VLOOKUP(AB194,TradeSum!$DU$13:$DY$252,2)+VLOOKUP(AB194,TradeSum!$DU$13:$DY$252,3))</f>
        <v>25</v>
      </c>
      <c r="AD194" s="30">
        <f>VLOOKUP(AB194,TradeSum!$DM$13:$DR$252,6)</f>
        <v>31</v>
      </c>
      <c r="AE194" s="30">
        <f>IF(TradeSum!$L$6=0,VLOOKUP(AB194,TradeSum!$DM$13:$DQ$252,2),VLOOKUP(AB194,TradeSum!$DU$13:$DY$252,2))</f>
        <v>21</v>
      </c>
      <c r="AF194" s="274">
        <f>[4]EnergyCurve!$G216</f>
        <v>42.770401225290733</v>
      </c>
      <c r="AG194" s="274">
        <f>[4]EnergyCurve!$Y216</f>
        <v>40.631881164026197</v>
      </c>
      <c r="AH194" s="274">
        <f>[4]EnergyCurve!$AD216</f>
        <v>27.800760796438979</v>
      </c>
      <c r="AI194" s="274">
        <f>[4]EnergyCurve!$L216</f>
        <v>27.800760796438979</v>
      </c>
      <c r="AJ194">
        <f t="shared" si="26"/>
        <v>42.428238015488404</v>
      </c>
      <c r="AK194">
        <f t="shared" si="27"/>
        <v>35.664995860444044</v>
      </c>
      <c r="AM194">
        <f>IF(NymexData!AC194="",VLOOKUP('Pricing Summary'!AB194,NymexData!$S$12:$U$250,3),VLOOKUP(NymexData!AA194,NymexData!$AA$12:$AC$250,3))</f>
        <v>0.17</v>
      </c>
      <c r="AO194" s="370">
        <f>AD194*24*VLOOKUP(AB194,Interest!$X$8:$AC$367,6)</f>
        <v>293.84619565068681</v>
      </c>
    </row>
    <row r="195" spans="28:41" x14ac:dyDescent="0.2">
      <c r="AB195" s="266">
        <f>[4]EnergyCurve!$D217</f>
        <v>42767</v>
      </c>
      <c r="AC195" s="30">
        <f>IF(TradeSum!$L$6=0,VLOOKUP(AB195,TradeSum!$DM$13:$DQ$252,2)+VLOOKUP(AB195,TradeSum!$DU$13:$DY$252,3),VLOOKUP(AB195,TradeSum!$DU$13:$DY$252,2)+VLOOKUP(AB195,TradeSum!$DU$13:$DY$252,3))</f>
        <v>24</v>
      </c>
      <c r="AD195" s="30">
        <f>VLOOKUP(AB195,TradeSum!$DM$13:$DR$252,6)</f>
        <v>28</v>
      </c>
      <c r="AE195" s="30">
        <f>IF(TradeSum!$L$6=0,VLOOKUP(AB195,TradeSum!$DM$13:$DQ$252,2),VLOOKUP(AB195,TradeSum!$DU$13:$DY$252,2))</f>
        <v>20</v>
      </c>
      <c r="AF195" s="274">
        <f>[4]EnergyCurve!$G217</f>
        <v>41.85018489859732</v>
      </c>
      <c r="AG195" s="274">
        <f>[4]EnergyCurve!$Y217</f>
        <v>39.757675653667455</v>
      </c>
      <c r="AH195" s="274">
        <f>[4]EnergyCurve!$AD217</f>
        <v>27.202620184088257</v>
      </c>
      <c r="AI195" s="274">
        <f>[4]EnergyCurve!$L217</f>
        <v>27.202620184088257</v>
      </c>
      <c r="AJ195">
        <f t="shared" si="26"/>
        <v>41.501433357775674</v>
      </c>
      <c r="AK195">
        <f t="shared" si="27"/>
        <v>35.373370569052497</v>
      </c>
      <c r="AM195">
        <f>IF(NymexData!AC195="",VLOOKUP('Pricing Summary'!AB195,NymexData!$S$12:$U$250,3),VLOOKUP(NymexData!AA195,NymexData!$AA$12:$AC$250,3))</f>
        <v>0.17</v>
      </c>
      <c r="AO195" s="370">
        <f>AD195*24*VLOOKUP(AB195,Interest!$X$8:$AC$367,6)</f>
        <v>264.05196621358044</v>
      </c>
    </row>
    <row r="196" spans="28:41" x14ac:dyDescent="0.2">
      <c r="AB196" s="266">
        <f>[4]EnergyCurve!$D218</f>
        <v>42795</v>
      </c>
      <c r="AC196" s="30">
        <f>IF(TradeSum!$L$6=0,VLOOKUP(AB196,TradeSum!$DM$13:$DQ$252,2)+VLOOKUP(AB196,TradeSum!$DU$13:$DY$252,3),VLOOKUP(AB196,TradeSum!$DU$13:$DY$252,2)+VLOOKUP(AB196,TradeSum!$DU$13:$DY$252,3))</f>
        <v>27</v>
      </c>
      <c r="AD196" s="30">
        <f>VLOOKUP(AB196,TradeSum!$DM$13:$DR$252,6)</f>
        <v>31</v>
      </c>
      <c r="AE196" s="30">
        <f>IF(TradeSum!$L$6=0,VLOOKUP(AB196,TradeSum!$DM$13:$DQ$252,2),VLOOKUP(AB196,TradeSum!$DU$13:$DY$252,2))</f>
        <v>23</v>
      </c>
      <c r="AF196" s="274">
        <f>[4]EnergyCurve!$G218</f>
        <v>40.380243342385469</v>
      </c>
      <c r="AG196" s="274">
        <f>[4]EnergyCurve!$Y218</f>
        <v>38.361231175266191</v>
      </c>
      <c r="AH196" s="274">
        <f>[4]EnergyCurve!$AD218</f>
        <v>26.247158172550556</v>
      </c>
      <c r="AI196" s="274">
        <f>[4]EnergyCurve!$L218</f>
        <v>26.247158172550556</v>
      </c>
      <c r="AJ196">
        <f t="shared" si="26"/>
        <v>40.081130428738163</v>
      </c>
      <c r="AK196">
        <f t="shared" si="27"/>
        <v>34.279787224530452</v>
      </c>
      <c r="AM196">
        <f>IF(NymexData!AC196="",VLOOKUP('Pricing Summary'!AB196,NymexData!$S$12:$U$250,3),VLOOKUP(NymexData!AA196,NymexData!$AA$12:$AC$250,3))</f>
        <v>0.17</v>
      </c>
      <c r="AO196" s="370">
        <f>AD196*24*VLOOKUP(AB196,Interest!$X$8:$AC$367,6)</f>
        <v>290.71454760760901</v>
      </c>
    </row>
    <row r="197" spans="28:41" x14ac:dyDescent="0.2">
      <c r="AB197" s="266">
        <f>[4]EnergyCurve!$D219</f>
        <v>42826</v>
      </c>
      <c r="AC197" s="30">
        <f>IF(TradeSum!$L$6=0,VLOOKUP(AB197,TradeSum!$DM$13:$DQ$252,2)+VLOOKUP(AB197,TradeSum!$DU$13:$DY$252,3),VLOOKUP(AB197,TradeSum!$DU$13:$DY$252,2)+VLOOKUP(AB197,TradeSum!$DU$13:$DY$252,3))</f>
        <v>25</v>
      </c>
      <c r="AD197" s="30">
        <f>VLOOKUP(AB197,TradeSum!$DM$13:$DR$252,6)</f>
        <v>30</v>
      </c>
      <c r="AE197" s="30">
        <f>IF(TradeSum!$L$6=0,VLOOKUP(AB197,TradeSum!$DM$13:$DQ$252,2),VLOOKUP(AB197,TradeSum!$DU$13:$DY$252,2))</f>
        <v>20</v>
      </c>
      <c r="AF197" s="274">
        <f>[4]EnergyCurve!$G219</f>
        <v>37.784555739076879</v>
      </c>
      <c r="AG197" s="274">
        <f>[4]EnergyCurve!$Y219</f>
        <v>35.895327952123033</v>
      </c>
      <c r="AH197" s="274">
        <f>[4]EnergyCurve!$AD219</f>
        <v>24.559961230399974</v>
      </c>
      <c r="AI197" s="274">
        <f>[4]EnergyCurve!$L219</f>
        <v>24.559961230399974</v>
      </c>
      <c r="AJ197">
        <f t="shared" si="26"/>
        <v>37.406710181686115</v>
      </c>
      <c r="AK197">
        <f t="shared" si="27"/>
        <v>31.697043981114501</v>
      </c>
      <c r="AM197">
        <f>IF(NymexData!AC197="",VLOOKUP('Pricing Summary'!AB197,NymexData!$S$12:$U$250,3),VLOOKUP(NymexData!AA197,NymexData!$AA$12:$AC$250,3))</f>
        <v>0.17</v>
      </c>
      <c r="AO197" s="370">
        <f>AD197*24*VLOOKUP(AB197,Interest!$X$8:$AC$367,6)</f>
        <v>279.80179366194636</v>
      </c>
    </row>
    <row r="198" spans="28:41" x14ac:dyDescent="0.2">
      <c r="AB198" s="266">
        <f>[4]EnergyCurve!$D220</f>
        <v>42856</v>
      </c>
      <c r="AC198" s="30">
        <f>IF(TradeSum!$L$6=0,VLOOKUP(AB198,TradeSum!$DM$13:$DQ$252,2)+VLOOKUP(AB198,TradeSum!$DU$13:$DY$252,3),VLOOKUP(AB198,TradeSum!$DU$13:$DY$252,2)+VLOOKUP(AB198,TradeSum!$DU$13:$DY$252,3))</f>
        <v>26</v>
      </c>
      <c r="AD198" s="30">
        <f>VLOOKUP(AB198,TradeSum!$DM$13:$DR$252,6)</f>
        <v>31</v>
      </c>
      <c r="AE198" s="30">
        <f>IF(TradeSum!$L$6=0,VLOOKUP(AB198,TradeSum!$DM$13:$DQ$252,2),VLOOKUP(AB198,TradeSum!$DU$13:$DY$252,2))</f>
        <v>22</v>
      </c>
      <c r="AF198" s="274">
        <f>[4]EnergyCurve!$G220</f>
        <v>37.859236202723203</v>
      </c>
      <c r="AG198" s="274">
        <f>[4]EnergyCurve!$Y220</f>
        <v>35.966274392587039</v>
      </c>
      <c r="AH198" s="274">
        <f>[4]EnergyCurve!$AD220</f>
        <v>24.608503531770083</v>
      </c>
      <c r="AI198" s="274">
        <f>[4]EnergyCurve!$L220</f>
        <v>24.608503531770083</v>
      </c>
      <c r="AJ198">
        <f t="shared" si="26"/>
        <v>37.5680113088561</v>
      </c>
      <c r="AK198">
        <f t="shared" si="27"/>
        <v>31.854679923259038</v>
      </c>
      <c r="AM198">
        <f>IF(NymexData!AC198="",VLOOKUP('Pricing Summary'!AB198,NymexData!$S$12:$U$250,3),VLOOKUP(NymexData!AA198,NymexData!$AA$12:$AC$250,3))</f>
        <v>0.17</v>
      </c>
      <c r="AO198" s="370">
        <f>AD198*24*VLOOKUP(AB198,Interest!$X$8:$AC$367,6)</f>
        <v>287.5061742413917</v>
      </c>
    </row>
    <row r="199" spans="28:41" x14ac:dyDescent="0.2">
      <c r="AB199" s="266">
        <f>[4]EnergyCurve!$D221</f>
        <v>42887</v>
      </c>
      <c r="AC199" s="30">
        <f>IF(TradeSum!$L$6=0,VLOOKUP(AB199,TradeSum!$DM$13:$DQ$252,2)+VLOOKUP(AB199,TradeSum!$DU$13:$DY$252,3),VLOOKUP(AB199,TradeSum!$DU$13:$DY$252,2)+VLOOKUP(AB199,TradeSum!$DU$13:$DY$252,3))</f>
        <v>26</v>
      </c>
      <c r="AD199" s="30">
        <f>VLOOKUP(AB199,TradeSum!$DM$13:$DR$252,6)</f>
        <v>30</v>
      </c>
      <c r="AE199" s="30">
        <f>IF(TradeSum!$L$6=0,VLOOKUP(AB199,TradeSum!$DM$13:$DQ$252,2),VLOOKUP(AB199,TradeSum!$DU$13:$DY$252,2))</f>
        <v>22</v>
      </c>
      <c r="AF199" s="274">
        <f>[4]EnergyCurve!$G221</f>
        <v>38.289655860869594</v>
      </c>
      <c r="AG199" s="274">
        <f>[4]EnergyCurve!$Y221</f>
        <v>36.375173067826111</v>
      </c>
      <c r="AH199" s="274">
        <f>[4]EnergyCurve!$AD221</f>
        <v>24.888276309565239</v>
      </c>
      <c r="AI199" s="274">
        <f>[4]EnergyCurve!$L221</f>
        <v>24.888276309565239</v>
      </c>
      <c r="AJ199">
        <f t="shared" si="26"/>
        <v>37.995120046555215</v>
      </c>
      <c r="AK199">
        <f t="shared" si="27"/>
        <v>32.461119357603891</v>
      </c>
      <c r="AM199">
        <f>IF(NymexData!AC199="",VLOOKUP('Pricing Summary'!AB199,NymexData!$S$12:$U$250,3),VLOOKUP(NymexData!AA199,NymexData!$AA$12:$AC$250,3))</f>
        <v>0.17</v>
      </c>
      <c r="AO199" s="370">
        <f>AD199*24*VLOOKUP(AB199,Interest!$X$8:$AC$367,6)</f>
        <v>276.71108866390631</v>
      </c>
    </row>
    <row r="200" spans="28:41" x14ac:dyDescent="0.2">
      <c r="AB200" s="266">
        <f>[4]EnergyCurve!$D222</f>
        <v>42917</v>
      </c>
      <c r="AC200" s="30">
        <f>IF(TradeSum!$L$6=0,VLOOKUP(AB200,TradeSum!$DM$13:$DQ$252,2)+VLOOKUP(AB200,TradeSum!$DU$13:$DY$252,3),VLOOKUP(AB200,TradeSum!$DU$13:$DY$252,2)+VLOOKUP(AB200,TradeSum!$DU$13:$DY$252,3))</f>
        <v>25</v>
      </c>
      <c r="AD200" s="30">
        <f>VLOOKUP(AB200,TradeSum!$DM$13:$DR$252,6)</f>
        <v>31</v>
      </c>
      <c r="AE200" s="30">
        <f>IF(TradeSum!$L$6=0,VLOOKUP(AB200,TradeSum!$DM$13:$DQ$252,2),VLOOKUP(AB200,TradeSum!$DU$13:$DY$252,2))</f>
        <v>20</v>
      </c>
      <c r="AF200" s="274">
        <f>[4]EnergyCurve!$G222</f>
        <v>38.795509285891349</v>
      </c>
      <c r="AG200" s="274">
        <f>[4]EnergyCurve!$Y222</f>
        <v>36.855733821596779</v>
      </c>
      <c r="AH200" s="274">
        <f>[4]EnergyCurve!$AD222</f>
        <v>25.217081035829377</v>
      </c>
      <c r="AI200" s="274">
        <f>[4]EnergyCurve!$L222</f>
        <v>25.217081035829377</v>
      </c>
      <c r="AJ200">
        <f t="shared" si="26"/>
        <v>38.407554193032432</v>
      </c>
      <c r="AK200">
        <f t="shared" si="27"/>
        <v>32.308733270884787</v>
      </c>
      <c r="AM200">
        <f>IF(NymexData!AC200="",VLOOKUP('Pricing Summary'!AB200,NymexData!$S$12:$U$250,3),VLOOKUP(NymexData!AA200,NymexData!$AA$12:$AC$250,3))</f>
        <v>0.17</v>
      </c>
      <c r="AO200" s="370">
        <f>AD200*24*VLOOKUP(AB200,Interest!$X$8:$AC$367,6)</f>
        <v>284.32752347116269</v>
      </c>
    </row>
    <row r="201" spans="28:41" x14ac:dyDescent="0.2">
      <c r="AB201" s="266">
        <f>[4]EnergyCurve!$D223</f>
        <v>42948</v>
      </c>
      <c r="AC201" s="30">
        <f>IF(TradeSum!$L$6=0,VLOOKUP(AB201,TradeSum!$DM$13:$DQ$252,2)+VLOOKUP(AB201,TradeSum!$DU$13:$DY$252,3),VLOOKUP(AB201,TradeSum!$DU$13:$DY$252,2)+VLOOKUP(AB201,TradeSum!$DU$13:$DY$252,3))</f>
        <v>27</v>
      </c>
      <c r="AD201" s="30">
        <f>VLOOKUP(AB201,TradeSum!$DM$13:$DR$252,6)</f>
        <v>31</v>
      </c>
      <c r="AE201" s="30">
        <f>IF(TradeSum!$L$6=0,VLOOKUP(AB201,TradeSum!$DM$13:$DQ$252,2),VLOOKUP(AB201,TradeSum!$DU$13:$DY$252,2))</f>
        <v>23</v>
      </c>
      <c r="AF201" s="274">
        <f>[4]EnergyCurve!$G223</f>
        <v>39.227844575025038</v>
      </c>
      <c r="AG201" s="274">
        <f>[4]EnergyCurve!$Y223</f>
        <v>37.266452346273788</v>
      </c>
      <c r="AH201" s="274">
        <f>[4]EnergyCurve!$AD223</f>
        <v>25.498098973766275</v>
      </c>
      <c r="AI201" s="274">
        <f>[4]EnergyCurve!$L223</f>
        <v>25.498098973766275</v>
      </c>
      <c r="AJ201">
        <f t="shared" si="26"/>
        <v>38.937267948543372</v>
      </c>
      <c r="AK201">
        <f t="shared" si="27"/>
        <v>33.301487410733621</v>
      </c>
      <c r="AM201">
        <f>IF(NymexData!AC201="",VLOOKUP('Pricing Summary'!AB201,NymexData!$S$12:$U$250,3),VLOOKUP(NymexData!AA201,NymexData!$AA$12:$AC$250,3))</f>
        <v>0.17</v>
      </c>
      <c r="AO201" s="370">
        <f>AD201*24*VLOOKUP(AB201,Interest!$X$8:$AC$367,6)</f>
        <v>282.72346945024253</v>
      </c>
    </row>
    <row r="202" spans="28:41" x14ac:dyDescent="0.2">
      <c r="AB202" s="266">
        <f>[4]EnergyCurve!$D224</f>
        <v>42979</v>
      </c>
      <c r="AC202" s="30">
        <f>IF(TradeSum!$L$6=0,VLOOKUP(AB202,TradeSum!$DM$13:$DQ$252,2)+VLOOKUP(AB202,TradeSum!$DU$13:$DY$252,3),VLOOKUP(AB202,TradeSum!$DU$13:$DY$252,2)+VLOOKUP(AB202,TradeSum!$DU$13:$DY$252,3))</f>
        <v>25</v>
      </c>
      <c r="AD202" s="30">
        <f>VLOOKUP(AB202,TradeSum!$DM$13:$DR$252,6)</f>
        <v>30</v>
      </c>
      <c r="AE202" s="30">
        <f>IF(TradeSum!$L$6=0,VLOOKUP(AB202,TradeSum!$DM$13:$DQ$252,2),VLOOKUP(AB202,TradeSum!$DU$13:$DY$252,2))</f>
        <v>20</v>
      </c>
      <c r="AF202" s="274">
        <f>[4]EnergyCurve!$G224</f>
        <v>39.187583897328459</v>
      </c>
      <c r="AG202" s="274">
        <f>[4]EnergyCurve!$Y224</f>
        <v>37.228204702462037</v>
      </c>
      <c r="AH202" s="274">
        <f>[4]EnergyCurve!$AD224</f>
        <v>25.471929533263499</v>
      </c>
      <c r="AI202" s="274">
        <f>[4]EnergyCurve!$L224</f>
        <v>25.471929533263499</v>
      </c>
      <c r="AJ202">
        <f t="shared" si="26"/>
        <v>38.795708058355174</v>
      </c>
      <c r="AK202">
        <f t="shared" si="27"/>
        <v>32.874028713869983</v>
      </c>
      <c r="AM202">
        <f>IF(NymexData!AC202="",VLOOKUP('Pricing Summary'!AB202,NymexData!$S$12:$U$250,3),VLOOKUP(NymexData!AA202,NymexData!$AA$12:$AC$250,3))</f>
        <v>0.17</v>
      </c>
      <c r="AO202" s="370">
        <f>AD202*24*VLOOKUP(AB202,Interest!$X$8:$AC$367,6)</f>
        <v>272.10385876742077</v>
      </c>
    </row>
    <row r="203" spans="28:41" x14ac:dyDescent="0.2">
      <c r="AB203" s="266">
        <f>[4]EnergyCurve!$D225</f>
        <v>43009</v>
      </c>
      <c r="AC203" s="30">
        <f>IF(TradeSum!$L$6=0,VLOOKUP(AB203,TradeSum!$DM$13:$DQ$252,2)+VLOOKUP(AB203,TradeSum!$DU$13:$DY$252,3),VLOOKUP(AB203,TradeSum!$DU$13:$DY$252,2)+VLOOKUP(AB203,TradeSum!$DU$13:$DY$252,3))</f>
        <v>26</v>
      </c>
      <c r="AD203" s="30">
        <f>VLOOKUP(AB203,TradeSum!$DM$13:$DR$252,6)</f>
        <v>31</v>
      </c>
      <c r="AE203" s="30">
        <f>IF(TradeSum!$L$6=0,VLOOKUP(AB203,TradeSum!$DM$13:$DQ$252,2),VLOOKUP(AB203,TradeSum!$DU$13:$DY$252,2))</f>
        <v>22</v>
      </c>
      <c r="AF203" s="274">
        <f>[4]EnergyCurve!$G225</f>
        <v>39.211522995165822</v>
      </c>
      <c r="AG203" s="274">
        <f>[4]EnergyCurve!$Y225</f>
        <v>37.250946845407526</v>
      </c>
      <c r="AH203" s="274">
        <f>[4]EnergyCurve!$AD225</f>
        <v>25.487489946857782</v>
      </c>
      <c r="AI203" s="274">
        <f>[4]EnergyCurve!$L225</f>
        <v>25.487489946857782</v>
      </c>
      <c r="AJ203">
        <f t="shared" si="26"/>
        <v>38.909895895203007</v>
      </c>
      <c r="AK203">
        <f t="shared" si="27"/>
        <v>32.992491122276618</v>
      </c>
      <c r="AM203">
        <f>IF(NymexData!AC203="",VLOOKUP('Pricing Summary'!AB203,NymexData!$S$12:$U$250,3),VLOOKUP(NymexData!AA203,NymexData!$AA$12:$AC$250,3))</f>
        <v>0.17</v>
      </c>
      <c r="AO203" s="370">
        <f>AD203*24*VLOOKUP(AB203,Interest!$X$8:$AC$367,6)</f>
        <v>279.58926439455405</v>
      </c>
    </row>
    <row r="204" spans="28:41" x14ac:dyDescent="0.2">
      <c r="AB204" s="266">
        <f>[4]EnergyCurve!$D226</f>
        <v>43040</v>
      </c>
      <c r="AC204" s="30">
        <f>IF(TradeSum!$L$6=0,VLOOKUP(AB204,TradeSum!$DM$13:$DQ$252,2)+VLOOKUP(AB204,TradeSum!$DU$13:$DY$252,3),VLOOKUP(AB204,TradeSum!$DU$13:$DY$252,2)+VLOOKUP(AB204,TradeSum!$DU$13:$DY$252,3))</f>
        <v>25</v>
      </c>
      <c r="AD204" s="30">
        <f>VLOOKUP(AB204,TradeSum!$DM$13:$DR$252,6)</f>
        <v>30</v>
      </c>
      <c r="AE204" s="30">
        <f>IF(TradeSum!$L$6=0,VLOOKUP(AB204,TradeSum!$DM$13:$DQ$252,2),VLOOKUP(AB204,TradeSum!$DU$13:$DY$252,2))</f>
        <v>21</v>
      </c>
      <c r="AF204" s="274">
        <f>[4]EnergyCurve!$G226</f>
        <v>41.488980318355829</v>
      </c>
      <c r="AG204" s="274">
        <f>[4]EnergyCurve!$Y226</f>
        <v>39.414531302438036</v>
      </c>
      <c r="AH204" s="274">
        <f>[4]EnergyCurve!$AD226</f>
        <v>26.967837206931289</v>
      </c>
      <c r="AI204" s="274">
        <f>[4]EnergyCurve!$L226</f>
        <v>26.967837206931289</v>
      </c>
      <c r="AJ204">
        <f t="shared" si="26"/>
        <v>41.157068475808984</v>
      </c>
      <c r="AK204">
        <f t="shared" si="27"/>
        <v>34.850743467418894</v>
      </c>
      <c r="AM204">
        <f>IF(NymexData!AC204="",VLOOKUP('Pricing Summary'!AB204,NymexData!$S$12:$U$250,3),VLOOKUP(NymexData!AA204,NymexData!$AA$12:$AC$250,3))</f>
        <v>0.17</v>
      </c>
      <c r="AO204" s="370">
        <f>AD204*24*VLOOKUP(AB204,Interest!$X$8:$AC$367,6)</f>
        <v>269.08469016878985</v>
      </c>
    </row>
    <row r="205" spans="28:41" x14ac:dyDescent="0.2">
      <c r="AB205" s="266">
        <f>[4]EnergyCurve!$D227</f>
        <v>43070</v>
      </c>
      <c r="AC205" s="30">
        <f>IF(TradeSum!$L$6=0,VLOOKUP(AB205,TradeSum!$DM$13:$DQ$252,2)+VLOOKUP(AB205,TradeSum!$DU$13:$DY$252,3),VLOOKUP(AB205,TradeSum!$DU$13:$DY$252,2)+VLOOKUP(AB205,TradeSum!$DU$13:$DY$252,3))</f>
        <v>25</v>
      </c>
      <c r="AD205" s="30">
        <f>VLOOKUP(AB205,TradeSum!$DM$13:$DR$252,6)</f>
        <v>31</v>
      </c>
      <c r="AE205" s="30">
        <f>IF(TradeSum!$L$6=0,VLOOKUP(AB205,TradeSum!$DM$13:$DQ$252,2),VLOOKUP(AB205,TradeSum!$DU$13:$DY$252,2))</f>
        <v>20</v>
      </c>
      <c r="AF205" s="274">
        <f>[4]EnergyCurve!$G227</f>
        <v>43.15428165929039</v>
      </c>
      <c r="AG205" s="274">
        <f>[4]EnergyCurve!$Y227</f>
        <v>40.996567576325866</v>
      </c>
      <c r="AH205" s="274">
        <f>[4]EnergyCurve!$AD227</f>
        <v>28.050283078538754</v>
      </c>
      <c r="AI205" s="274">
        <f>[4]EnergyCurve!$L227</f>
        <v>28.050283078538754</v>
      </c>
      <c r="AJ205">
        <f t="shared" ref="AJ205:AJ250" si="28">(AE205*AF205+(AC205-AE205)*AG205)/AC205</f>
        <v>42.722738842697488</v>
      </c>
      <c r="AK205">
        <f t="shared" ref="AK205:AK250" si="29">(AC205*16*AJ205+(AD205-AC205)*16*AH205+AD205*8*AI205)/(AD205*24)</f>
        <v>35.938700156043453</v>
      </c>
      <c r="AM205">
        <f>IF(NymexData!AC205="",VLOOKUP('Pricing Summary'!AB205,NymexData!$S$12:$U$250,3),VLOOKUP(NymexData!AA205,NymexData!$AA$12:$AC$250,3))</f>
        <v>0.17</v>
      </c>
      <c r="AO205" s="370">
        <f>AD205*24*VLOOKUP(AB205,Interest!$X$8:$AC$367,6)</f>
        <v>276.4842763114666</v>
      </c>
    </row>
    <row r="206" spans="28:41" x14ac:dyDescent="0.2">
      <c r="AB206" s="266">
        <f>[4]EnergyCurve!$D228</f>
        <v>43101</v>
      </c>
      <c r="AC206" s="30">
        <f>IF(TradeSum!$L$6=0,VLOOKUP(AB206,TradeSum!$DM$13:$DQ$252,2)+VLOOKUP(AB206,TradeSum!$DU$13:$DY$252,3),VLOOKUP(AB206,TradeSum!$DU$13:$DY$252,2)+VLOOKUP(AB206,TradeSum!$DU$13:$DY$252,3))</f>
        <v>26</v>
      </c>
      <c r="AD206" s="30">
        <f>VLOOKUP(AB206,TradeSum!$DM$13:$DR$252,6)</f>
        <v>31</v>
      </c>
      <c r="AE206" s="30">
        <f>IF(TradeSum!$L$6=0,VLOOKUP(AB206,TradeSum!$DM$13:$DQ$252,2),VLOOKUP(AB206,TradeSum!$DU$13:$DY$252,2))</f>
        <v>22</v>
      </c>
      <c r="AF206" s="274">
        <f>[4]EnergyCurve!$G228</f>
        <v>42.770401225290733</v>
      </c>
      <c r="AG206" s="274">
        <f>[4]EnergyCurve!$Y228</f>
        <v>40.631881164026197</v>
      </c>
      <c r="AH206" s="274">
        <f>[4]EnergyCurve!$AD228</f>
        <v>27.800760796438979</v>
      </c>
      <c r="AI206" s="274">
        <f>[4]EnergyCurve!$L228</f>
        <v>27.800760796438979</v>
      </c>
      <c r="AJ206">
        <f t="shared" si="28"/>
        <v>42.44139813894234</v>
      </c>
      <c r="AK206">
        <f t="shared" si="29"/>
        <v>35.986923611602144</v>
      </c>
      <c r="AM206">
        <f>IF(NymexData!AC206="",VLOOKUP('Pricing Summary'!AB206,NymexData!$S$12:$U$250,3),VLOOKUP(NymexData!AA206,NymexData!$AA$12:$AC$250,3))</f>
        <v>0.17</v>
      </c>
      <c r="AO206" s="370">
        <f>AD206*24*VLOOKUP(AB206,Interest!$X$8:$AC$367,6)</f>
        <v>274.9174640358201</v>
      </c>
    </row>
    <row r="207" spans="28:41" x14ac:dyDescent="0.2">
      <c r="AB207" s="266">
        <f>[4]EnergyCurve!$D229</f>
        <v>43132</v>
      </c>
      <c r="AC207" s="30">
        <f>IF(TradeSum!$L$6=0,VLOOKUP(AB207,TradeSum!$DM$13:$DQ$252,2)+VLOOKUP(AB207,TradeSum!$DU$13:$DY$252,3),VLOOKUP(AB207,TradeSum!$DU$13:$DY$252,2)+VLOOKUP(AB207,TradeSum!$DU$13:$DY$252,3))</f>
        <v>24</v>
      </c>
      <c r="AD207" s="30">
        <f>VLOOKUP(AB207,TradeSum!$DM$13:$DR$252,6)</f>
        <v>28</v>
      </c>
      <c r="AE207" s="30">
        <f>IF(TradeSum!$L$6=0,VLOOKUP(AB207,TradeSum!$DM$13:$DQ$252,2),VLOOKUP(AB207,TradeSum!$DU$13:$DY$252,2))</f>
        <v>20</v>
      </c>
      <c r="AF207" s="274">
        <f>[4]EnergyCurve!$G229</f>
        <v>41.85018489859732</v>
      </c>
      <c r="AG207" s="274">
        <f>[4]EnergyCurve!$Y229</f>
        <v>39.757675653667455</v>
      </c>
      <c r="AH207" s="274">
        <f>[4]EnergyCurve!$AD229</f>
        <v>27.202620184088257</v>
      </c>
      <c r="AI207" s="274">
        <f>[4]EnergyCurve!$L229</f>
        <v>27.202620184088257</v>
      </c>
      <c r="AJ207">
        <f t="shared" si="28"/>
        <v>41.501433357775674</v>
      </c>
      <c r="AK207">
        <f t="shared" si="29"/>
        <v>35.373370569052497</v>
      </c>
      <c r="AM207">
        <f>IF(NymexData!AC207="",VLOOKUP('Pricing Summary'!AB207,NymexData!$S$12:$U$250,3),VLOOKUP(NymexData!AA207,NymexData!$AA$12:$AC$250,3))</f>
        <v>0.17</v>
      </c>
      <c r="AO207" s="370">
        <f>AD207*24*VLOOKUP(AB207,Interest!$X$8:$AC$367,6)</f>
        <v>247.02820121341381</v>
      </c>
    </row>
    <row r="208" spans="28:41" x14ac:dyDescent="0.2">
      <c r="AB208" s="266">
        <f>[4]EnergyCurve!$D230</f>
        <v>43160</v>
      </c>
      <c r="AC208" s="30">
        <f>IF(TradeSum!$L$6=0,VLOOKUP(AB208,TradeSum!$DM$13:$DQ$252,2)+VLOOKUP(AB208,TradeSum!$DU$13:$DY$252,3),VLOOKUP(AB208,TradeSum!$DU$13:$DY$252,2)+VLOOKUP(AB208,TradeSum!$DU$13:$DY$252,3))</f>
        <v>27</v>
      </c>
      <c r="AD208" s="30">
        <f>VLOOKUP(AB208,TradeSum!$DM$13:$DR$252,6)</f>
        <v>31</v>
      </c>
      <c r="AE208" s="30">
        <f>IF(TradeSum!$L$6=0,VLOOKUP(AB208,TradeSum!$DM$13:$DQ$252,2),VLOOKUP(AB208,TradeSum!$DU$13:$DY$252,2))</f>
        <v>22</v>
      </c>
      <c r="AF208" s="274">
        <f>[4]EnergyCurve!$G230</f>
        <v>40.380243342385469</v>
      </c>
      <c r="AG208" s="274">
        <f>[4]EnergyCurve!$Y230</f>
        <v>38.361231175266191</v>
      </c>
      <c r="AH208" s="274">
        <f>[4]EnergyCurve!$AD230</f>
        <v>26.247158172550556</v>
      </c>
      <c r="AI208" s="274">
        <f>[4]EnergyCurve!$L230</f>
        <v>26.247158172550556</v>
      </c>
      <c r="AJ208">
        <f t="shared" si="28"/>
        <v>40.006352200326347</v>
      </c>
      <c r="AK208">
        <f t="shared" si="29"/>
        <v>34.23636760803327</v>
      </c>
      <c r="AM208">
        <f>IF(NymexData!AC208="",VLOOKUP('Pricing Summary'!AB208,NymexData!$S$12:$U$250,3),VLOOKUP(NymexData!AA208,NymexData!$AA$12:$AC$250,3))</f>
        <v>0.17</v>
      </c>
      <c r="AO208" s="370">
        <f>AD208*24*VLOOKUP(AB208,Interest!$X$8:$AC$367,6)</f>
        <v>271.95607553841415</v>
      </c>
    </row>
    <row r="209" spans="28:41" x14ac:dyDescent="0.2">
      <c r="AB209" s="266">
        <f>[4]EnergyCurve!$D231</f>
        <v>43191</v>
      </c>
      <c r="AC209" s="30">
        <f>IF(TradeSum!$L$6=0,VLOOKUP(AB209,TradeSum!$DM$13:$DQ$252,2)+VLOOKUP(AB209,TradeSum!$DU$13:$DY$252,3),VLOOKUP(AB209,TradeSum!$DU$13:$DY$252,2)+VLOOKUP(AB209,TradeSum!$DU$13:$DY$252,3))</f>
        <v>25</v>
      </c>
      <c r="AD209" s="30">
        <f>VLOOKUP(AB209,TradeSum!$DM$13:$DR$252,6)</f>
        <v>30</v>
      </c>
      <c r="AE209" s="30">
        <f>IF(TradeSum!$L$6=0,VLOOKUP(AB209,TradeSum!$DM$13:$DQ$252,2),VLOOKUP(AB209,TradeSum!$DU$13:$DY$252,2))</f>
        <v>21</v>
      </c>
      <c r="AF209" s="274">
        <f>[4]EnergyCurve!$G231</f>
        <v>37.784555739076879</v>
      </c>
      <c r="AG209" s="274">
        <f>[4]EnergyCurve!$Y231</f>
        <v>35.895327952123033</v>
      </c>
      <c r="AH209" s="274">
        <f>[4]EnergyCurve!$AD231</f>
        <v>24.559961230399974</v>
      </c>
      <c r="AI209" s="274">
        <f>[4]EnergyCurve!$L231</f>
        <v>24.559961230399974</v>
      </c>
      <c r="AJ209">
        <f t="shared" si="28"/>
        <v>37.482279293164268</v>
      </c>
      <c r="AK209">
        <f t="shared" si="29"/>
        <v>31.739026820824584</v>
      </c>
      <c r="AM209">
        <f>IF(NymexData!AC209="",VLOOKUP('Pricing Summary'!AB209,NymexData!$S$12:$U$250,3),VLOOKUP(NymexData!AA209,NymexData!$AA$12:$AC$250,3))</f>
        <v>0.17</v>
      </c>
      <c r="AO209" s="370">
        <f>AD209*24*VLOOKUP(AB209,Interest!$X$8:$AC$367,6)</f>
        <v>261.73181481138539</v>
      </c>
    </row>
    <row r="210" spans="28:41" x14ac:dyDescent="0.2">
      <c r="AB210" s="266">
        <f>[4]EnergyCurve!$D232</f>
        <v>43221</v>
      </c>
      <c r="AC210" s="30">
        <f>IF(TradeSum!$L$6=0,VLOOKUP(AB210,TradeSum!$DM$13:$DQ$252,2)+VLOOKUP(AB210,TradeSum!$DU$13:$DY$252,3),VLOOKUP(AB210,TradeSum!$DU$13:$DY$252,2)+VLOOKUP(AB210,TradeSum!$DU$13:$DY$252,3))</f>
        <v>26</v>
      </c>
      <c r="AD210" s="30">
        <f>VLOOKUP(AB210,TradeSum!$DM$13:$DR$252,6)</f>
        <v>31</v>
      </c>
      <c r="AE210" s="30">
        <f>IF(TradeSum!$L$6=0,VLOOKUP(AB210,TradeSum!$DM$13:$DQ$252,2),VLOOKUP(AB210,TradeSum!$DU$13:$DY$252,2))</f>
        <v>22</v>
      </c>
      <c r="AF210" s="274">
        <f>[4]EnergyCurve!$G232</f>
        <v>37.859236202723203</v>
      </c>
      <c r="AG210" s="274">
        <f>[4]EnergyCurve!$Y232</f>
        <v>35.966274392587039</v>
      </c>
      <c r="AH210" s="274">
        <f>[4]EnergyCurve!$AD232</f>
        <v>24.608503531770083</v>
      </c>
      <c r="AI210" s="274">
        <f>[4]EnergyCurve!$L232</f>
        <v>24.608503531770083</v>
      </c>
      <c r="AJ210">
        <f t="shared" si="28"/>
        <v>37.5680113088561</v>
      </c>
      <c r="AK210">
        <f t="shared" si="29"/>
        <v>31.854679923259038</v>
      </c>
      <c r="AM210">
        <f>IF(NymexData!AC210="",VLOOKUP('Pricing Summary'!AB210,NymexData!$S$12:$U$250,3),VLOOKUP(NymexData!AA210,NymexData!$AA$12:$AC$250,3))</f>
        <v>0.17</v>
      </c>
      <c r="AO210" s="370">
        <f>AD210*24*VLOOKUP(AB210,Interest!$X$8:$AC$367,6)</f>
        <v>268.92254893534641</v>
      </c>
    </row>
    <row r="211" spans="28:41" x14ac:dyDescent="0.2">
      <c r="AB211" s="266">
        <f>[4]EnergyCurve!$D233</f>
        <v>43252</v>
      </c>
      <c r="AC211" s="30">
        <f>IF(TradeSum!$L$6=0,VLOOKUP(AB211,TradeSum!$DM$13:$DQ$252,2)+VLOOKUP(AB211,TradeSum!$DU$13:$DY$252,3),VLOOKUP(AB211,TradeSum!$DU$13:$DY$252,2)+VLOOKUP(AB211,TradeSum!$DU$13:$DY$252,3))</f>
        <v>26</v>
      </c>
      <c r="AD211" s="30">
        <f>VLOOKUP(AB211,TradeSum!$DM$13:$DR$252,6)</f>
        <v>30</v>
      </c>
      <c r="AE211" s="30">
        <f>IF(TradeSum!$L$6=0,VLOOKUP(AB211,TradeSum!$DM$13:$DQ$252,2),VLOOKUP(AB211,TradeSum!$DU$13:$DY$252,2))</f>
        <v>21</v>
      </c>
      <c r="AF211" s="274">
        <f>[4]EnergyCurve!$G233</f>
        <v>38.289655860869594</v>
      </c>
      <c r="AG211" s="274">
        <f>[4]EnergyCurve!$Y233</f>
        <v>36.375173067826111</v>
      </c>
      <c r="AH211" s="274">
        <f>[4]EnergyCurve!$AD233</f>
        <v>24.888276309565239</v>
      </c>
      <c r="AI211" s="274">
        <f>[4]EnergyCurve!$L233</f>
        <v>24.888276309565239</v>
      </c>
      <c r="AJ211">
        <f t="shared" si="28"/>
        <v>37.921486092976615</v>
      </c>
      <c r="AK211">
        <f t="shared" si="29"/>
        <v>32.418575295536257</v>
      </c>
      <c r="AM211">
        <f>IF(NymexData!AC211="",VLOOKUP('Pricing Summary'!AB211,NymexData!$S$12:$U$250,3),VLOOKUP(NymexData!AA211,NymexData!$AA$12:$AC$250,3))</f>
        <v>0.17</v>
      </c>
      <c r="AO211" s="370">
        <f>AD211*24*VLOOKUP(AB211,Interest!$X$8:$AC$367,6)</f>
        <v>258.80974755050084</v>
      </c>
    </row>
    <row r="212" spans="28:41" x14ac:dyDescent="0.2">
      <c r="AB212" s="266">
        <f>[4]EnergyCurve!$D234</f>
        <v>43282</v>
      </c>
      <c r="AC212" s="30">
        <f>IF(TradeSum!$L$6=0,VLOOKUP(AB212,TradeSum!$DM$13:$DQ$252,2)+VLOOKUP(AB212,TradeSum!$DU$13:$DY$252,3),VLOOKUP(AB212,TradeSum!$DU$13:$DY$252,2)+VLOOKUP(AB212,TradeSum!$DU$13:$DY$252,3))</f>
        <v>25</v>
      </c>
      <c r="AD212" s="30">
        <f>VLOOKUP(AB212,TradeSum!$DM$13:$DR$252,6)</f>
        <v>31</v>
      </c>
      <c r="AE212" s="30">
        <f>IF(TradeSum!$L$6=0,VLOOKUP(AB212,TradeSum!$DM$13:$DQ$252,2),VLOOKUP(AB212,TradeSum!$DU$13:$DY$252,2))</f>
        <v>21</v>
      </c>
      <c r="AF212" s="274">
        <f>[4]EnergyCurve!$G234</f>
        <v>38.795509285891349</v>
      </c>
      <c r="AG212" s="274">
        <f>[4]EnergyCurve!$Y234</f>
        <v>36.855733821596779</v>
      </c>
      <c r="AH212" s="274">
        <f>[4]EnergyCurve!$AD234</f>
        <v>25.217081035829377</v>
      </c>
      <c r="AI212" s="274">
        <f>[4]EnergyCurve!$L234</f>
        <v>25.217081035829377</v>
      </c>
      <c r="AJ212">
        <f t="shared" si="28"/>
        <v>38.48514521160422</v>
      </c>
      <c r="AK212">
        <f t="shared" si="29"/>
        <v>32.350448872267464</v>
      </c>
      <c r="AM212">
        <f>IF(NymexData!AC212="",VLOOKUP('Pricing Summary'!AB212,NymexData!$S$12:$U$250,3),VLOOKUP(NymexData!AA212,NymexData!$AA$12:$AC$250,3))</f>
        <v>0.17</v>
      </c>
      <c r="AO212" s="370">
        <f>AD212*24*VLOOKUP(AB212,Interest!$X$8:$AC$367,6)</f>
        <v>265.91754374639572</v>
      </c>
    </row>
    <row r="213" spans="28:41" x14ac:dyDescent="0.2">
      <c r="AB213" s="266">
        <f>[4]EnergyCurve!$D235</f>
        <v>43313</v>
      </c>
      <c r="AC213" s="30">
        <f>IF(TradeSum!$L$6=0,VLOOKUP(AB213,TradeSum!$DM$13:$DQ$252,2)+VLOOKUP(AB213,TradeSum!$DU$13:$DY$252,3),VLOOKUP(AB213,TradeSum!$DU$13:$DY$252,2)+VLOOKUP(AB213,TradeSum!$DU$13:$DY$252,3))</f>
        <v>27</v>
      </c>
      <c r="AD213" s="30">
        <f>VLOOKUP(AB213,TradeSum!$DM$13:$DR$252,6)</f>
        <v>31</v>
      </c>
      <c r="AE213" s="30">
        <f>IF(TradeSum!$L$6=0,VLOOKUP(AB213,TradeSum!$DM$13:$DQ$252,2),VLOOKUP(AB213,TradeSum!$DU$13:$DY$252,2))</f>
        <v>23</v>
      </c>
      <c r="AF213" s="274">
        <f>[4]EnergyCurve!$G235</f>
        <v>39.227844575025038</v>
      </c>
      <c r="AG213" s="274">
        <f>[4]EnergyCurve!$Y235</f>
        <v>37.266452346273788</v>
      </c>
      <c r="AH213" s="274">
        <f>[4]EnergyCurve!$AD235</f>
        <v>25.498098973766275</v>
      </c>
      <c r="AI213" s="274">
        <f>[4]EnergyCurve!$L235</f>
        <v>25.498098973766275</v>
      </c>
      <c r="AJ213">
        <f t="shared" si="28"/>
        <v>38.937267948543372</v>
      </c>
      <c r="AK213">
        <f t="shared" si="29"/>
        <v>33.301487410733621</v>
      </c>
      <c r="AM213">
        <f>IF(NymexData!AC213="",VLOOKUP('Pricing Summary'!AB213,NymexData!$S$12:$U$250,3),VLOOKUP(NymexData!AA213,NymexData!$AA$12:$AC$250,3))</f>
        <v>0.17</v>
      </c>
      <c r="AO213" s="370">
        <f>AD213*24*VLOOKUP(AB213,Interest!$X$8:$AC$367,6)</f>
        <v>264.4012764521072</v>
      </c>
    </row>
    <row r="214" spans="28:41" x14ac:dyDescent="0.2">
      <c r="AB214" s="266">
        <f>[4]EnergyCurve!$D236</f>
        <v>43344</v>
      </c>
      <c r="AC214" s="30">
        <f>IF(TradeSum!$L$6=0,VLOOKUP(AB214,TradeSum!$DM$13:$DQ$252,2)+VLOOKUP(AB214,TradeSum!$DU$13:$DY$252,3),VLOOKUP(AB214,TradeSum!$DU$13:$DY$252,2)+VLOOKUP(AB214,TradeSum!$DU$13:$DY$252,3))</f>
        <v>24</v>
      </c>
      <c r="AD214" s="30">
        <f>VLOOKUP(AB214,TradeSum!$DM$13:$DR$252,6)</f>
        <v>30</v>
      </c>
      <c r="AE214" s="30">
        <f>IF(TradeSum!$L$6=0,VLOOKUP(AB214,TradeSum!$DM$13:$DQ$252,2),VLOOKUP(AB214,TradeSum!$DU$13:$DY$252,2))</f>
        <v>19</v>
      </c>
      <c r="AF214" s="274">
        <f>[4]EnergyCurve!$G236</f>
        <v>39.187583897328459</v>
      </c>
      <c r="AG214" s="274">
        <f>[4]EnergyCurve!$Y236</f>
        <v>37.228204702462037</v>
      </c>
      <c r="AH214" s="274">
        <f>[4]EnergyCurve!$AD236</f>
        <v>25.471929533263499</v>
      </c>
      <c r="AI214" s="274">
        <f>[4]EnergyCurve!$L236</f>
        <v>25.471929533263499</v>
      </c>
      <c r="AJ214">
        <f t="shared" si="28"/>
        <v>38.779379898397956</v>
      </c>
      <c r="AK214">
        <f t="shared" si="29"/>
        <v>32.569236394668543</v>
      </c>
      <c r="AM214">
        <f>IF(NymexData!AC214="",VLOOKUP('Pricing Summary'!AB214,NymexData!$S$12:$U$250,3),VLOOKUP(NymexData!AA214,NymexData!$AA$12:$AC$250,3))</f>
        <v>0.17</v>
      </c>
      <c r="AO214" s="370">
        <f>AD214*24*VLOOKUP(AB214,Interest!$X$8:$AC$367,6)</f>
        <v>254.45466131128671</v>
      </c>
    </row>
    <row r="215" spans="28:41" x14ac:dyDescent="0.2">
      <c r="AB215" s="266">
        <f>[4]EnergyCurve!$D237</f>
        <v>43374</v>
      </c>
      <c r="AC215" s="30">
        <f>IF(TradeSum!$L$6=0,VLOOKUP(AB215,TradeSum!$DM$13:$DQ$252,2)+VLOOKUP(AB215,TradeSum!$DU$13:$DY$252,3),VLOOKUP(AB215,TradeSum!$DU$13:$DY$252,2)+VLOOKUP(AB215,TradeSum!$DU$13:$DY$252,3))</f>
        <v>27</v>
      </c>
      <c r="AD215" s="30">
        <f>VLOOKUP(AB215,TradeSum!$DM$13:$DR$252,6)</f>
        <v>31</v>
      </c>
      <c r="AE215" s="30">
        <f>IF(TradeSum!$L$6=0,VLOOKUP(AB215,TradeSum!$DM$13:$DQ$252,2),VLOOKUP(AB215,TradeSum!$DU$13:$DY$252,2))</f>
        <v>23</v>
      </c>
      <c r="AF215" s="274">
        <f>[4]EnergyCurve!$G237</f>
        <v>39.211522995165822</v>
      </c>
      <c r="AG215" s="274">
        <f>[4]EnergyCurve!$Y237</f>
        <v>37.250946845407526</v>
      </c>
      <c r="AH215" s="274">
        <f>[4]EnergyCurve!$AD237</f>
        <v>25.487489946857782</v>
      </c>
      <c r="AI215" s="274">
        <f>[4]EnergyCurve!$L237</f>
        <v>25.487489946857782</v>
      </c>
      <c r="AJ215">
        <f t="shared" si="28"/>
        <v>38.921067269275696</v>
      </c>
      <c r="AK215">
        <f t="shared" si="29"/>
        <v>33.287631617939155</v>
      </c>
      <c r="AM215">
        <f>IF(NymexData!AC215="",VLOOKUP('Pricing Summary'!AB215,NymexData!$S$12:$U$250,3),VLOOKUP(NymexData!AA215,NymexData!$AA$12:$AC$250,3))</f>
        <v>0.17</v>
      </c>
      <c r="AO215" s="370">
        <f>AD215*24*VLOOKUP(AB215,Interest!$X$8:$AC$367,6)</f>
        <v>261.43891094846481</v>
      </c>
    </row>
    <row r="216" spans="28:41" x14ac:dyDescent="0.2">
      <c r="AB216" s="266">
        <f>[4]EnergyCurve!$D238</f>
        <v>43405</v>
      </c>
      <c r="AC216" s="30">
        <f>IF(TradeSum!$L$6=0,VLOOKUP(AB216,TradeSum!$DM$13:$DQ$252,2)+VLOOKUP(AB216,TradeSum!$DU$13:$DY$252,3),VLOOKUP(AB216,TradeSum!$DU$13:$DY$252,2)+VLOOKUP(AB216,TradeSum!$DU$13:$DY$252,3))</f>
        <v>25</v>
      </c>
      <c r="AD216" s="30">
        <f>VLOOKUP(AB216,TradeSum!$DM$13:$DR$252,6)</f>
        <v>30</v>
      </c>
      <c r="AE216" s="30">
        <f>IF(TradeSum!$L$6=0,VLOOKUP(AB216,TradeSum!$DM$13:$DQ$252,2),VLOOKUP(AB216,TradeSum!$DU$13:$DY$252,2))</f>
        <v>21</v>
      </c>
      <c r="AF216" s="274">
        <f>[4]EnergyCurve!$G238</f>
        <v>41.488980318355829</v>
      </c>
      <c r="AG216" s="274">
        <f>[4]EnergyCurve!$Y238</f>
        <v>39.414531302438036</v>
      </c>
      <c r="AH216" s="274">
        <f>[4]EnergyCurve!$AD238</f>
        <v>26.967837206931289</v>
      </c>
      <c r="AI216" s="274">
        <f>[4]EnergyCurve!$L238</f>
        <v>26.967837206931289</v>
      </c>
      <c r="AJ216">
        <f t="shared" si="28"/>
        <v>41.157068475808984</v>
      </c>
      <c r="AK216">
        <f t="shared" si="29"/>
        <v>34.850743467418894</v>
      </c>
      <c r="AM216">
        <f>IF(NymexData!AC216="",VLOOKUP('Pricing Summary'!AB216,NymexData!$S$12:$U$250,3),VLOOKUP(NymexData!AA216,NymexData!$AA$12:$AC$250,3))</f>
        <v>0.17</v>
      </c>
      <c r="AO216" s="370">
        <f>AD216*24*VLOOKUP(AB216,Interest!$X$8:$AC$367,6)</f>
        <v>251.60122363753857</v>
      </c>
    </row>
    <row r="217" spans="28:41" x14ac:dyDescent="0.2">
      <c r="AB217" s="266">
        <f>[4]EnergyCurve!$D239</f>
        <v>43435</v>
      </c>
      <c r="AC217" s="30">
        <f>IF(TradeSum!$L$6=0,VLOOKUP(AB217,TradeSum!$DM$13:$DQ$252,2)+VLOOKUP(AB217,TradeSum!$DU$13:$DY$252,3),VLOOKUP(AB217,TradeSum!$DU$13:$DY$252,2)+VLOOKUP(AB217,TradeSum!$DU$13:$DY$252,3))</f>
        <v>25</v>
      </c>
      <c r="AD217" s="30">
        <f>VLOOKUP(AB217,TradeSum!$DM$13:$DR$252,6)</f>
        <v>31</v>
      </c>
      <c r="AE217" s="30">
        <f>IF(TradeSum!$L$6=0,VLOOKUP(AB217,TradeSum!$DM$13:$DQ$252,2),VLOOKUP(AB217,TradeSum!$DU$13:$DY$252,2))</f>
        <v>20</v>
      </c>
      <c r="AF217" s="274">
        <f>[4]EnergyCurve!$G239</f>
        <v>43.15428165929039</v>
      </c>
      <c r="AG217" s="274">
        <f>[4]EnergyCurve!$Y239</f>
        <v>40.996567576325866</v>
      </c>
      <c r="AH217" s="274">
        <f>[4]EnergyCurve!$AD239</f>
        <v>28.050283078538754</v>
      </c>
      <c r="AI217" s="274">
        <f>[4]EnergyCurve!$L239</f>
        <v>28.050283078538754</v>
      </c>
      <c r="AJ217">
        <f t="shared" si="28"/>
        <v>42.722738842697488</v>
      </c>
      <c r="AK217">
        <f t="shared" si="29"/>
        <v>35.938700156043453</v>
      </c>
      <c r="AM217">
        <f>IF(NymexData!AC217="",VLOOKUP('Pricing Summary'!AB217,NymexData!$S$12:$U$250,3),VLOOKUP(NymexData!AA217,NymexData!$AA$12:$AC$250,3))</f>
        <v>0.17</v>
      </c>
      <c r="AO217" s="370">
        <f>AD217*24*VLOOKUP(AB217,Interest!$X$8:$AC$367,6)</f>
        <v>258.5045687401809</v>
      </c>
    </row>
    <row r="218" spans="28:41" x14ac:dyDescent="0.2">
      <c r="AB218" s="266">
        <f>[4]EnergyCurve!$D240</f>
        <v>43466</v>
      </c>
      <c r="AC218" s="30">
        <f>IF(TradeSum!$L$6=0,VLOOKUP(AB218,TradeSum!$DM$13:$DQ$252,2)+VLOOKUP(AB218,TradeSum!$DU$13:$DY$252,3),VLOOKUP(AB218,TradeSum!$DU$13:$DY$252,2)+VLOOKUP(AB218,TradeSum!$DU$13:$DY$252,3))</f>
        <v>26</v>
      </c>
      <c r="AD218" s="30">
        <f>VLOOKUP(AB218,TradeSum!$DM$13:$DR$252,6)</f>
        <v>31</v>
      </c>
      <c r="AE218" s="30">
        <f>IF(TradeSum!$L$6=0,VLOOKUP(AB218,TradeSum!$DM$13:$DQ$252,2),VLOOKUP(AB218,TradeSum!$DU$13:$DY$252,2))</f>
        <v>22</v>
      </c>
      <c r="AF218" s="274">
        <f>[4]EnergyCurve!$G240</f>
        <v>42.770401225290733</v>
      </c>
      <c r="AG218" s="274">
        <f>[4]EnergyCurve!$Y240</f>
        <v>40.631881164026197</v>
      </c>
      <c r="AH218" s="274">
        <f>[4]EnergyCurve!$AD240</f>
        <v>27.800760796438979</v>
      </c>
      <c r="AI218" s="274">
        <f>[4]EnergyCurve!$L240</f>
        <v>27.800760796438979</v>
      </c>
      <c r="AJ218">
        <f t="shared" si="28"/>
        <v>42.44139813894234</v>
      </c>
      <c r="AK218">
        <f t="shared" si="29"/>
        <v>35.986923611602144</v>
      </c>
      <c r="AM218">
        <f>IF(NymexData!AC218="",VLOOKUP('Pricing Summary'!AB218,NymexData!$S$12:$U$250,3),VLOOKUP(NymexData!AA218,NymexData!$AA$12:$AC$250,3))</f>
        <v>0.17</v>
      </c>
      <c r="AO218" s="370">
        <f>AD218*24*VLOOKUP(AB218,Interest!$X$8:$AC$367,6)</f>
        <v>257.02402167665508</v>
      </c>
    </row>
    <row r="219" spans="28:41" x14ac:dyDescent="0.2">
      <c r="AB219" s="266">
        <f>[4]EnergyCurve!$D241</f>
        <v>43497</v>
      </c>
      <c r="AC219" s="30">
        <f>IF(TradeSum!$L$6=0,VLOOKUP(AB219,TradeSum!$DM$13:$DQ$252,2)+VLOOKUP(AB219,TradeSum!$DU$13:$DY$252,3),VLOOKUP(AB219,TradeSum!$DU$13:$DY$252,2)+VLOOKUP(AB219,TradeSum!$DU$13:$DY$252,3))</f>
        <v>24</v>
      </c>
      <c r="AD219" s="30">
        <f>VLOOKUP(AB219,TradeSum!$DM$13:$DR$252,6)</f>
        <v>28</v>
      </c>
      <c r="AE219" s="30">
        <f>IF(TradeSum!$L$6=0,VLOOKUP(AB219,TradeSum!$DM$13:$DQ$252,2),VLOOKUP(AB219,TradeSum!$DU$13:$DY$252,2))</f>
        <v>20</v>
      </c>
      <c r="AF219" s="274">
        <f>[4]EnergyCurve!$G241</f>
        <v>41.85018489859732</v>
      </c>
      <c r="AG219" s="274">
        <f>[4]EnergyCurve!$Y241</f>
        <v>39.757675653667455</v>
      </c>
      <c r="AH219" s="274">
        <f>[4]EnergyCurve!$AD241</f>
        <v>27.202620184088257</v>
      </c>
      <c r="AI219" s="274">
        <f>[4]EnergyCurve!$L241</f>
        <v>27.202620184088257</v>
      </c>
      <c r="AJ219">
        <f t="shared" si="28"/>
        <v>41.501433357775674</v>
      </c>
      <c r="AK219">
        <f t="shared" si="29"/>
        <v>35.373370569052497</v>
      </c>
      <c r="AM219">
        <f>IF(NymexData!AC219="",VLOOKUP('Pricing Summary'!AB219,NymexData!$S$12:$U$250,3),VLOOKUP(NymexData!AA219,NymexData!$AA$12:$AC$250,3))</f>
        <v>0.17</v>
      </c>
      <c r="AO219" s="370">
        <f>AD219*24*VLOOKUP(AB219,Interest!$X$8:$AC$367,6)</f>
        <v>230.93661830786593</v>
      </c>
    </row>
    <row r="220" spans="28:41" x14ac:dyDescent="0.2">
      <c r="AB220" s="266">
        <f>[4]EnergyCurve!$D242</f>
        <v>43525</v>
      </c>
      <c r="AC220" s="30">
        <f>IF(TradeSum!$L$6=0,VLOOKUP(AB220,TradeSum!$DM$13:$DQ$252,2)+VLOOKUP(AB220,TradeSum!$DU$13:$DY$252,3),VLOOKUP(AB220,TradeSum!$DU$13:$DY$252,2)+VLOOKUP(AB220,TradeSum!$DU$13:$DY$252,3))</f>
        <v>26</v>
      </c>
      <c r="AD220" s="30">
        <f>VLOOKUP(AB220,TradeSum!$DM$13:$DR$252,6)</f>
        <v>31</v>
      </c>
      <c r="AE220" s="30">
        <f>IF(TradeSum!$L$6=0,VLOOKUP(AB220,TradeSum!$DM$13:$DQ$252,2),VLOOKUP(AB220,TradeSum!$DU$13:$DY$252,2))</f>
        <v>21</v>
      </c>
      <c r="AF220" s="274">
        <f>[4]EnergyCurve!$G242</f>
        <v>40.380243342385469</v>
      </c>
      <c r="AG220" s="274">
        <f>[4]EnergyCurve!$Y242</f>
        <v>38.361231175266191</v>
      </c>
      <c r="AH220" s="274">
        <f>[4]EnergyCurve!$AD242</f>
        <v>26.247158172550556</v>
      </c>
      <c r="AI220" s="274">
        <f>[4]EnergyCurve!$L242</f>
        <v>26.247158172550556</v>
      </c>
      <c r="AJ220">
        <f t="shared" si="28"/>
        <v>39.991971771785607</v>
      </c>
      <c r="AK220">
        <f t="shared" si="29"/>
        <v>33.932430292552951</v>
      </c>
      <c r="AM220">
        <f>IF(NymexData!AC220="",VLOOKUP('Pricing Summary'!AB220,NymexData!$S$12:$U$250,3),VLOOKUP(NymexData!AA220,NymexData!$AA$12:$AC$250,3))</f>
        <v>0.17</v>
      </c>
      <c r="AO220" s="370">
        <f>AD220*24*VLOOKUP(AB220,Interest!$X$8:$AC$367,6)</f>
        <v>254.22596734573455</v>
      </c>
    </row>
    <row r="221" spans="28:41" x14ac:dyDescent="0.2">
      <c r="AB221" s="266">
        <f>[4]EnergyCurve!$D243</f>
        <v>43556</v>
      </c>
      <c r="AC221" s="30">
        <f>IF(TradeSum!$L$6=0,VLOOKUP(AB221,TradeSum!$DM$13:$DQ$252,2)+VLOOKUP(AB221,TradeSum!$DU$13:$DY$252,3),VLOOKUP(AB221,TradeSum!$DU$13:$DY$252,2)+VLOOKUP(AB221,TradeSum!$DU$13:$DY$252,3))</f>
        <v>26</v>
      </c>
      <c r="AD221" s="30">
        <f>VLOOKUP(AB221,TradeSum!$DM$13:$DR$252,6)</f>
        <v>30</v>
      </c>
      <c r="AE221" s="30">
        <f>IF(TradeSum!$L$6=0,VLOOKUP(AB221,TradeSum!$DM$13:$DQ$252,2),VLOOKUP(AB221,TradeSum!$DU$13:$DY$252,2))</f>
        <v>22</v>
      </c>
      <c r="AF221" s="274">
        <f>[4]EnergyCurve!$G243</f>
        <v>37.784555739076879</v>
      </c>
      <c r="AG221" s="274">
        <f>[4]EnergyCurve!$Y243</f>
        <v>35.895327952123033</v>
      </c>
      <c r="AH221" s="274">
        <f>[4]EnergyCurve!$AD243</f>
        <v>24.559961230399974</v>
      </c>
      <c r="AI221" s="274">
        <f>[4]EnergyCurve!$L243</f>
        <v>24.559961230399974</v>
      </c>
      <c r="AJ221">
        <f t="shared" si="28"/>
        <v>37.493905310314751</v>
      </c>
      <c r="AK221">
        <f t="shared" si="29"/>
        <v>32.03290669879518</v>
      </c>
      <c r="AM221">
        <f>IF(NymexData!AC221="",VLOOKUP('Pricing Summary'!AB221,NymexData!$S$12:$U$250,3),VLOOKUP(NymexData!AA221,NymexData!$AA$12:$AC$250,3))</f>
        <v>0.17</v>
      </c>
      <c r="AO221" s="370">
        <f>AD221*24*VLOOKUP(AB221,Interest!$X$8:$AC$367,6)</f>
        <v>244.65364371003264</v>
      </c>
    </row>
    <row r="222" spans="28:41" x14ac:dyDescent="0.2">
      <c r="AB222" s="266">
        <f>[4]EnergyCurve!$D244</f>
        <v>43586</v>
      </c>
      <c r="AC222" s="30">
        <f>IF(TradeSum!$L$6=0,VLOOKUP(AB222,TradeSum!$DM$13:$DQ$252,2)+VLOOKUP(AB222,TradeSum!$DU$13:$DY$252,3),VLOOKUP(AB222,TradeSum!$DU$13:$DY$252,2)+VLOOKUP(AB222,TradeSum!$DU$13:$DY$252,3))</f>
        <v>26</v>
      </c>
      <c r="AD222" s="30">
        <f>VLOOKUP(AB222,TradeSum!$DM$13:$DR$252,6)</f>
        <v>31</v>
      </c>
      <c r="AE222" s="30">
        <f>IF(TradeSum!$L$6=0,VLOOKUP(AB222,TradeSum!$DM$13:$DQ$252,2),VLOOKUP(AB222,TradeSum!$DU$13:$DY$252,2))</f>
        <v>22</v>
      </c>
      <c r="AF222" s="274">
        <f>[4]EnergyCurve!$G244</f>
        <v>37.859236202723203</v>
      </c>
      <c r="AG222" s="274">
        <f>[4]EnergyCurve!$Y244</f>
        <v>35.966274392587039</v>
      </c>
      <c r="AH222" s="274">
        <f>[4]EnergyCurve!$AD244</f>
        <v>24.608503531770083</v>
      </c>
      <c r="AI222" s="274">
        <f>[4]EnergyCurve!$L244</f>
        <v>24.608503531770083</v>
      </c>
      <c r="AJ222">
        <f t="shared" si="28"/>
        <v>37.5680113088561</v>
      </c>
      <c r="AK222">
        <f t="shared" si="29"/>
        <v>31.854679923259038</v>
      </c>
      <c r="AM222">
        <f>IF(NymexData!AC222="",VLOOKUP('Pricing Summary'!AB222,NymexData!$S$12:$U$250,3),VLOOKUP(NymexData!AA222,NymexData!$AA$12:$AC$250,3))</f>
        <v>0.17</v>
      </c>
      <c r="AO222" s="370">
        <f>AD222*24*VLOOKUP(AB222,Interest!$X$8:$AC$367,6)</f>
        <v>251.36014524718601</v>
      </c>
    </row>
    <row r="223" spans="28:41" x14ac:dyDescent="0.2">
      <c r="AB223" s="266">
        <f>[4]EnergyCurve!$D245</f>
        <v>43617</v>
      </c>
      <c r="AC223" s="30">
        <f>IF(TradeSum!$L$6=0,VLOOKUP(AB223,TradeSum!$DM$13:$DQ$252,2)+VLOOKUP(AB223,TradeSum!$DU$13:$DY$252,3),VLOOKUP(AB223,TradeSum!$DU$13:$DY$252,2)+VLOOKUP(AB223,TradeSum!$DU$13:$DY$252,3))</f>
        <v>25</v>
      </c>
      <c r="AD223" s="30">
        <f>VLOOKUP(AB223,TradeSum!$DM$13:$DR$252,6)</f>
        <v>30</v>
      </c>
      <c r="AE223" s="30">
        <f>IF(TradeSum!$L$6=0,VLOOKUP(AB223,TradeSum!$DM$13:$DQ$252,2),VLOOKUP(AB223,TradeSum!$DU$13:$DY$252,2))</f>
        <v>20</v>
      </c>
      <c r="AF223" s="274">
        <f>[4]EnergyCurve!$G245</f>
        <v>38.289655860869594</v>
      </c>
      <c r="AG223" s="274">
        <f>[4]EnergyCurve!$Y245</f>
        <v>36.375173067826111</v>
      </c>
      <c r="AH223" s="274">
        <f>[4]EnergyCurve!$AD245</f>
        <v>24.888276309565239</v>
      </c>
      <c r="AI223" s="274">
        <f>[4]EnergyCurve!$L245</f>
        <v>24.888276309565239</v>
      </c>
      <c r="AJ223">
        <f t="shared" si="28"/>
        <v>37.906759302260895</v>
      </c>
      <c r="AK223">
        <f t="shared" si="29"/>
        <v>32.120766861062826</v>
      </c>
      <c r="AM223">
        <f>IF(NymexData!AC223="",VLOOKUP('Pricing Summary'!AB223,NymexData!$S$12:$U$250,3),VLOOKUP(NymexData!AA223,NymexData!$AA$12:$AC$250,3))</f>
        <v>0.17</v>
      </c>
      <c r="AO223" s="370">
        <f>AD223*24*VLOOKUP(AB223,Interest!$X$8:$AC$367,6)</f>
        <v>241.89331072877698</v>
      </c>
    </row>
    <row r="224" spans="28:41" x14ac:dyDescent="0.2">
      <c r="AB224" s="266">
        <f>[4]EnergyCurve!$D246</f>
        <v>43647</v>
      </c>
      <c r="AC224" s="30">
        <f>IF(TradeSum!$L$6=0,VLOOKUP(AB224,TradeSum!$DM$13:$DQ$252,2)+VLOOKUP(AB224,TradeSum!$DU$13:$DY$252,3),VLOOKUP(AB224,TradeSum!$DU$13:$DY$252,2)+VLOOKUP(AB224,TradeSum!$DU$13:$DY$252,3))</f>
        <v>26</v>
      </c>
      <c r="AD224" s="30">
        <f>VLOOKUP(AB224,TradeSum!$DM$13:$DR$252,6)</f>
        <v>31</v>
      </c>
      <c r="AE224" s="30">
        <f>IF(TradeSum!$L$6=0,VLOOKUP(AB224,TradeSum!$DM$13:$DQ$252,2),VLOOKUP(AB224,TradeSum!$DU$13:$DY$252,2))</f>
        <v>22</v>
      </c>
      <c r="AF224" s="274">
        <f>[4]EnergyCurve!$G246</f>
        <v>38.795509285891349</v>
      </c>
      <c r="AG224" s="274">
        <f>[4]EnergyCurve!$Y246</f>
        <v>36.855733821596779</v>
      </c>
      <c r="AH224" s="274">
        <f>[4]EnergyCurve!$AD246</f>
        <v>25.217081035829377</v>
      </c>
      <c r="AI224" s="274">
        <f>[4]EnergyCurve!$L246</f>
        <v>25.217081035829377</v>
      </c>
      <c r="AJ224">
        <f t="shared" si="28"/>
        <v>38.497082291384487</v>
      </c>
      <c r="AK224">
        <f t="shared" si="29"/>
        <v>32.642458081946209</v>
      </c>
      <c r="AM224">
        <f>IF(NymexData!AC224="",VLOOKUP('Pricing Summary'!AB224,NymexData!$S$12:$U$250,3),VLOOKUP(NymexData!AA224,NymexData!$AA$12:$AC$250,3))</f>
        <v>0.17</v>
      </c>
      <c r="AO224" s="370">
        <f>AD224*24*VLOOKUP(AB224,Interest!$X$8:$AC$367,6)</f>
        <v>248.52166192464446</v>
      </c>
    </row>
    <row r="225" spans="28:41" x14ac:dyDescent="0.2">
      <c r="AB225" s="266">
        <f>[4]EnergyCurve!$D247</f>
        <v>43678</v>
      </c>
      <c r="AC225" s="30">
        <f>IF(TradeSum!$L$6=0,VLOOKUP(AB225,TradeSum!$DM$13:$DQ$252,2)+VLOOKUP(AB225,TradeSum!$DU$13:$DY$252,3),VLOOKUP(AB225,TradeSum!$DU$13:$DY$252,2)+VLOOKUP(AB225,TradeSum!$DU$13:$DY$252,3))</f>
        <v>27</v>
      </c>
      <c r="AD225" s="30">
        <f>VLOOKUP(AB225,TradeSum!$DM$13:$DR$252,6)</f>
        <v>31</v>
      </c>
      <c r="AE225" s="30">
        <f>IF(TradeSum!$L$6=0,VLOOKUP(AB225,TradeSum!$DM$13:$DQ$252,2),VLOOKUP(AB225,TradeSum!$DU$13:$DY$252,2))</f>
        <v>22</v>
      </c>
      <c r="AF225" s="274">
        <f>[4]EnergyCurve!$G247</f>
        <v>39.227844575025038</v>
      </c>
      <c r="AG225" s="274">
        <f>[4]EnergyCurve!$Y247</f>
        <v>37.266452346273788</v>
      </c>
      <c r="AH225" s="274">
        <f>[4]EnergyCurve!$AD247</f>
        <v>25.498098973766275</v>
      </c>
      <c r="AI225" s="274">
        <f>[4]EnergyCurve!$L247</f>
        <v>25.498098973766275</v>
      </c>
      <c r="AJ225">
        <f t="shared" si="28"/>
        <v>38.864623791922952</v>
      </c>
      <c r="AK225">
        <f t="shared" si="29"/>
        <v>33.259306932695964</v>
      </c>
      <c r="AM225">
        <f>IF(NymexData!AC225="",VLOOKUP('Pricing Summary'!AB225,NymexData!$S$12:$U$250,3),VLOOKUP(NymexData!AA225,NymexData!$AA$12:$AC$250,3))</f>
        <v>0.17</v>
      </c>
      <c r="AO225" s="370">
        <f>AD225*24*VLOOKUP(AB225,Interest!$X$8:$AC$367,6)</f>
        <v>247.08956833205474</v>
      </c>
    </row>
    <row r="226" spans="28:41" x14ac:dyDescent="0.2">
      <c r="AB226" s="266">
        <f>[4]EnergyCurve!$D248</f>
        <v>43709</v>
      </c>
      <c r="AC226" s="30">
        <f>IF(TradeSum!$L$6=0,VLOOKUP(AB226,TradeSum!$DM$13:$DQ$252,2)+VLOOKUP(AB226,TradeSum!$DU$13:$DY$252,3),VLOOKUP(AB226,TradeSum!$DU$13:$DY$252,2)+VLOOKUP(AB226,TradeSum!$DU$13:$DY$252,3))</f>
        <v>24</v>
      </c>
      <c r="AD226" s="30">
        <f>VLOOKUP(AB226,TradeSum!$DM$13:$DR$252,6)</f>
        <v>30</v>
      </c>
      <c r="AE226" s="30">
        <f>IF(TradeSum!$L$6=0,VLOOKUP(AB226,TradeSum!$DM$13:$DQ$252,2),VLOOKUP(AB226,TradeSum!$DU$13:$DY$252,2))</f>
        <v>20</v>
      </c>
      <c r="AF226" s="274">
        <f>[4]EnergyCurve!$G248</f>
        <v>39.187583897328459</v>
      </c>
      <c r="AG226" s="274">
        <f>[4]EnergyCurve!$Y248</f>
        <v>37.228204702462037</v>
      </c>
      <c r="AH226" s="274">
        <f>[4]EnergyCurve!$AD248</f>
        <v>25.471929533263499</v>
      </c>
      <c r="AI226" s="274">
        <f>[4]EnergyCurve!$L248</f>
        <v>25.471929533263499</v>
      </c>
      <c r="AJ226">
        <f t="shared" si="28"/>
        <v>38.861020698184056</v>
      </c>
      <c r="AK226">
        <f t="shared" si="29"/>
        <v>32.612778154554462</v>
      </c>
      <c r="AM226">
        <f>IF(NymexData!AC226="",VLOOKUP('Pricing Summary'!AB226,NymexData!$S$12:$U$250,3),VLOOKUP(NymexData!AA226,NymexData!$AA$12:$AC$250,3))</f>
        <v>0.17</v>
      </c>
      <c r="AO226" s="370">
        <f>AD226*24*VLOOKUP(AB226,Interest!$X$8:$AC$367,6)</f>
        <v>237.77999076766341</v>
      </c>
    </row>
    <row r="227" spans="28:41" x14ac:dyDescent="0.2">
      <c r="AB227" s="266">
        <f>[4]EnergyCurve!$D249</f>
        <v>43739</v>
      </c>
      <c r="AC227" s="30">
        <f>IF(TradeSum!$L$6=0,VLOOKUP(AB227,TradeSum!$DM$13:$DQ$252,2)+VLOOKUP(AB227,TradeSum!$DU$13:$DY$252,3),VLOOKUP(AB227,TradeSum!$DU$13:$DY$252,2)+VLOOKUP(AB227,TradeSum!$DU$13:$DY$252,3))</f>
        <v>27</v>
      </c>
      <c r="AD227" s="30">
        <f>VLOOKUP(AB227,TradeSum!$DM$13:$DR$252,6)</f>
        <v>31</v>
      </c>
      <c r="AE227" s="30">
        <f>IF(TradeSum!$L$6=0,VLOOKUP(AB227,TradeSum!$DM$13:$DQ$252,2),VLOOKUP(AB227,TradeSum!$DU$13:$DY$252,2))</f>
        <v>23</v>
      </c>
      <c r="AF227" s="274">
        <f>[4]EnergyCurve!$G249</f>
        <v>39.211522995165822</v>
      </c>
      <c r="AG227" s="274">
        <f>[4]EnergyCurve!$Y249</f>
        <v>37.250946845407526</v>
      </c>
      <c r="AH227" s="274">
        <f>[4]EnergyCurve!$AD249</f>
        <v>25.487489946857782</v>
      </c>
      <c r="AI227" s="274">
        <f>[4]EnergyCurve!$L249</f>
        <v>25.487489946857782</v>
      </c>
      <c r="AJ227">
        <f t="shared" si="28"/>
        <v>38.921067269275696</v>
      </c>
      <c r="AK227">
        <f t="shared" si="29"/>
        <v>33.287631617939155</v>
      </c>
      <c r="AM227">
        <f>IF(NymexData!AC227="",VLOOKUP('Pricing Summary'!AB227,NymexData!$S$12:$U$250,3),VLOOKUP(NymexData!AA227,NymexData!$AA$12:$AC$250,3))</f>
        <v>0.17</v>
      </c>
      <c r="AO227" s="370">
        <f>AD227*24*VLOOKUP(AB227,Interest!$X$8:$AC$367,6)</f>
        <v>244.29194732101701</v>
      </c>
    </row>
    <row r="228" spans="28:41" x14ac:dyDescent="0.2">
      <c r="AB228" s="266">
        <f>[4]EnergyCurve!$D250</f>
        <v>43770</v>
      </c>
      <c r="AC228" s="30">
        <f>IF(TradeSum!$L$6=0,VLOOKUP(AB228,TradeSum!$DM$13:$DQ$252,2)+VLOOKUP(AB228,TradeSum!$DU$13:$DY$252,3),VLOOKUP(AB228,TradeSum!$DU$13:$DY$252,2)+VLOOKUP(AB228,TradeSum!$DU$13:$DY$252,3))</f>
        <v>25</v>
      </c>
      <c r="AD228" s="30">
        <f>VLOOKUP(AB228,TradeSum!$DM$13:$DR$252,6)</f>
        <v>30</v>
      </c>
      <c r="AE228" s="30">
        <f>IF(TradeSum!$L$6=0,VLOOKUP(AB228,TradeSum!$DM$13:$DQ$252,2),VLOOKUP(AB228,TradeSum!$DU$13:$DY$252,2))</f>
        <v>20</v>
      </c>
      <c r="AF228" s="274">
        <f>[4]EnergyCurve!$G250</f>
        <v>41.488980318355829</v>
      </c>
      <c r="AG228" s="274">
        <f>[4]EnergyCurve!$Y250</f>
        <v>39.414531302438036</v>
      </c>
      <c r="AH228" s="274">
        <f>[4]EnergyCurve!$AD250</f>
        <v>26.967837206931289</v>
      </c>
      <c r="AI228" s="274">
        <f>[4]EnergyCurve!$L250</f>
        <v>26.967837206931289</v>
      </c>
      <c r="AJ228">
        <f t="shared" si="28"/>
        <v>41.074090515172266</v>
      </c>
      <c r="AK228">
        <f t="shared" si="29"/>
        <v>34.804644600398497</v>
      </c>
      <c r="AM228">
        <f>IF(NymexData!AC228="",VLOOKUP('Pricing Summary'!AB228,NymexData!$S$12:$U$250,3),VLOOKUP(NymexData!AA228,NymexData!$AA$12:$AC$250,3))</f>
        <v>0.17</v>
      </c>
      <c r="AO228" s="370">
        <f>AD228*24*VLOOKUP(AB228,Interest!$X$8:$AC$367,6)</f>
        <v>235.08542668029199</v>
      </c>
    </row>
    <row r="229" spans="28:41" x14ac:dyDescent="0.2">
      <c r="AB229" s="266">
        <f>[4]EnergyCurve!$D251</f>
        <v>43800</v>
      </c>
      <c r="AC229" s="30">
        <f>IF(TradeSum!$L$6=0,VLOOKUP(AB229,TradeSum!$DM$13:$DQ$252,2)+VLOOKUP(AB229,TradeSum!$DU$13:$DY$252,3),VLOOKUP(AB229,TradeSum!$DU$13:$DY$252,2)+VLOOKUP(AB229,TradeSum!$DU$13:$DY$252,3))</f>
        <v>25</v>
      </c>
      <c r="AD229" s="30">
        <f>VLOOKUP(AB229,TradeSum!$DM$13:$DR$252,6)</f>
        <v>31</v>
      </c>
      <c r="AE229" s="30">
        <f>IF(TradeSum!$L$6=0,VLOOKUP(AB229,TradeSum!$DM$13:$DQ$252,2),VLOOKUP(AB229,TradeSum!$DU$13:$DY$252,2))</f>
        <v>21</v>
      </c>
      <c r="AF229" s="274">
        <f>[4]EnergyCurve!$G251</f>
        <v>43.15428165929039</v>
      </c>
      <c r="AG229" s="274">
        <f>[4]EnergyCurve!$Y251</f>
        <v>40.996567576325866</v>
      </c>
      <c r="AH229" s="274">
        <f>[4]EnergyCurve!$AD251</f>
        <v>28.050283078538754</v>
      </c>
      <c r="AI229" s="274">
        <f>[4]EnergyCurve!$L251</f>
        <v>28.050283078538754</v>
      </c>
      <c r="AJ229">
        <f t="shared" si="28"/>
        <v>42.809047406016063</v>
      </c>
      <c r="AK229">
        <f t="shared" si="29"/>
        <v>35.985102609440531</v>
      </c>
      <c r="AM229">
        <f>IF(NymexData!AC229="",VLOOKUP('Pricing Summary'!AB229,NymexData!$S$12:$U$250,3),VLOOKUP(NymexData!AA229,NymexData!$AA$12:$AC$250,3))</f>
        <v>0.17</v>
      </c>
      <c r="AO229" s="370">
        <f>AD229*24*VLOOKUP(AB229,Interest!$X$8:$AC$367,6)</f>
        <v>241.52117537510185</v>
      </c>
    </row>
    <row r="230" spans="28:41" x14ac:dyDescent="0.2">
      <c r="AB230" s="266">
        <f>[4]EnergyCurve!$D252</f>
        <v>43831</v>
      </c>
      <c r="AC230" s="30">
        <f>IF(TradeSum!$L$6=0,VLOOKUP(AB230,TradeSum!$DM$13:$DQ$252,2)+VLOOKUP(AB230,TradeSum!$DU$13:$DY$252,3),VLOOKUP(AB230,TradeSum!$DU$13:$DY$252,2)+VLOOKUP(AB230,TradeSum!$DU$13:$DY$252,3))</f>
        <v>26</v>
      </c>
      <c r="AD230" s="30">
        <f>VLOOKUP(AB230,TradeSum!$DM$13:$DR$252,6)</f>
        <v>31</v>
      </c>
      <c r="AE230" s="30">
        <f>IF(TradeSum!$L$6=0,VLOOKUP(AB230,TradeSum!$DM$13:$DQ$252,2),VLOOKUP(AB230,TradeSum!$DU$13:$DY$252,2))</f>
        <v>22</v>
      </c>
      <c r="AF230" s="274">
        <f>[4]EnergyCurve!$G252</f>
        <v>42.770401225290733</v>
      </c>
      <c r="AG230" s="274">
        <f>[4]EnergyCurve!$Y252</f>
        <v>40.631881164026197</v>
      </c>
      <c r="AH230" s="274">
        <f>[4]EnergyCurve!$AD252</f>
        <v>27.800760796438979</v>
      </c>
      <c r="AI230" s="274">
        <f>[4]EnergyCurve!$L252</f>
        <v>27.800760796438979</v>
      </c>
      <c r="AJ230">
        <f t="shared" si="28"/>
        <v>42.44139813894234</v>
      </c>
      <c r="AK230">
        <f t="shared" si="29"/>
        <v>35.986923611602144</v>
      </c>
      <c r="AM230">
        <f>IF(NymexData!AC230="",VLOOKUP('Pricing Summary'!AB230,NymexData!$S$12:$U$250,3),VLOOKUP(NymexData!AA230,NymexData!$AA$12:$AC$250,3))</f>
        <v>0.17</v>
      </c>
      <c r="AO230" s="370">
        <f>AD230*24*VLOOKUP(AB230,Interest!$X$8:$AC$367,6)</f>
        <v>240.1233052855888</v>
      </c>
    </row>
    <row r="231" spans="28:41" x14ac:dyDescent="0.2">
      <c r="AB231" s="266">
        <f>[4]EnergyCurve!$D253</f>
        <v>43862</v>
      </c>
      <c r="AC231" s="30">
        <f>IF(TradeSum!$L$6=0,VLOOKUP(AB231,TradeSum!$DM$13:$DQ$252,2)+VLOOKUP(AB231,TradeSum!$DU$13:$DY$252,3),VLOOKUP(AB231,TradeSum!$DU$13:$DY$252,2)+VLOOKUP(AB231,TradeSum!$DU$13:$DY$252,3))</f>
        <v>25</v>
      </c>
      <c r="AD231" s="30">
        <f>VLOOKUP(AB231,TradeSum!$DM$13:$DR$252,6)</f>
        <v>29</v>
      </c>
      <c r="AE231" s="30">
        <f>IF(TradeSum!$L$6=0,VLOOKUP(AB231,TradeSum!$DM$13:$DQ$252,2),VLOOKUP(AB231,TradeSum!$DU$13:$DY$252,2))</f>
        <v>20</v>
      </c>
      <c r="AF231" s="274">
        <f>[4]EnergyCurve!$G253</f>
        <v>41.85018489859732</v>
      </c>
      <c r="AG231" s="274">
        <f>[4]EnergyCurve!$Y253</f>
        <v>39.757675653667455</v>
      </c>
      <c r="AH231" s="274">
        <f>[4]EnergyCurve!$AD253</f>
        <v>27.202620184088257</v>
      </c>
      <c r="AI231" s="274">
        <f>[4]EnergyCurve!$L253</f>
        <v>27.202620184088257</v>
      </c>
      <c r="AJ231">
        <f t="shared" si="28"/>
        <v>41.431683049611344</v>
      </c>
      <c r="AK231">
        <f t="shared" si="29"/>
        <v>35.380242520595779</v>
      </c>
      <c r="AM231">
        <f>IF(NymexData!AC231="",VLOOKUP('Pricing Summary'!AB231,NymexData!$S$12:$U$250,3),VLOOKUP(NymexData!AA231,NymexData!$AA$12:$AC$250,3))</f>
        <v>0.17</v>
      </c>
      <c r="AO231" s="370">
        <f>AD231*24*VLOOKUP(AB231,Interest!$X$8:$AC$367,6)</f>
        <v>223.40591155432227</v>
      </c>
    </row>
    <row r="232" spans="28:41" x14ac:dyDescent="0.2">
      <c r="AB232" s="266">
        <f>[4]EnergyCurve!$D254</f>
        <v>43891</v>
      </c>
      <c r="AC232" s="30">
        <f>IF(TradeSum!$L$6=0,VLOOKUP(AB232,TradeSum!$DM$13:$DQ$252,2)+VLOOKUP(AB232,TradeSum!$DU$13:$DY$252,3),VLOOKUP(AB232,TradeSum!$DU$13:$DY$252,2)+VLOOKUP(AB232,TradeSum!$DU$13:$DY$252,3))</f>
        <v>26</v>
      </c>
      <c r="AD232" s="30">
        <f>VLOOKUP(AB232,TradeSum!$DM$13:$DR$252,6)</f>
        <v>31</v>
      </c>
      <c r="AE232" s="30">
        <f>IF(TradeSum!$L$6=0,VLOOKUP(AB232,TradeSum!$DM$13:$DQ$252,2),VLOOKUP(AB232,TradeSum!$DU$13:$DY$252,2))</f>
        <v>22</v>
      </c>
      <c r="AF232" s="274">
        <f>[4]EnergyCurve!$G254</f>
        <v>40.380243342385469</v>
      </c>
      <c r="AG232" s="274">
        <f>[4]EnergyCurve!$Y254</f>
        <v>38.361231175266191</v>
      </c>
      <c r="AH232" s="274">
        <f>[4]EnergyCurve!$AD254</f>
        <v>26.247158172550556</v>
      </c>
      <c r="AI232" s="274">
        <f>[4]EnergyCurve!$L254</f>
        <v>26.247158172550556</v>
      </c>
      <c r="AJ232">
        <f t="shared" si="28"/>
        <v>40.069626085905576</v>
      </c>
      <c r="AK232">
        <f t="shared" si="29"/>
        <v>33.975849909050133</v>
      </c>
      <c r="AM232">
        <f>IF(NymexData!AC232="",VLOOKUP('Pricing Summary'!AB232,NymexData!$S$12:$U$250,3),VLOOKUP(NymexData!AA232,NymexData!$AA$12:$AC$250,3))</f>
        <v>0.17</v>
      </c>
      <c r="AO232" s="370">
        <f>AD232*24*VLOOKUP(AB232,Interest!$X$8:$AC$367,6)</f>
        <v>237.43721149319185</v>
      </c>
    </row>
    <row r="233" spans="28:41" x14ac:dyDescent="0.2">
      <c r="AB233" s="266">
        <f>[4]EnergyCurve!$D255</f>
        <v>43922</v>
      </c>
      <c r="AC233" s="30">
        <f>IF(TradeSum!$L$6=0,VLOOKUP(AB233,TradeSum!$DM$13:$DQ$252,2)+VLOOKUP(AB233,TradeSum!$DU$13:$DY$252,3),VLOOKUP(AB233,TradeSum!$DU$13:$DY$252,2)+VLOOKUP(AB233,TradeSum!$DU$13:$DY$252,3))</f>
        <v>26</v>
      </c>
      <c r="AD233" s="30">
        <f>VLOOKUP(AB233,TradeSum!$DM$13:$DR$252,6)</f>
        <v>30</v>
      </c>
      <c r="AE233" s="30">
        <f>IF(TradeSum!$L$6=0,VLOOKUP(AB233,TradeSum!$DM$13:$DQ$252,2),VLOOKUP(AB233,TradeSum!$DU$13:$DY$252,2))</f>
        <v>22</v>
      </c>
      <c r="AF233" s="274">
        <f>[4]EnergyCurve!$G255</f>
        <v>37.784555739076879</v>
      </c>
      <c r="AG233" s="274">
        <f>[4]EnergyCurve!$Y255</f>
        <v>35.895327952123033</v>
      </c>
      <c r="AH233" s="274">
        <f>[4]EnergyCurve!$AD255</f>
        <v>24.559961230399974</v>
      </c>
      <c r="AI233" s="274">
        <f>[4]EnergyCurve!$L255</f>
        <v>24.559961230399974</v>
      </c>
      <c r="AJ233">
        <f t="shared" si="28"/>
        <v>37.493905310314751</v>
      </c>
      <c r="AK233">
        <f t="shared" si="29"/>
        <v>32.03290669879518</v>
      </c>
      <c r="AM233">
        <f>IF(NymexData!AC233="",VLOOKUP('Pricing Summary'!AB233,NymexData!$S$12:$U$250,3),VLOOKUP(NymexData!AA233,NymexData!$AA$12:$AC$250,3))</f>
        <v>0.17</v>
      </c>
      <c r="AO233" s="370">
        <f>AD233*24*VLOOKUP(AB233,Interest!$X$8:$AC$367,6)</f>
        <v>228.48333407397109</v>
      </c>
    </row>
    <row r="234" spans="28:41" x14ac:dyDescent="0.2">
      <c r="AB234" s="266">
        <f>[4]EnergyCurve!$D256</f>
        <v>43952</v>
      </c>
      <c r="AC234" s="30">
        <f>IF(TradeSum!$L$6=0,VLOOKUP(AB234,TradeSum!$DM$13:$DQ$252,2)+VLOOKUP(AB234,TradeSum!$DU$13:$DY$252,3),VLOOKUP(AB234,TradeSum!$DU$13:$DY$252,2)+VLOOKUP(AB234,TradeSum!$DU$13:$DY$252,3))</f>
        <v>25</v>
      </c>
      <c r="AD234" s="30">
        <f>VLOOKUP(AB234,TradeSum!$DM$13:$DR$252,6)</f>
        <v>31</v>
      </c>
      <c r="AE234" s="30">
        <f>IF(TradeSum!$L$6=0,VLOOKUP(AB234,TradeSum!$DM$13:$DQ$252,2),VLOOKUP(AB234,TradeSum!$DU$13:$DY$252,2))</f>
        <v>20</v>
      </c>
      <c r="AF234" s="274">
        <f>[4]EnergyCurve!$G256</f>
        <v>37.859236202723203</v>
      </c>
      <c r="AG234" s="274">
        <f>[4]EnergyCurve!$Y256</f>
        <v>35.966274392587039</v>
      </c>
      <c r="AH234" s="274">
        <f>[4]EnergyCurve!$AD256</f>
        <v>24.608503531770083</v>
      </c>
      <c r="AI234" s="274">
        <f>[4]EnergyCurve!$L256</f>
        <v>24.608503531770083</v>
      </c>
      <c r="AJ234">
        <f t="shared" si="28"/>
        <v>37.480643840695969</v>
      </c>
      <c r="AK234">
        <f t="shared" si="29"/>
        <v>31.529009074203358</v>
      </c>
      <c r="AM234">
        <f>IF(NymexData!AC234="",VLOOKUP('Pricing Summary'!AB234,NymexData!$S$12:$U$250,3),VLOOKUP(NymexData!AA234,NymexData!$AA$12:$AC$250,3))</f>
        <v>0.17</v>
      </c>
      <c r="AO234" s="370">
        <f>AD234*24*VLOOKUP(AB234,Interest!$X$8:$AC$367,6)</f>
        <v>234.7324985964413</v>
      </c>
    </row>
    <row r="235" spans="28:41" x14ac:dyDescent="0.2">
      <c r="AB235" s="266">
        <f>[4]EnergyCurve!$D257</f>
        <v>43983</v>
      </c>
      <c r="AC235" s="30">
        <f>IF(TradeSum!$L$6=0,VLOOKUP(AB235,TradeSum!$DM$13:$DQ$252,2)+VLOOKUP(AB235,TradeSum!$DU$13:$DY$252,3),VLOOKUP(AB235,TradeSum!$DU$13:$DY$252,2)+VLOOKUP(AB235,TradeSum!$DU$13:$DY$252,3))</f>
        <v>26</v>
      </c>
      <c r="AD235" s="30">
        <f>VLOOKUP(AB235,TradeSum!$DM$13:$DR$252,6)</f>
        <v>30</v>
      </c>
      <c r="AE235" s="30">
        <f>IF(TradeSum!$L$6=0,VLOOKUP(AB235,TradeSum!$DM$13:$DQ$252,2),VLOOKUP(AB235,TradeSum!$DU$13:$DY$252,2))</f>
        <v>22</v>
      </c>
      <c r="AF235" s="274">
        <f>[4]EnergyCurve!$G257</f>
        <v>38.289655860869594</v>
      </c>
      <c r="AG235" s="274">
        <f>[4]EnergyCurve!$Y257</f>
        <v>36.375173067826111</v>
      </c>
      <c r="AH235" s="274">
        <f>[4]EnergyCurve!$AD257</f>
        <v>24.888276309565239</v>
      </c>
      <c r="AI235" s="274">
        <f>[4]EnergyCurve!$L257</f>
        <v>24.888276309565239</v>
      </c>
      <c r="AJ235">
        <f t="shared" si="28"/>
        <v>37.995120046555215</v>
      </c>
      <c r="AK235">
        <f t="shared" si="29"/>
        <v>32.461119357603891</v>
      </c>
      <c r="AM235">
        <f>IF(NymexData!AC235="",VLOOKUP('Pricing Summary'!AB235,NymexData!$S$12:$U$250,3),VLOOKUP(NymexData!AA235,NymexData!$AA$12:$AC$250,3))</f>
        <v>0.17</v>
      </c>
      <c r="AO235" s="370">
        <f>AD235*24*VLOOKUP(AB235,Interest!$X$8:$AC$367,6)</f>
        <v>225.87836075684635</v>
      </c>
    </row>
    <row r="236" spans="28:41" x14ac:dyDescent="0.2">
      <c r="AB236" s="266">
        <f>[4]EnergyCurve!$D258</f>
        <v>44013</v>
      </c>
      <c r="AC236" s="30">
        <f>IF(TradeSum!$L$6=0,VLOOKUP(AB236,TradeSum!$DM$13:$DQ$252,2)+VLOOKUP(AB236,TradeSum!$DU$13:$DY$252,3),VLOOKUP(AB236,TradeSum!$DU$13:$DY$252,2)+VLOOKUP(AB236,TradeSum!$DU$13:$DY$252,3))</f>
        <v>26</v>
      </c>
      <c r="AD236" s="30">
        <f>VLOOKUP(AB236,TradeSum!$DM$13:$DR$252,6)</f>
        <v>31</v>
      </c>
      <c r="AE236" s="30">
        <f>IF(TradeSum!$L$6=0,VLOOKUP(AB236,TradeSum!$DM$13:$DQ$252,2),VLOOKUP(AB236,TradeSum!$DU$13:$DY$252,2))</f>
        <v>23</v>
      </c>
      <c r="AF236" s="274">
        <f>[4]EnergyCurve!$G258</f>
        <v>38.795509285891349</v>
      </c>
      <c r="AG236" s="274">
        <f>[4]EnergyCurve!$Y258</f>
        <v>36.855733821596779</v>
      </c>
      <c r="AH236" s="274">
        <f>[4]EnergyCurve!$AD258</f>
        <v>25.217081035829377</v>
      </c>
      <c r="AI236" s="274">
        <f>[4]EnergyCurve!$L258</f>
        <v>25.217081035829377</v>
      </c>
      <c r="AJ236">
        <f t="shared" si="28"/>
        <v>38.571689040011208</v>
      </c>
      <c r="AK236">
        <f t="shared" si="29"/>
        <v>32.684173683328893</v>
      </c>
      <c r="AM236">
        <f>IF(NymexData!AC236="",VLOOKUP('Pricing Summary'!AB236,NymexData!$S$12:$U$250,3),VLOOKUP(NymexData!AA236,NymexData!$AA$12:$AC$250,3))</f>
        <v>0.17</v>
      </c>
      <c r="AO236" s="370">
        <f>AD236*24*VLOOKUP(AB236,Interest!$X$8:$AC$367,6)</f>
        <v>232.05395932058448</v>
      </c>
    </row>
    <row r="237" spans="28:41" x14ac:dyDescent="0.2">
      <c r="AB237" s="266">
        <f>[4]EnergyCurve!$D259</f>
        <v>44044</v>
      </c>
      <c r="AC237" s="30">
        <f>IF(TradeSum!$L$6=0,VLOOKUP(AB237,TradeSum!$DM$13:$DQ$252,2)+VLOOKUP(AB237,TradeSum!$DU$13:$DY$252,3),VLOOKUP(AB237,TradeSum!$DU$13:$DY$252,2)+VLOOKUP(AB237,TradeSum!$DU$13:$DY$252,3))</f>
        <v>26</v>
      </c>
      <c r="AD237" s="30">
        <f>VLOOKUP(AB237,TradeSum!$DM$13:$DR$252,6)</f>
        <v>31</v>
      </c>
      <c r="AE237" s="30">
        <f>IF(TradeSum!$L$6=0,VLOOKUP(AB237,TradeSum!$DM$13:$DQ$252,2),VLOOKUP(AB237,TradeSum!$DU$13:$DY$252,2))</f>
        <v>21</v>
      </c>
      <c r="AF237" s="274">
        <f>[4]EnergyCurve!$G259</f>
        <v>39.227844575025038</v>
      </c>
      <c r="AG237" s="274">
        <f>[4]EnergyCurve!$Y259</f>
        <v>37.266452346273788</v>
      </c>
      <c r="AH237" s="274">
        <f>[4]EnergyCurve!$AD259</f>
        <v>25.498098973766275</v>
      </c>
      <c r="AI237" s="274">
        <f>[4]EnergyCurve!$L259</f>
        <v>25.498098973766275</v>
      </c>
      <c r="AJ237">
        <f t="shared" si="28"/>
        <v>38.850653761803642</v>
      </c>
      <c r="AK237">
        <f t="shared" si="29"/>
        <v>32.964043586432332</v>
      </c>
      <c r="AM237">
        <f>IF(NymexData!AC237="",VLOOKUP('Pricing Summary'!AB237,NymexData!$S$12:$U$250,3),VLOOKUP(NymexData!AA237,NymexData!$AA$12:$AC$250,3))</f>
        <v>0.17</v>
      </c>
      <c r="AO237" s="370">
        <f>AD237*24*VLOOKUP(AB237,Interest!$X$8:$AC$367,6)</f>
        <v>230.70270341226123</v>
      </c>
    </row>
    <row r="238" spans="28:41" x14ac:dyDescent="0.2">
      <c r="AB238" s="266">
        <f>[4]EnergyCurve!$D260</f>
        <v>44075</v>
      </c>
      <c r="AC238" s="30">
        <f>IF(TradeSum!$L$6=0,VLOOKUP(AB238,TradeSum!$DM$13:$DQ$252,2)+VLOOKUP(AB238,TradeSum!$DU$13:$DY$252,3),VLOOKUP(AB238,TradeSum!$DU$13:$DY$252,2)+VLOOKUP(AB238,TradeSum!$DU$13:$DY$252,3))</f>
        <v>25</v>
      </c>
      <c r="AD238" s="30">
        <f>VLOOKUP(AB238,TradeSum!$DM$13:$DR$252,6)</f>
        <v>30</v>
      </c>
      <c r="AE238" s="30">
        <f>IF(TradeSum!$L$6=0,VLOOKUP(AB238,TradeSum!$DM$13:$DQ$252,2),VLOOKUP(AB238,TradeSum!$DU$13:$DY$252,2))</f>
        <v>21</v>
      </c>
      <c r="AF238" s="274">
        <f>[4]EnergyCurve!$G260</f>
        <v>39.187583897328459</v>
      </c>
      <c r="AG238" s="274">
        <f>[4]EnergyCurve!$Y260</f>
        <v>37.228204702462037</v>
      </c>
      <c r="AH238" s="274">
        <f>[4]EnergyCurve!$AD260</f>
        <v>25.471929533263499</v>
      </c>
      <c r="AI238" s="274">
        <f>[4]EnergyCurve!$L260</f>
        <v>25.471929533263499</v>
      </c>
      <c r="AJ238">
        <f t="shared" si="28"/>
        <v>38.874083226149835</v>
      </c>
      <c r="AK238">
        <f t="shared" si="29"/>
        <v>32.917570473755909</v>
      </c>
      <c r="AM238">
        <f>IF(NymexData!AC238="",VLOOKUP('Pricing Summary'!AB238,NymexData!$S$12:$U$250,3),VLOOKUP(NymexData!AA238,NymexData!$AA$12:$AC$250,3))</f>
        <v>0.17</v>
      </c>
      <c r="AO238" s="370">
        <f>AD238*24*VLOOKUP(AB238,Interest!$X$8:$AC$367,6)</f>
        <v>221.99722531971474</v>
      </c>
    </row>
    <row r="239" spans="28:41" x14ac:dyDescent="0.2">
      <c r="AB239" s="266">
        <f>[4]EnergyCurve!$D261</f>
        <v>44105</v>
      </c>
      <c r="AC239" s="30">
        <f>IF(TradeSum!$L$6=0,VLOOKUP(AB239,TradeSum!$DM$13:$DQ$252,2)+VLOOKUP(AB239,TradeSum!$DU$13:$DY$252,3),VLOOKUP(AB239,TradeSum!$DU$13:$DY$252,2)+VLOOKUP(AB239,TradeSum!$DU$13:$DY$252,3))</f>
        <v>27</v>
      </c>
      <c r="AD239" s="30">
        <f>VLOOKUP(AB239,TradeSum!$DM$13:$DR$252,6)</f>
        <v>31</v>
      </c>
      <c r="AE239" s="30">
        <f>IF(TradeSum!$L$6=0,VLOOKUP(AB239,TradeSum!$DM$13:$DQ$252,2),VLOOKUP(AB239,TradeSum!$DU$13:$DY$252,2))</f>
        <v>22</v>
      </c>
      <c r="AF239" s="274">
        <f>[4]EnergyCurve!$G261</f>
        <v>39.211522995165822</v>
      </c>
      <c r="AG239" s="274">
        <f>[4]EnergyCurve!$Y261</f>
        <v>37.250946845407526</v>
      </c>
      <c r="AH239" s="274">
        <f>[4]EnergyCurve!$AD261</f>
        <v>25.487489946857782</v>
      </c>
      <c r="AI239" s="274">
        <f>[4]EnergyCurve!$L261</f>
        <v>25.487489946857782</v>
      </c>
      <c r="AJ239">
        <f t="shared" si="28"/>
        <v>38.848453337803178</v>
      </c>
      <c r="AK239">
        <f t="shared" si="29"/>
        <v>33.245468689987369</v>
      </c>
      <c r="AM239">
        <f>IF(NymexData!AC239="",VLOOKUP('Pricing Summary'!AB239,NymexData!$S$12:$U$250,3),VLOOKUP(NymexData!AA239,NymexData!$AA$12:$AC$250,3))</f>
        <v>0.17</v>
      </c>
      <c r="AO239" s="370">
        <f>AD239*24*VLOOKUP(AB239,Interest!$X$8:$AC$367,6)</f>
        <v>228.06327608200303</v>
      </c>
    </row>
    <row r="240" spans="28:41" x14ac:dyDescent="0.2">
      <c r="AB240" s="266">
        <f>[4]EnergyCurve!$D262</f>
        <v>44136</v>
      </c>
      <c r="AC240" s="30">
        <f>IF(TradeSum!$L$6=0,VLOOKUP(AB240,TradeSum!$DM$13:$DQ$252,2)+VLOOKUP(AB240,TradeSum!$DU$13:$DY$252,3),VLOOKUP(AB240,TradeSum!$DU$13:$DY$252,2)+VLOOKUP(AB240,TradeSum!$DU$13:$DY$252,3))</f>
        <v>24</v>
      </c>
      <c r="AD240" s="30">
        <f>VLOOKUP(AB240,TradeSum!$DM$13:$DR$252,6)</f>
        <v>30</v>
      </c>
      <c r="AE240" s="30">
        <f>IF(TradeSum!$L$6=0,VLOOKUP(AB240,TradeSum!$DM$13:$DQ$252,2),VLOOKUP(AB240,TradeSum!$DU$13:$DY$252,2))</f>
        <v>20</v>
      </c>
      <c r="AF240" s="274">
        <f>[4]EnergyCurve!$G262</f>
        <v>41.488980318355829</v>
      </c>
      <c r="AG240" s="274">
        <f>[4]EnergyCurve!$Y262</f>
        <v>39.414531302438036</v>
      </c>
      <c r="AH240" s="274">
        <f>[4]EnergyCurve!$AD262</f>
        <v>26.967837206931289</v>
      </c>
      <c r="AI240" s="274">
        <f>[4]EnergyCurve!$L262</f>
        <v>26.967837206931289</v>
      </c>
      <c r="AJ240">
        <f t="shared" si="28"/>
        <v>41.143238815702865</v>
      </c>
      <c r="AK240">
        <f t="shared" si="29"/>
        <v>34.528051398276133</v>
      </c>
      <c r="AM240">
        <f>IF(NymexData!AC240="",VLOOKUP('Pricing Summary'!AB240,NymexData!$S$12:$U$250,3),VLOOKUP(NymexData!AA240,NymexData!$AA$12:$AC$250,3))</f>
        <v>0.17</v>
      </c>
      <c r="AO240" s="370">
        <f>AD240*24*VLOOKUP(AB240,Interest!$X$8:$AC$367,6)</f>
        <v>219.45520367063787</v>
      </c>
    </row>
    <row r="241" spans="28:41" x14ac:dyDescent="0.2">
      <c r="AB241" s="266">
        <f>[4]EnergyCurve!$D263</f>
        <v>44166</v>
      </c>
      <c r="AC241" s="30">
        <f>IF(TradeSum!$L$6=0,VLOOKUP(AB241,TradeSum!$DM$13:$DQ$252,2)+VLOOKUP(AB241,TradeSum!$DU$13:$DY$252,3),VLOOKUP(AB241,TradeSum!$DU$13:$DY$252,2)+VLOOKUP(AB241,TradeSum!$DU$13:$DY$252,3))</f>
        <v>26</v>
      </c>
      <c r="AD241" s="30">
        <f>VLOOKUP(AB241,TradeSum!$DM$13:$DR$252,6)</f>
        <v>31</v>
      </c>
      <c r="AE241" s="30">
        <f>IF(TradeSum!$L$6=0,VLOOKUP(AB241,TradeSum!$DM$13:$DQ$252,2),VLOOKUP(AB241,TradeSum!$DU$13:$DY$252,2))</f>
        <v>22</v>
      </c>
      <c r="AF241" s="274">
        <f>[4]EnergyCurve!$G263</f>
        <v>43.15428165929039</v>
      </c>
      <c r="AG241" s="274">
        <f>[4]EnergyCurve!$Y263</f>
        <v>40.996567576325866</v>
      </c>
      <c r="AH241" s="274">
        <f>[4]EnergyCurve!$AD263</f>
        <v>28.050283078538754</v>
      </c>
      <c r="AI241" s="274">
        <f>[4]EnergyCurve!$L263</f>
        <v>28.050283078538754</v>
      </c>
      <c r="AJ241">
        <f t="shared" si="28"/>
        <v>42.822325646526615</v>
      </c>
      <c r="AK241">
        <f t="shared" si="29"/>
        <v>36.309919783220145</v>
      </c>
      <c r="AM241">
        <f>IF(NymexData!AC241="",VLOOKUP('Pricing Summary'!AB241,NymexData!$S$12:$U$250,3),VLOOKUP(NymexData!AA241,NymexData!$AA$12:$AC$250,3))</f>
        <v>0.17</v>
      </c>
      <c r="AO241" s="370">
        <f>AD241*24*VLOOKUP(AB241,Interest!$X$8:$AC$367,6)</f>
        <v>225.44954191006076</v>
      </c>
    </row>
    <row r="242" spans="28:41" x14ac:dyDescent="0.2">
      <c r="AB242" s="266">
        <f>[4]EnergyCurve!$D264</f>
        <v>44197</v>
      </c>
      <c r="AC242" s="30">
        <f>IF(TradeSum!$L$6=0,VLOOKUP(AB242,TradeSum!$DM$13:$DQ$252,2)+VLOOKUP(AB242,TradeSum!$DU$13:$DY$252,3),VLOOKUP(AB242,TradeSum!$DU$13:$DY$252,2)+VLOOKUP(AB242,TradeSum!$DU$13:$DY$252,3))</f>
        <v>26</v>
      </c>
      <c r="AD242" s="30">
        <f>VLOOKUP(AB242,TradeSum!$DM$13:$DR$252,6)</f>
        <v>31</v>
      </c>
      <c r="AE242" s="30">
        <f>IF(TradeSum!$L$6=0,VLOOKUP(AB242,TradeSum!$DM$13:$DQ$252,2),VLOOKUP(AB242,TradeSum!$DU$13:$DY$252,2))</f>
        <v>22</v>
      </c>
      <c r="AF242" s="274">
        <f>[4]EnergyCurve!$G264</f>
        <v>43.15428165929039</v>
      </c>
      <c r="AG242" s="274">
        <f>[4]EnergyCurve!$Y264</f>
        <v>40.996567576325866</v>
      </c>
      <c r="AH242" s="274">
        <f>[4]EnergyCurve!$AD264</f>
        <v>28.050283078538754</v>
      </c>
      <c r="AI242" s="274">
        <f>[4]EnergyCurve!$L264</f>
        <v>28.050283078538754</v>
      </c>
      <c r="AJ242">
        <f t="shared" si="28"/>
        <v>42.822325646526615</v>
      </c>
      <c r="AK242">
        <f t="shared" si="29"/>
        <v>36.309919783220145</v>
      </c>
      <c r="AM242">
        <f>IF(NymexData!AC242="",VLOOKUP('Pricing Summary'!AB242,NymexData!$S$12:$U$250,3),VLOOKUP(NymexData!AA242,NymexData!$AA$12:$AC$250,3))</f>
        <v>0.17</v>
      </c>
      <c r="AO242" s="370">
        <f>AD242*24*VLOOKUP(AB242,Interest!$X$8:$AC$367,6)</f>
        <v>224.13103613185206</v>
      </c>
    </row>
    <row r="243" spans="28:41" x14ac:dyDescent="0.2">
      <c r="AB243" s="266">
        <f>[4]EnergyCurve!$D265</f>
        <v>44228</v>
      </c>
      <c r="AC243" s="30">
        <f>IF(TradeSum!$L$6=0,VLOOKUP(AB243,TradeSum!$DM$13:$DQ$252,2)+VLOOKUP(AB243,TradeSum!$DU$13:$DY$252,3),VLOOKUP(AB243,TradeSum!$DU$13:$DY$252,2)+VLOOKUP(AB243,TradeSum!$DU$13:$DY$252,3))</f>
        <v>26</v>
      </c>
      <c r="AD243" s="30">
        <f>VLOOKUP(AB243,TradeSum!$DM$13:$DR$252,6)</f>
        <v>31</v>
      </c>
      <c r="AE243" s="30">
        <f>IF(TradeSum!$L$6=0,VLOOKUP(AB243,TradeSum!$DM$13:$DQ$252,2),VLOOKUP(AB243,TradeSum!$DU$13:$DY$252,2))</f>
        <v>22</v>
      </c>
      <c r="AF243" s="274">
        <f>[4]EnergyCurve!$G265</f>
        <v>43.15428165929039</v>
      </c>
      <c r="AG243" s="274">
        <f>[4]EnergyCurve!$Y265</f>
        <v>40.996567576325866</v>
      </c>
      <c r="AH243" s="274">
        <f>[4]EnergyCurve!$AD265</f>
        <v>28.050283078538754</v>
      </c>
      <c r="AI243" s="274">
        <f>[4]EnergyCurve!$L265</f>
        <v>28.050283078538754</v>
      </c>
      <c r="AJ243">
        <f t="shared" si="28"/>
        <v>42.822325646526615</v>
      </c>
      <c r="AK243">
        <f t="shared" si="29"/>
        <v>36.309919783220145</v>
      </c>
      <c r="AM243">
        <f>IF(NymexData!AC243="",VLOOKUP('Pricing Summary'!AB243,NymexData!$S$12:$U$250,3),VLOOKUP(NymexData!AA243,NymexData!$AA$12:$AC$250,3))</f>
        <v>0.17</v>
      </c>
      <c r="AO243" s="370">
        <f>AD243*24*VLOOKUP(AB243,Interest!$X$8:$AC$367,6)</f>
        <v>222.9330517336534</v>
      </c>
    </row>
    <row r="244" spans="28:41" x14ac:dyDescent="0.2">
      <c r="AB244" s="266">
        <f>[4]EnergyCurve!$D266</f>
        <v>44256</v>
      </c>
      <c r="AC244" s="30">
        <f>IF(TradeSum!$L$6=0,VLOOKUP(AB244,TradeSum!$DM$13:$DQ$252,2)+VLOOKUP(AB244,TradeSum!$DU$13:$DY$252,3),VLOOKUP(AB244,TradeSum!$DU$13:$DY$252,2)+VLOOKUP(AB244,TradeSum!$DU$13:$DY$252,3))</f>
        <v>26</v>
      </c>
      <c r="AD244" s="30">
        <f>VLOOKUP(AB244,TradeSum!$DM$13:$DR$252,6)</f>
        <v>31</v>
      </c>
      <c r="AE244" s="30">
        <f>IF(TradeSum!$L$6=0,VLOOKUP(AB244,TradeSum!$DM$13:$DQ$252,2),VLOOKUP(AB244,TradeSum!$DU$13:$DY$252,2))</f>
        <v>22</v>
      </c>
      <c r="AF244" s="274">
        <f>[4]EnergyCurve!$G266</f>
        <v>43.15428165929039</v>
      </c>
      <c r="AG244" s="274">
        <f>[4]EnergyCurve!$Y266</f>
        <v>40.996567576325866</v>
      </c>
      <c r="AH244" s="274">
        <f>[4]EnergyCurve!$AD266</f>
        <v>28.050283078538754</v>
      </c>
      <c r="AI244" s="274">
        <f>[4]EnergyCurve!$L266</f>
        <v>28.050283078538754</v>
      </c>
      <c r="AJ244">
        <f t="shared" si="28"/>
        <v>42.822325646526615</v>
      </c>
      <c r="AK244">
        <f t="shared" si="29"/>
        <v>36.309919783220145</v>
      </c>
      <c r="AM244">
        <f>IF(NymexData!AC244="",VLOOKUP('Pricing Summary'!AB244,NymexData!$S$12:$U$250,3),VLOOKUP(NymexData!AA244,NymexData!$AA$12:$AC$250,3))</f>
        <v>0.17</v>
      </c>
      <c r="AO244" s="370">
        <f>AD244*24*VLOOKUP(AB244,Interest!$X$8:$AC$367,6)</f>
        <v>221.6397289673134</v>
      </c>
    </row>
    <row r="245" spans="28:41" x14ac:dyDescent="0.2">
      <c r="AB245" s="266">
        <f>[4]EnergyCurve!$D267</f>
        <v>44287</v>
      </c>
      <c r="AC245" s="30">
        <f>IF(TradeSum!$L$6=0,VLOOKUP(AB245,TradeSum!$DM$13:$DQ$252,2)+VLOOKUP(AB245,TradeSum!$DU$13:$DY$252,3),VLOOKUP(AB245,TradeSum!$DU$13:$DY$252,2)+VLOOKUP(AB245,TradeSum!$DU$13:$DY$252,3))</f>
        <v>26</v>
      </c>
      <c r="AD245" s="30">
        <f>VLOOKUP(AB245,TradeSum!$DM$13:$DR$252,6)</f>
        <v>31</v>
      </c>
      <c r="AE245" s="30">
        <f>IF(TradeSum!$L$6=0,VLOOKUP(AB245,TradeSum!$DM$13:$DQ$252,2),VLOOKUP(AB245,TradeSum!$DU$13:$DY$252,2))</f>
        <v>22</v>
      </c>
      <c r="AF245" s="274">
        <f>[4]EnergyCurve!$G267</f>
        <v>43.15428165929039</v>
      </c>
      <c r="AG245" s="274">
        <f>[4]EnergyCurve!$Y267</f>
        <v>40.996567576325866</v>
      </c>
      <c r="AH245" s="274">
        <f>[4]EnergyCurve!$AD267</f>
        <v>28.050283078538754</v>
      </c>
      <c r="AI245" s="274">
        <f>[4]EnergyCurve!$L267</f>
        <v>28.050283078538754</v>
      </c>
      <c r="AJ245">
        <f t="shared" si="28"/>
        <v>42.822325646526615</v>
      </c>
      <c r="AK245">
        <f t="shared" si="29"/>
        <v>36.309919783220145</v>
      </c>
      <c r="AM245">
        <f>IF(NymexData!AC245="",VLOOKUP('Pricing Summary'!AB245,NymexData!$S$12:$U$250,3),VLOOKUP(NymexData!AA245,NymexData!$AA$12:$AC$250,3))</f>
        <v>0.17</v>
      </c>
      <c r="AO245" s="370">
        <f>AD245*24*VLOOKUP(AB245,Interest!$X$8:$AC$367,6)</f>
        <v>220.37779656734085</v>
      </c>
    </row>
    <row r="246" spans="28:41" x14ac:dyDescent="0.2">
      <c r="AB246" s="266">
        <f>[4]EnergyCurve!$D268</f>
        <v>44317</v>
      </c>
      <c r="AC246" s="30">
        <f>IF(TradeSum!$L$6=0,VLOOKUP(AB246,TradeSum!$DM$13:$DQ$252,2)+VLOOKUP(AB246,TradeSum!$DU$13:$DY$252,3),VLOOKUP(AB246,TradeSum!$DU$13:$DY$252,2)+VLOOKUP(AB246,TradeSum!$DU$13:$DY$252,3))</f>
        <v>26</v>
      </c>
      <c r="AD246" s="30">
        <f>VLOOKUP(AB246,TradeSum!$DM$13:$DR$252,6)</f>
        <v>31</v>
      </c>
      <c r="AE246" s="30">
        <f>IF(TradeSum!$L$6=0,VLOOKUP(AB246,TradeSum!$DM$13:$DQ$252,2),VLOOKUP(AB246,TradeSum!$DU$13:$DY$252,2))</f>
        <v>22</v>
      </c>
      <c r="AF246" s="274">
        <f>[4]EnergyCurve!$G268</f>
        <v>43.15428165929039</v>
      </c>
      <c r="AG246" s="274">
        <f>[4]EnergyCurve!$Y268</f>
        <v>40.996567576325866</v>
      </c>
      <c r="AH246" s="274">
        <f>[4]EnergyCurve!$AD268</f>
        <v>28.050283078538754</v>
      </c>
      <c r="AI246" s="274">
        <f>[4]EnergyCurve!$L268</f>
        <v>28.050283078538754</v>
      </c>
      <c r="AJ246">
        <f t="shared" si="28"/>
        <v>42.822325646526615</v>
      </c>
      <c r="AK246">
        <f t="shared" si="29"/>
        <v>36.309919783220145</v>
      </c>
      <c r="AM246">
        <f>IF(NymexData!AC246="",VLOOKUP('Pricing Summary'!AB246,NymexData!$S$12:$U$250,3),VLOOKUP(NymexData!AA246,NymexData!$AA$12:$AC$250,3))</f>
        <v>0.17</v>
      </c>
      <c r="AO246" s="370">
        <f>AD246*24*VLOOKUP(AB246,Interest!$X$8:$AC$367,6)</f>
        <v>219.08877816993859</v>
      </c>
    </row>
    <row r="247" spans="28:41" x14ac:dyDescent="0.2">
      <c r="AB247" s="266">
        <f>[4]EnergyCurve!$D269</f>
        <v>44348</v>
      </c>
      <c r="AC247" s="30">
        <f>IF(TradeSum!$L$6=0,VLOOKUP(AB247,TradeSum!$DM$13:$DQ$252,2)+VLOOKUP(AB247,TradeSum!$DU$13:$DY$252,3),VLOOKUP(AB247,TradeSum!$DU$13:$DY$252,2)+VLOOKUP(AB247,TradeSum!$DU$13:$DY$252,3))</f>
        <v>26</v>
      </c>
      <c r="AD247" s="30">
        <f>VLOOKUP(AB247,TradeSum!$DM$13:$DR$252,6)</f>
        <v>31</v>
      </c>
      <c r="AE247" s="30">
        <f>IF(TradeSum!$L$6=0,VLOOKUP(AB247,TradeSum!$DM$13:$DQ$252,2),VLOOKUP(AB247,TradeSum!$DU$13:$DY$252,2))</f>
        <v>22</v>
      </c>
      <c r="AF247" s="274">
        <f>[4]EnergyCurve!$G269</f>
        <v>43.15428165929039</v>
      </c>
      <c r="AG247" s="274">
        <f>[4]EnergyCurve!$Y269</f>
        <v>40.996567576325866</v>
      </c>
      <c r="AH247" s="274">
        <f>[4]EnergyCurve!$AD269</f>
        <v>28.050283078538754</v>
      </c>
      <c r="AI247" s="274">
        <f>[4]EnergyCurve!$L269</f>
        <v>28.050283078538754</v>
      </c>
      <c r="AJ247">
        <f t="shared" si="28"/>
        <v>42.822325646526615</v>
      </c>
      <c r="AK247">
        <f t="shared" si="29"/>
        <v>36.309919783220145</v>
      </c>
      <c r="AM247">
        <f>IF(NymexData!AC247="",VLOOKUP('Pricing Summary'!AB247,NymexData!$S$12:$U$250,3),VLOOKUP(NymexData!AA247,NymexData!$AA$12:$AC$250,3))</f>
        <v>0.17</v>
      </c>
      <c r="AO247" s="370">
        <f>AD247*24*VLOOKUP(AB247,Interest!$X$8:$AC$367,6)</f>
        <v>217.83919430021459</v>
      </c>
    </row>
    <row r="248" spans="28:41" x14ac:dyDescent="0.2">
      <c r="AB248" s="266">
        <f>[4]EnergyCurve!$D270</f>
        <v>44378</v>
      </c>
      <c r="AC248" s="30">
        <f>IF(TradeSum!$L$6=0,VLOOKUP(AB248,TradeSum!$DM$13:$DQ$252,2)+VLOOKUP(AB248,TradeSum!$DU$13:$DY$252,3),VLOOKUP(AB248,TradeSum!$DU$13:$DY$252,2)+VLOOKUP(AB248,TradeSum!$DU$13:$DY$252,3))</f>
        <v>26</v>
      </c>
      <c r="AD248" s="30">
        <f>VLOOKUP(AB248,TradeSum!$DM$13:$DR$252,6)</f>
        <v>31</v>
      </c>
      <c r="AE248" s="30">
        <f>IF(TradeSum!$L$6=0,VLOOKUP(AB248,TradeSum!$DM$13:$DQ$252,2),VLOOKUP(AB248,TradeSum!$DU$13:$DY$252,2))</f>
        <v>22</v>
      </c>
      <c r="AF248" s="274">
        <f>[4]EnergyCurve!$G270</f>
        <v>43.15428165929039</v>
      </c>
      <c r="AG248" s="274">
        <f>[4]EnergyCurve!$Y270</f>
        <v>40.996567576325866</v>
      </c>
      <c r="AH248" s="274">
        <f>[4]EnergyCurve!$AD270</f>
        <v>28.050283078538754</v>
      </c>
      <c r="AI248" s="274">
        <f>[4]EnergyCurve!$L270</f>
        <v>28.050283078538754</v>
      </c>
      <c r="AJ248">
        <f t="shared" si="28"/>
        <v>42.822325646526615</v>
      </c>
      <c r="AK248">
        <f t="shared" si="29"/>
        <v>36.309919783220145</v>
      </c>
      <c r="AM248">
        <f>IF(NymexData!AC248="",VLOOKUP('Pricing Summary'!AB248,NymexData!$S$12:$U$250,3),VLOOKUP(NymexData!AA248,NymexData!$AA$12:$AC$250,3))</f>
        <v>0.17</v>
      </c>
      <c r="AO248" s="370">
        <f>AD248*24*VLOOKUP(AB248,Interest!$X$8:$AC$367,6)</f>
        <v>216.5628615741102</v>
      </c>
    </row>
    <row r="249" spans="28:41" x14ac:dyDescent="0.2">
      <c r="AB249" s="266">
        <f>[4]EnergyCurve!$D271</f>
        <v>44409</v>
      </c>
      <c r="AC249" s="30">
        <f>IF(TradeSum!$L$6=0,VLOOKUP(AB249,TradeSum!$DM$13:$DQ$252,2)+VLOOKUP(AB249,TradeSum!$DU$13:$DY$252,3),VLOOKUP(AB249,TradeSum!$DU$13:$DY$252,2)+VLOOKUP(AB249,TradeSum!$DU$13:$DY$252,3))</f>
        <v>26</v>
      </c>
      <c r="AD249" s="30">
        <f>VLOOKUP(AB249,TradeSum!$DM$13:$DR$252,6)</f>
        <v>31</v>
      </c>
      <c r="AE249" s="30">
        <f>IF(TradeSum!$L$6=0,VLOOKUP(AB249,TradeSum!$DM$13:$DQ$252,2),VLOOKUP(AB249,TradeSum!$DU$13:$DY$252,2))</f>
        <v>22</v>
      </c>
      <c r="AF249" s="274">
        <f>[4]EnergyCurve!$G271</f>
        <v>43.15428165929039</v>
      </c>
      <c r="AG249" s="274">
        <f>[4]EnergyCurve!$Y271</f>
        <v>40.996567576325866</v>
      </c>
      <c r="AH249" s="274">
        <f>[4]EnergyCurve!$AD271</f>
        <v>28.050283078538754</v>
      </c>
      <c r="AI249" s="274">
        <f>[4]EnergyCurve!$L271</f>
        <v>28.050283078538754</v>
      </c>
      <c r="AJ249">
        <f t="shared" si="28"/>
        <v>42.822325646526615</v>
      </c>
      <c r="AK249">
        <f t="shared" si="29"/>
        <v>36.309919783220145</v>
      </c>
      <c r="AM249">
        <f>IF(NymexData!AC249="",VLOOKUP('Pricing Summary'!AB249,NymexData!$S$12:$U$250,3),VLOOKUP(NymexData!AA249,NymexData!$AA$12:$AC$250,3))</f>
        <v>0.17</v>
      </c>
    </row>
    <row r="250" spans="28:41" x14ac:dyDescent="0.2">
      <c r="AB250" s="266">
        <f>[4]EnergyCurve!$D272</f>
        <v>44440</v>
      </c>
      <c r="AC250" s="30">
        <f>IF(TradeSum!$L$6=0,VLOOKUP(AB250,TradeSum!$DM$13:$DQ$252,2)+VLOOKUP(AB250,TradeSum!$DU$13:$DY$252,3),VLOOKUP(AB250,TradeSum!$DU$13:$DY$252,2)+VLOOKUP(AB250,TradeSum!$DU$13:$DY$252,3))</f>
        <v>26</v>
      </c>
      <c r="AD250" s="30">
        <f>VLOOKUP(AB250,TradeSum!$DM$13:$DR$252,6)</f>
        <v>31</v>
      </c>
      <c r="AE250" s="30">
        <f>IF(TradeSum!$L$6=0,VLOOKUP(AB250,TradeSum!$DM$13:$DQ$252,2),VLOOKUP(AB250,TradeSum!$DU$13:$DY$252,2))</f>
        <v>22</v>
      </c>
      <c r="AF250" s="274">
        <f>[4]EnergyCurve!$G272</f>
        <v>43.15428165929039</v>
      </c>
      <c r="AG250" s="274">
        <f>[4]EnergyCurve!$Y272</f>
        <v>40.996567576325866</v>
      </c>
      <c r="AH250" s="274">
        <f>[4]EnergyCurve!$AD272</f>
        <v>28.050283078538754</v>
      </c>
      <c r="AI250" s="274">
        <f>[4]EnergyCurve!$L272</f>
        <v>28.050283078538754</v>
      </c>
      <c r="AJ250">
        <f t="shared" si="28"/>
        <v>42.822325646526615</v>
      </c>
      <c r="AK250">
        <f t="shared" si="29"/>
        <v>36.309919783220145</v>
      </c>
      <c r="AM250">
        <f>IF(NymexData!AC250="",VLOOKUP('Pricing Summary'!AB250,NymexData!$S$12:$U$250,3),VLOOKUP(NymexData!AA250,NymexData!$AA$12:$AC$250,3))</f>
        <v>0.17</v>
      </c>
    </row>
    <row r="251" spans="28:41" x14ac:dyDescent="0.2">
      <c r="AB251" s="266"/>
    </row>
    <row r="252" spans="28:41" x14ac:dyDescent="0.2">
      <c r="AB252" s="266"/>
    </row>
    <row r="253" spans="28:41" x14ac:dyDescent="0.2">
      <c r="AB253" s="266"/>
    </row>
    <row r="254" spans="28:41" x14ac:dyDescent="0.2">
      <c r="AB254" s="266"/>
    </row>
    <row r="255" spans="28:41" x14ac:dyDescent="0.2">
      <c r="AB255" s="266"/>
    </row>
    <row r="256" spans="28:41" x14ac:dyDescent="0.2">
      <c r="AB256" s="266"/>
    </row>
    <row r="257" spans="28:28" x14ac:dyDescent="0.2">
      <c r="AB257" s="266"/>
    </row>
    <row r="258" spans="28:28" x14ac:dyDescent="0.2">
      <c r="AB258" s="266"/>
    </row>
    <row r="259" spans="28:28" x14ac:dyDescent="0.2">
      <c r="AB259" s="266"/>
    </row>
    <row r="260" spans="28:28" x14ac:dyDescent="0.2">
      <c r="AB260" s="266"/>
    </row>
    <row r="261" spans="28:28" x14ac:dyDescent="0.2">
      <c r="AB261" s="266"/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T446"/>
  <sheetViews>
    <sheetView zoomScale="75" workbookViewId="0">
      <selection activeCell="L30" sqref="L30"/>
    </sheetView>
  </sheetViews>
  <sheetFormatPr defaultRowHeight="12.75" x14ac:dyDescent="0.2"/>
  <cols>
    <col min="1" max="1" width="17.5703125" customWidth="1"/>
    <col min="2" max="4" width="14.85546875" bestFit="1" customWidth="1"/>
    <col min="5" max="5" width="9.7109375" customWidth="1"/>
    <col min="6" max="6" width="10.42578125" customWidth="1"/>
    <col min="7" max="7" width="13.85546875" customWidth="1"/>
    <col min="8" max="8" width="17.42578125" customWidth="1"/>
    <col min="9" max="9" width="17.85546875" customWidth="1"/>
    <col min="10" max="10" width="16.28515625" customWidth="1"/>
    <col min="12" max="12" width="19.140625" bestFit="1" customWidth="1"/>
    <col min="13" max="13" width="18" customWidth="1"/>
    <col min="17" max="17" width="12.140625" bestFit="1" customWidth="1"/>
    <col min="19" max="19" width="10.85546875" bestFit="1" customWidth="1"/>
    <col min="62" max="62" width="17.42578125" bestFit="1" customWidth="1"/>
    <col min="64" max="64" width="13" bestFit="1" customWidth="1"/>
  </cols>
  <sheetData>
    <row r="1" spans="1:71" ht="13.5" thickBot="1" x14ac:dyDescent="0.25"/>
    <row r="2" spans="1:71" ht="21" thickBot="1" x14ac:dyDescent="0.35">
      <c r="A2" s="366" t="s">
        <v>154</v>
      </c>
      <c r="I2" s="102" t="s">
        <v>151</v>
      </c>
      <c r="J2" s="103"/>
      <c r="L2" s="102" t="s">
        <v>153</v>
      </c>
      <c r="M2" s="103"/>
    </row>
    <row r="3" spans="1:71" ht="16.5" thickBot="1" x14ac:dyDescent="0.3">
      <c r="A3" s="64" t="s">
        <v>155</v>
      </c>
      <c r="B3" s="367">
        <v>37987</v>
      </c>
      <c r="C3" s="377">
        <f>BT189</f>
        <v>3.9815551819825687</v>
      </c>
      <c r="I3" s="104" t="s">
        <v>0</v>
      </c>
      <c r="J3" s="246">
        <f>SUM(H12:H188)</f>
        <v>11820038.646533195</v>
      </c>
      <c r="L3" s="104" t="s">
        <v>0</v>
      </c>
      <c r="M3" s="246">
        <f>J3+J191+J320</f>
        <v>11578586.995980749</v>
      </c>
    </row>
    <row r="4" spans="1:71" ht="16.5" thickBot="1" x14ac:dyDescent="0.3">
      <c r="A4" s="40" t="s">
        <v>156</v>
      </c>
      <c r="B4" s="369">
        <v>40543</v>
      </c>
      <c r="I4" s="104" t="s">
        <v>1</v>
      </c>
      <c r="J4" s="246">
        <f>SUM(I12:I188)</f>
        <v>-87134.180473048546</v>
      </c>
      <c r="L4" s="104" t="s">
        <v>1</v>
      </c>
      <c r="M4" s="246">
        <f>J4+J192+J321</f>
        <v>-87134.180473048546</v>
      </c>
    </row>
    <row r="5" spans="1:71" ht="16.5" thickBot="1" x14ac:dyDescent="0.3">
      <c r="I5" s="102" t="s">
        <v>143</v>
      </c>
      <c r="J5" s="247">
        <f>J3+J4</f>
        <v>11732904.466060147</v>
      </c>
      <c r="L5" s="102" t="s">
        <v>143</v>
      </c>
      <c r="M5" s="247">
        <f>M3+M4</f>
        <v>11491452.815507701</v>
      </c>
    </row>
    <row r="6" spans="1:71" ht="16.5" thickBot="1" x14ac:dyDescent="0.3">
      <c r="I6" s="102" t="s">
        <v>144</v>
      </c>
      <c r="J6" s="247">
        <f>SUM(BL12:BL188)</f>
        <v>18515665.622200515</v>
      </c>
      <c r="L6" s="102" t="s">
        <v>144</v>
      </c>
      <c r="M6" s="247">
        <f>J6+J194+J323</f>
        <v>18134800.829940766</v>
      </c>
    </row>
    <row r="8" spans="1:71" ht="34.5" thickBot="1" x14ac:dyDescent="0.55000000000000004">
      <c r="A8" s="236" t="s">
        <v>129</v>
      </c>
      <c r="B8" s="70"/>
      <c r="C8" s="69"/>
      <c r="D8" s="69"/>
      <c r="E8" s="69"/>
      <c r="F8" s="69"/>
      <c r="G8" s="69"/>
      <c r="H8" s="69"/>
      <c r="I8" s="69"/>
      <c r="J8" s="69"/>
      <c r="K8" s="69"/>
      <c r="L8" s="69"/>
      <c r="M8" s="69"/>
      <c r="O8" s="25"/>
      <c r="P8" s="25"/>
      <c r="Q8" s="25"/>
      <c r="R8" s="25"/>
      <c r="S8" s="25"/>
      <c r="T8" s="25"/>
      <c r="U8" s="25"/>
      <c r="V8" s="25"/>
      <c r="W8" s="25"/>
      <c r="X8" s="25"/>
      <c r="Y8" s="25"/>
      <c r="Z8" s="25"/>
      <c r="AA8" s="25"/>
      <c r="AB8" s="25"/>
      <c r="AC8" s="25"/>
      <c r="AD8" s="25"/>
      <c r="AE8" s="25"/>
      <c r="AF8" s="25"/>
      <c r="AG8" s="25"/>
      <c r="AH8" s="25"/>
      <c r="AI8" s="25"/>
      <c r="AJ8" s="25"/>
      <c r="AK8" s="25"/>
      <c r="AL8" s="25"/>
      <c r="AM8" s="25"/>
      <c r="AN8" s="25"/>
      <c r="AO8" s="25"/>
      <c r="AP8" s="25"/>
      <c r="AQ8" s="25"/>
      <c r="AR8" s="25"/>
      <c r="AS8" s="25"/>
      <c r="AT8" s="25"/>
      <c r="AU8" s="25"/>
      <c r="AV8" s="25"/>
      <c r="AW8" s="25"/>
      <c r="AX8" s="25"/>
      <c r="AY8" s="25"/>
      <c r="AZ8" s="25"/>
      <c r="BA8" s="25"/>
      <c r="BB8" s="25"/>
      <c r="BC8" s="25"/>
      <c r="BD8" s="25"/>
      <c r="BE8" s="25"/>
      <c r="BF8" s="25"/>
      <c r="BG8" s="25"/>
      <c r="BH8" s="25"/>
      <c r="BI8" s="25"/>
      <c r="BJ8" s="25"/>
      <c r="BK8" s="25"/>
    </row>
    <row r="9" spans="1:71" ht="18.75" thickBot="1" x14ac:dyDescent="0.3">
      <c r="A9" s="69"/>
      <c r="B9" s="70"/>
      <c r="C9" s="69"/>
      <c r="D9" s="69"/>
      <c r="E9" s="337"/>
      <c r="F9" s="338"/>
      <c r="G9" s="339"/>
      <c r="H9" s="340"/>
      <c r="I9" s="340"/>
      <c r="J9" s="340"/>
      <c r="K9" s="71"/>
      <c r="L9" s="64" t="s">
        <v>130</v>
      </c>
      <c r="M9" s="69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</row>
    <row r="10" spans="1:71" ht="13.5" thickBot="1" x14ac:dyDescent="0.25">
      <c r="A10" s="64"/>
      <c r="B10" s="64" t="s">
        <v>2</v>
      </c>
      <c r="C10" s="64" t="s">
        <v>131</v>
      </c>
      <c r="D10" s="64" t="s">
        <v>4</v>
      </c>
      <c r="E10" s="153" t="s">
        <v>18</v>
      </c>
      <c r="F10" s="153"/>
      <c r="G10" s="153" t="s">
        <v>19</v>
      </c>
      <c r="H10" s="153" t="s">
        <v>5</v>
      </c>
      <c r="I10" s="336" t="s">
        <v>6</v>
      </c>
      <c r="J10" s="336"/>
      <c r="L10" s="323">
        <v>1368157</v>
      </c>
      <c r="M10" s="69"/>
      <c r="O10" s="33"/>
      <c r="P10" s="34">
        <v>1</v>
      </c>
      <c r="Q10" s="35"/>
      <c r="R10" s="34">
        <v>2</v>
      </c>
      <c r="S10" s="35"/>
      <c r="T10" s="34">
        <v>3</v>
      </c>
      <c r="U10" s="35"/>
      <c r="V10" s="34">
        <v>4</v>
      </c>
      <c r="W10" s="35"/>
      <c r="X10" s="34">
        <v>5</v>
      </c>
      <c r="Y10" s="35"/>
      <c r="Z10" s="34">
        <v>6</v>
      </c>
      <c r="AA10" s="35"/>
      <c r="AB10" s="34">
        <v>7</v>
      </c>
      <c r="AC10" s="35"/>
      <c r="AD10" s="34">
        <v>8</v>
      </c>
      <c r="AE10" s="35"/>
      <c r="AF10" s="34">
        <v>9</v>
      </c>
      <c r="AG10" s="35"/>
      <c r="AH10" s="34">
        <v>10</v>
      </c>
      <c r="AI10" s="35"/>
      <c r="AJ10" s="34">
        <v>11</v>
      </c>
      <c r="AK10" s="35"/>
      <c r="AL10" s="34">
        <v>12</v>
      </c>
      <c r="AM10" s="35"/>
      <c r="AN10" s="34">
        <v>13</v>
      </c>
      <c r="AO10" s="35"/>
      <c r="AP10" s="34">
        <v>14</v>
      </c>
      <c r="AQ10" s="35"/>
      <c r="AR10" s="34">
        <v>15</v>
      </c>
      <c r="AS10" s="35"/>
      <c r="AT10" s="34">
        <v>16</v>
      </c>
      <c r="AU10" s="35"/>
      <c r="AV10" s="34">
        <v>17</v>
      </c>
      <c r="AW10" s="35"/>
      <c r="AX10" s="34">
        <v>18</v>
      </c>
      <c r="AY10" s="35"/>
      <c r="AZ10" s="34">
        <v>19</v>
      </c>
      <c r="BA10" s="35"/>
      <c r="BB10" s="34">
        <v>20</v>
      </c>
      <c r="BC10" s="35"/>
      <c r="BD10" s="36" t="s">
        <v>26</v>
      </c>
      <c r="BE10" s="37" t="s">
        <v>27</v>
      </c>
      <c r="BF10" s="32"/>
      <c r="BG10" s="32"/>
      <c r="BH10" s="32" t="s">
        <v>28</v>
      </c>
      <c r="BI10" s="32"/>
      <c r="BJ10" s="32" t="s">
        <v>29</v>
      </c>
      <c r="BK10" s="32"/>
      <c r="BL10" t="s">
        <v>145</v>
      </c>
    </row>
    <row r="11" spans="1:71" ht="13.5" thickBot="1" x14ac:dyDescent="0.25">
      <c r="A11" s="40" t="s">
        <v>7</v>
      </c>
      <c r="B11" s="40" t="s">
        <v>132</v>
      </c>
      <c r="C11" s="40" t="s">
        <v>132</v>
      </c>
      <c r="D11" s="40" t="s">
        <v>132</v>
      </c>
      <c r="E11" s="40" t="s">
        <v>32</v>
      </c>
      <c r="F11" s="40" t="s">
        <v>33</v>
      </c>
      <c r="G11" s="40" t="s">
        <v>32</v>
      </c>
      <c r="H11" s="40" t="s">
        <v>11</v>
      </c>
      <c r="I11" s="42" t="s">
        <v>12</v>
      </c>
      <c r="J11" s="42" t="s">
        <v>13</v>
      </c>
      <c r="M11" s="69"/>
      <c r="O11" s="40" t="s">
        <v>7</v>
      </c>
      <c r="P11" s="41" t="s">
        <v>37</v>
      </c>
      <c r="Q11" s="42" t="s">
        <v>32</v>
      </c>
      <c r="R11" s="41" t="s">
        <v>37</v>
      </c>
      <c r="S11" s="42" t="s">
        <v>32</v>
      </c>
      <c r="T11" s="41" t="s">
        <v>37</v>
      </c>
      <c r="U11" s="42" t="s">
        <v>32</v>
      </c>
      <c r="V11" s="41" t="s">
        <v>37</v>
      </c>
      <c r="W11" s="42" t="s">
        <v>32</v>
      </c>
      <c r="X11" s="41" t="s">
        <v>37</v>
      </c>
      <c r="Y11" s="42" t="s">
        <v>32</v>
      </c>
      <c r="Z11" s="41" t="s">
        <v>37</v>
      </c>
      <c r="AA11" s="42" t="s">
        <v>32</v>
      </c>
      <c r="AB11" s="41" t="s">
        <v>37</v>
      </c>
      <c r="AC11" s="42" t="s">
        <v>32</v>
      </c>
      <c r="AD11" s="41" t="s">
        <v>37</v>
      </c>
      <c r="AE11" s="42" t="s">
        <v>32</v>
      </c>
      <c r="AF11" s="41" t="s">
        <v>37</v>
      </c>
      <c r="AG11" s="42" t="s">
        <v>32</v>
      </c>
      <c r="AH11" s="41" t="s">
        <v>37</v>
      </c>
      <c r="AI11" s="42" t="s">
        <v>32</v>
      </c>
      <c r="AJ11" s="41" t="s">
        <v>37</v>
      </c>
      <c r="AK11" s="42" t="s">
        <v>32</v>
      </c>
      <c r="AL11" s="41" t="s">
        <v>37</v>
      </c>
      <c r="AM11" s="42" t="s">
        <v>32</v>
      </c>
      <c r="AN11" s="41" t="s">
        <v>37</v>
      </c>
      <c r="AO11" s="42" t="s">
        <v>32</v>
      </c>
      <c r="AP11" s="41" t="s">
        <v>37</v>
      </c>
      <c r="AQ11" s="42" t="s">
        <v>32</v>
      </c>
      <c r="AR11" s="41" t="s">
        <v>37</v>
      </c>
      <c r="AS11" s="42" t="s">
        <v>32</v>
      </c>
      <c r="AT11" s="41" t="s">
        <v>37</v>
      </c>
      <c r="AU11" s="42" t="s">
        <v>32</v>
      </c>
      <c r="AV11" s="41" t="s">
        <v>37</v>
      </c>
      <c r="AW11" s="42" t="s">
        <v>32</v>
      </c>
      <c r="AX11" s="41" t="s">
        <v>37</v>
      </c>
      <c r="AY11" s="42" t="s">
        <v>32</v>
      </c>
      <c r="AZ11" s="41" t="s">
        <v>37</v>
      </c>
      <c r="BA11" s="42" t="s">
        <v>32</v>
      </c>
      <c r="BB11" s="41" t="s">
        <v>37</v>
      </c>
      <c r="BC11" s="42" t="s">
        <v>32</v>
      </c>
      <c r="BD11" s="43" t="s">
        <v>37</v>
      </c>
      <c r="BE11" s="44" t="s">
        <v>32</v>
      </c>
      <c r="BF11" s="32"/>
      <c r="BG11" s="32"/>
      <c r="BH11" s="32" t="s">
        <v>133</v>
      </c>
      <c r="BI11" s="32"/>
      <c r="BJ11" s="32"/>
      <c r="BK11" s="32"/>
      <c r="BO11" s="238" t="s">
        <v>53</v>
      </c>
      <c r="BP11" s="238" t="s">
        <v>157</v>
      </c>
      <c r="BR11" s="238" t="s">
        <v>158</v>
      </c>
      <c r="BS11" s="238" t="s">
        <v>159</v>
      </c>
    </row>
    <row r="12" spans="1:71" ht="18" x14ac:dyDescent="0.25">
      <c r="A12" s="98">
        <f>[4]EnergyCurve!$D34</f>
        <v>37225</v>
      </c>
      <c r="B12" s="324">
        <f t="array" ref="B12">SUM(IF(MONTH(NymexData!$AI$12:$AI$250)&amp;YEAR(NymexData!$AI$12:$AI$250)=MONTH(A12)&amp;YEAR(A12),NymexData!$AJ$12:$AJ$250))</f>
        <v>1.03736852</v>
      </c>
      <c r="C12" s="325">
        <f>BD12*BJ12*BI12</f>
        <v>0</v>
      </c>
      <c r="D12" s="326">
        <f>C12+B12</f>
        <v>1.03736852</v>
      </c>
      <c r="E12" s="327">
        <f t="array" ref="E12">SUM(IF(MONTH(NymexData!$S$12:$S$250)&amp;YEAR(NymexData!$S$12:$S$250)=MONTH(A12)&amp;YEAR(A12),NymexData!$T$12:$T$250))</f>
        <v>2.9810000000000003</v>
      </c>
      <c r="F12" s="327">
        <f>G12-E12</f>
        <v>-4.3000000000000149E-2</v>
      </c>
      <c r="G12" s="328">
        <f t="array" ref="G12">IF(NymexData!$AA$12="",GasPosn!E12,SUM(IF(MONTH(NymexData!$AA$12:$AA$250)&amp;YEAR(NymexData!$AA$12:$AA$250)=MONTH(A12)&amp;YEAR(A12),NymexData!$AB$12:$AB$250)))</f>
        <v>2.9380000000000002</v>
      </c>
      <c r="H12" s="99">
        <f>B12*10000*F12</f>
        <v>-446.06846360000156</v>
      </c>
      <c r="I12" s="92">
        <f>(((G12-Q12)*P12+(G12-S12)*R12+(G12-U12)*T12+(G12-W12)*V12+(G12-Y12)*X12+(G12-AA12)*Z12+(G12-AC12)*AB12+(G12-AE12)*AD12+(G12-AG12)*AF12+(G12-AI12)*AH12+(G12-AK12)*AJ12+(G12-AM12)*AL12+(G12-AO12)*AN12+(G12-AQ12)*AP12+(G12-AS12)*AR12+(G12-AU12)*AT12+(G12-AW12)*AV12+(G12-AY12)*AX12+(G12-BA12)*AZ12+(G12-BC12)*BB12)*BJ12*BI12)*10000</f>
        <v>0</v>
      </c>
      <c r="J12" s="92">
        <f t="shared" ref="J12:J47" si="0">H12+I12</f>
        <v>-446.06846360000156</v>
      </c>
      <c r="M12" s="69"/>
      <c r="O12" s="47">
        <f t="shared" ref="O12:O46" si="1">A12</f>
        <v>37225</v>
      </c>
      <c r="BD12" s="48">
        <f>(P12+R12+T12+V12+X12+Z12+AB12+AD12+AF12+AH12+AJ12+AL12+AN12+AP12+AR12+AT12+AV12+AX12+AZ12+BB12)</f>
        <v>0</v>
      </c>
      <c r="BE12" s="334">
        <f>IF(AND(BD12=0,BH12=0),0,(ABS(P12)*Q12+ABS(R12)*S12+ABS(T12)*U12+ABS(V12)*W12+ABS(X12)*Y12+ABS(Z12)*AA12+ABS(AB12)*AC12+ABS(AD12)*AE12+ABS(AF12)*AG12+ABS(AH12)*AI12+ABS(AJ12)*AK12+ABS(AL12)*AM12+ABS(AN12)*AO12+ABS(AP12)*AQ12+ABS(AR12)*AS12+ABS(AT12)*AU12+ABS(AV12)*AW12+ABS(AX12)*AY12+ABS(AZ12)*BA12+ABS(BB12)*BC12)/BH12)</f>
        <v>0</v>
      </c>
      <c r="BF12" s="50"/>
      <c r="BG12" s="51">
        <f t="shared" ref="BG12:BG47" si="2">O12</f>
        <v>37225</v>
      </c>
      <c r="BH12" s="335">
        <f>(ABS(P12)+ABS(R12)+ABS(T12)+ABS(V12)+ABS(X12)+ABS(Z12)+ABS(AB12)+ABS(AD12)+ABS(AF12)+ABS(AH12)+ABS(AJ12)+ABS(AL12)+ABS(AN12)+ABS(AP12)+ABS(AR12)+ABS(AT12)+ABS(AV12)+ABS(AX12)+ABS(AZ12)+ABS(BB12))</f>
        <v>0</v>
      </c>
      <c r="BI12" s="52">
        <f>VLOOKUP(GasPosn!A12,'Pricing Summary'!$AB$12:$AD$250,3)</f>
        <v>30</v>
      </c>
      <c r="BJ12" s="50">
        <f>VLOOKUP(A12,Interest!$AF$8:$AK$367,6)</f>
        <v>0.99709512318270321</v>
      </c>
      <c r="BK12" s="335"/>
      <c r="BL12">
        <f>J12*VLOOKUP(A12,NymexData!$J$12:$K$244,2)</f>
        <v>-701.68841547645559</v>
      </c>
      <c r="BO12">
        <f>Interest!AK8</f>
        <v>0.99709512318270321</v>
      </c>
      <c r="BP12">
        <f>G12*Interest!AK8</f>
        <v>2.929465471910782</v>
      </c>
      <c r="BQ12">
        <f>IF(AND(A12&gt;=$B$3,A12&lt;=$B$4),1,0)</f>
        <v>0</v>
      </c>
      <c r="BR12">
        <f>BO12*BQ12</f>
        <v>0</v>
      </c>
      <c r="BS12">
        <f>BP12*BQ12</f>
        <v>0</v>
      </c>
    </row>
    <row r="13" spans="1:71" ht="18" x14ac:dyDescent="0.25">
      <c r="A13" s="100">
        <f>[4]EnergyCurve!$D35</f>
        <v>37226</v>
      </c>
      <c r="B13" s="329">
        <f t="array" ref="B13">SUM(IF(MONTH(NymexData!$AI$12:$AI$250)&amp;YEAR(NymexData!$AI$12:$AI$250)=MONTH(A13)&amp;YEAR(A13),NymexData!$AJ$12:$AJ$250))</f>
        <v>147.8965795</v>
      </c>
      <c r="C13" s="330">
        <f t="shared" ref="C13:C76" si="3">BD13*BJ13*BI13</f>
        <v>0</v>
      </c>
      <c r="D13" s="331">
        <f t="shared" ref="D13:D47" si="4">C13+B13</f>
        <v>147.8965795</v>
      </c>
      <c r="E13" s="332">
        <f t="array" ref="E13">SUM(IF(MONTH(NymexData!$S$12:$S$250)&amp;YEAR(NymexData!$S$12:$S$250)=MONTH(A13)&amp;YEAR(A13),NymexData!$T$12:$T$250))</f>
        <v>3.1710000000000003</v>
      </c>
      <c r="F13" s="332">
        <f t="shared" ref="F13:F128" si="5">G13-E13</f>
        <v>-6.800000000000006E-2</v>
      </c>
      <c r="G13" s="333">
        <f t="array" ref="G13">IF(NymexData!$AA$12="",GasPosn!E13,SUM(IF(MONTH(NymexData!$AA$12:$AA$250)&amp;YEAR(NymexData!$AA$12:$AA$250)=MONTH(A13)&amp;YEAR(A13),NymexData!$AB$12:$AB$250)))</f>
        <v>3.1030000000000002</v>
      </c>
      <c r="H13" s="85">
        <f t="shared" ref="H13:H76" si="6">B13*10000*F13</f>
        <v>-100569.67406000008</v>
      </c>
      <c r="I13" s="88">
        <f t="shared" ref="I13:I76" si="7">(((G13-Q13)*P13+(G13-S13)*R13+(G13-U13)*T13+(G13-W13)*V13+(G13-Y13)*X13+(G13-AA13)*Z13+(G13-AC13)*AB13+(G13-AE13)*AD13+(G13-AG13)*AF13+(G13-AI13)*AH13+(G13-AK13)*AJ13+(G13-AM13)*AL13+(G13-AO13)*AN13+(G13-AQ13)*AP13+(G13-AS13)*AR13+(G13-AU13)*AT13+(G13-AW13)*AV13+(G13-AY13)*AX13+(G13-BA13)*AZ13+(G13-BC13)*BB13)*BJ13*BI13)*10000</f>
        <v>0</v>
      </c>
      <c r="J13" s="88">
        <f t="shared" si="0"/>
        <v>-100569.67406000008</v>
      </c>
      <c r="M13" s="69"/>
      <c r="O13" s="47">
        <f t="shared" si="1"/>
        <v>37226</v>
      </c>
      <c r="BD13" s="48">
        <f t="shared" ref="BD13:BD44" si="8">(P13+R13+T13+V13+X13+Z13+AB13+AD13+AF13+AH13+AJ13+AL13+AN13+AP13+AR13+AT13+AV13+AX13+AZ13+BB13)</f>
        <v>0</v>
      </c>
      <c r="BE13" s="334">
        <f t="shared" ref="BE13:BE44" si="9">IF(AND(BD13=0,BH13=0),0,(ABS(P13)*Q13+ABS(R13)*S13+ABS(T13)*U13+ABS(V13)*W13+ABS(X13)*Y13+ABS(Z13)*AA13+ABS(AB13)*AC13+ABS(AD13)*AE13+ABS(AF13)*AG13+ABS(AH13)*AI13+ABS(AJ13)*AK13+ABS(AL13)*AM13+ABS(AN13)*AO13+ABS(AP13)*AQ13+ABS(AR13)*AS13+ABS(AT13)*AU13+ABS(AV13)*AW13+ABS(AX13)*AY13+ABS(AZ13)*BA13+ABS(BB13)*BC13)/BH13)</f>
        <v>0</v>
      </c>
      <c r="BF13" s="50"/>
      <c r="BG13" s="51">
        <f t="shared" si="2"/>
        <v>37226</v>
      </c>
      <c r="BH13" s="335">
        <f t="shared" ref="BH13:BH44" si="10">(ABS(P13)+ABS(R13)+ABS(T13)+ABS(V13)+ABS(X13)+ABS(Z13)+ABS(AB13)+ABS(AD13)+ABS(AF13)+ABS(AH13)+ABS(AJ13)+ABS(AL13)+ABS(AN13)+ABS(AP13)+ABS(AR13)+ABS(AT13)+ABS(AV13)+ABS(AX13)+ABS(AZ13)+ABS(BB13))</f>
        <v>0</v>
      </c>
      <c r="BI13" s="52">
        <f>VLOOKUP(GasPosn!A13,'Pricing Summary'!$AB$12:$AD$250,3)</f>
        <v>31</v>
      </c>
      <c r="BJ13" s="50">
        <f>VLOOKUP(A13,Interest!$AF$8:$AK$367,6)</f>
        <v>0.99520793381540129</v>
      </c>
      <c r="BK13" s="50"/>
      <c r="BL13">
        <f>J13*VLOOKUP(A13,NymexData!$J$12:$K$244,2)</f>
        <v>-158245.82004026044</v>
      </c>
      <c r="BO13">
        <f>Interest!AK9</f>
        <v>0.99520793381540129</v>
      </c>
      <c r="BP13">
        <f>G13*Interest!AK9</f>
        <v>3.0881302186291903</v>
      </c>
      <c r="BQ13">
        <f t="shared" ref="BQ13:BQ76" si="11">IF(AND(A13&gt;=$B$3,A13&lt;=$B$4),1,0)</f>
        <v>0</v>
      </c>
      <c r="BR13">
        <f t="shared" ref="BR13:BR76" si="12">BO13*BQ13</f>
        <v>0</v>
      </c>
      <c r="BS13">
        <f t="shared" ref="BS13:BS76" si="13">BP13*BQ13</f>
        <v>0</v>
      </c>
    </row>
    <row r="14" spans="1:71" ht="18" x14ac:dyDescent="0.25">
      <c r="A14" s="98">
        <f>[4]EnergyCurve!$D36</f>
        <v>37257</v>
      </c>
      <c r="B14" s="324">
        <f t="array" ref="B14">SUM(IF(MONTH(NymexData!$AI$12:$AI$250)&amp;YEAR(NymexData!$AI$12:$AI$250)=MONTH(A14)&amp;YEAR(A14),NymexData!$AJ$12:$AJ$250))</f>
        <v>-95.615304949999995</v>
      </c>
      <c r="C14" s="324">
        <f t="shared" si="3"/>
        <v>24.634404769144581</v>
      </c>
      <c r="D14" s="326">
        <f t="shared" si="4"/>
        <v>-70.980900180855414</v>
      </c>
      <c r="E14" s="327">
        <f t="array" ref="E14">SUM(IF(MONTH(NymexData!$S$12:$S$250)&amp;YEAR(NymexData!$S$12:$S$250)=MONTH(A14)&amp;YEAR(A14),NymexData!$T$12:$T$250))</f>
        <v>3.3260000000000001</v>
      </c>
      <c r="F14" s="327">
        <f t="shared" si="5"/>
        <v>-7.6000000000000068E-2</v>
      </c>
      <c r="G14" s="328">
        <f t="array" ref="G14">IF(NymexData!$AA$12="",GasPosn!E14,SUM(IF(MONTH(NymexData!$AA$12:$AA$250)&amp;YEAR(NymexData!$AA$12:$AA$250)=MONTH(A14)&amp;YEAR(A14),NymexData!$AB$12:$AB$250)))</f>
        <v>3.25</v>
      </c>
      <c r="H14" s="99">
        <f t="shared" si="6"/>
        <v>72667.631762000063</v>
      </c>
      <c r="I14" s="92">
        <f t="shared" si="7"/>
        <v>-7698.2514903576812</v>
      </c>
      <c r="J14" s="92">
        <f t="shared" si="0"/>
        <v>64969.380271642382</v>
      </c>
      <c r="M14" s="69"/>
      <c r="O14" s="47">
        <f t="shared" si="1"/>
        <v>37257</v>
      </c>
      <c r="P14">
        <v>-0.5</v>
      </c>
      <c r="Q14">
        <v>3.4</v>
      </c>
      <c r="R14">
        <v>0.5</v>
      </c>
      <c r="S14">
        <v>3.38</v>
      </c>
      <c r="T14">
        <v>0.1</v>
      </c>
      <c r="U14">
        <v>3.2949999999999999</v>
      </c>
      <c r="V14">
        <v>0.5</v>
      </c>
      <c r="W14">
        <v>3.3149999999999999</v>
      </c>
      <c r="X14">
        <v>0.2</v>
      </c>
      <c r="Y14">
        <v>3.24</v>
      </c>
      <c r="BD14" s="48">
        <f t="shared" si="8"/>
        <v>0.8</v>
      </c>
      <c r="BE14" s="334">
        <f t="shared" si="9"/>
        <v>3.3472222222222223</v>
      </c>
      <c r="BF14" s="50"/>
      <c r="BG14" s="51">
        <f t="shared" si="2"/>
        <v>37257</v>
      </c>
      <c r="BH14" s="335">
        <f t="shared" si="10"/>
        <v>1.8</v>
      </c>
      <c r="BI14" s="52">
        <f>VLOOKUP(GasPosn!A14,'Pricing Summary'!$AB$12:$AD$250,3)</f>
        <v>31</v>
      </c>
      <c r="BJ14" s="50">
        <f>VLOOKUP(A14,Interest!$AF$8:$AK$367,6)</f>
        <v>0.9933227729493781</v>
      </c>
      <c r="BK14" s="50"/>
      <c r="BL14">
        <f>J14*VLOOKUP(A14,NymexData!$J$12:$K$244,2)</f>
        <v>102244.56290399714</v>
      </c>
      <c r="BO14">
        <f>Interest!AK10</f>
        <v>0.9933227729493781</v>
      </c>
      <c r="BP14">
        <f>G14*Interest!AK10</f>
        <v>3.2282990120854786</v>
      </c>
      <c r="BQ14">
        <f t="shared" si="11"/>
        <v>0</v>
      </c>
      <c r="BR14">
        <f t="shared" si="12"/>
        <v>0</v>
      </c>
      <c r="BS14">
        <f t="shared" si="13"/>
        <v>0</v>
      </c>
    </row>
    <row r="15" spans="1:71" ht="18" x14ac:dyDescent="0.25">
      <c r="A15" s="100">
        <f>[4]EnergyCurve!$D37</f>
        <v>37288</v>
      </c>
      <c r="B15" s="329">
        <f t="array" ref="B15">SUM(IF(MONTH(NymexData!$AI$12:$AI$250)&amp;YEAR(NymexData!$AI$12:$AI$250)=MONTH(A15)&amp;YEAR(A15),NymexData!$AJ$12:$AJ$250))</f>
        <v>-86.182389749999999</v>
      </c>
      <c r="C15" s="330">
        <f t="shared" si="3"/>
        <v>22.211536726219293</v>
      </c>
      <c r="D15" s="331">
        <f t="shared" si="4"/>
        <v>-63.970853023780705</v>
      </c>
      <c r="E15" s="332">
        <f t="array" ref="E15">SUM(IF(MONTH(NymexData!$S$12:$S$250)&amp;YEAR(NymexData!$S$12:$S$250)=MONTH(A15)&amp;YEAR(A15),NymexData!$T$12:$T$250))</f>
        <v>3.3210000000000002</v>
      </c>
      <c r="F15" s="332">
        <f t="shared" si="5"/>
        <v>-7.2999999999999954E-2</v>
      </c>
      <c r="G15" s="333">
        <f t="array" ref="G15">IF(NymexData!$AA$12="",GasPosn!E15,SUM(IF(MONTH(NymexData!$AA$12:$AA$250)&amp;YEAR(NymexData!$AA$12:$AA$250)=MONTH(A15)&amp;YEAR(A15),NymexData!$AB$12:$AB$250)))</f>
        <v>3.2480000000000002</v>
      </c>
      <c r="H15" s="85">
        <f t="shared" si="6"/>
        <v>62913.144517499961</v>
      </c>
      <c r="I15" s="88">
        <f t="shared" si="7"/>
        <v>-7385.3359614678675</v>
      </c>
      <c r="J15" s="88">
        <f t="shared" si="0"/>
        <v>55527.808556032091</v>
      </c>
      <c r="M15" s="69"/>
      <c r="O15" s="47">
        <f t="shared" si="1"/>
        <v>37288</v>
      </c>
      <c r="P15">
        <v>-0.5</v>
      </c>
      <c r="Q15">
        <v>3.4</v>
      </c>
      <c r="R15">
        <v>0.5</v>
      </c>
      <c r="S15">
        <v>3.38</v>
      </c>
      <c r="T15">
        <v>0.1</v>
      </c>
      <c r="U15">
        <v>3.2949999999999999</v>
      </c>
      <c r="V15">
        <v>0.5</v>
      </c>
      <c r="W15">
        <v>3.3149999999999999</v>
      </c>
      <c r="X15">
        <v>0.2</v>
      </c>
      <c r="Y15">
        <v>3.24</v>
      </c>
      <c r="BD15" s="48">
        <f t="shared" si="8"/>
        <v>0.8</v>
      </c>
      <c r="BE15" s="334">
        <f t="shared" si="9"/>
        <v>3.3472222222222223</v>
      </c>
      <c r="BF15" s="50"/>
      <c r="BG15" s="51">
        <f t="shared" si="2"/>
        <v>37288</v>
      </c>
      <c r="BH15" s="335">
        <f t="shared" si="10"/>
        <v>1.8</v>
      </c>
      <c r="BI15" s="52">
        <f>VLOOKUP(GasPosn!A15,'Pricing Summary'!$AB$12:$AD$250,3)</f>
        <v>28</v>
      </c>
      <c r="BJ15" s="50">
        <f>VLOOKUP(A15,Interest!$AF$8:$AK$367,6)</f>
        <v>0.99158646099193282</v>
      </c>
      <c r="BK15" s="50"/>
      <c r="BL15">
        <f>J15*VLOOKUP(A15,NymexData!$J$12:$K$244,2)</f>
        <v>87389.899744260896</v>
      </c>
      <c r="BO15">
        <f>Interest!AK11</f>
        <v>0.99158646099193282</v>
      </c>
      <c r="BP15">
        <f>G15*Interest!AK11</f>
        <v>3.220672825301798</v>
      </c>
      <c r="BQ15">
        <f t="shared" si="11"/>
        <v>0</v>
      </c>
      <c r="BR15">
        <f t="shared" si="12"/>
        <v>0</v>
      </c>
      <c r="BS15">
        <f t="shared" si="13"/>
        <v>0</v>
      </c>
    </row>
    <row r="16" spans="1:71" ht="18" x14ac:dyDescent="0.25">
      <c r="A16" s="98">
        <f>[4]EnergyCurve!$D38</f>
        <v>37316</v>
      </c>
      <c r="B16" s="324">
        <f t="array" ref="B16">SUM(IF(MONTH(NymexData!$AI$12:$AI$250)&amp;YEAR(NymexData!$AI$12:$AI$250)=MONTH(A16)&amp;YEAR(A16),NymexData!$AJ$12:$AJ$250))</f>
        <v>-95.251234859999997</v>
      </c>
      <c r="C16" s="324">
        <f t="shared" si="3"/>
        <v>24.546586284358757</v>
      </c>
      <c r="D16" s="326">
        <f t="shared" si="4"/>
        <v>-70.704648575641244</v>
      </c>
      <c r="E16" s="327">
        <f t="array" ref="E16">SUM(IF(MONTH(NymexData!$S$12:$S$250)&amp;YEAR(NymexData!$S$12:$S$250)=MONTH(A16)&amp;YEAR(A16),NymexData!$T$12:$T$250))</f>
        <v>3.2610000000000001</v>
      </c>
      <c r="F16" s="327">
        <f t="shared" si="5"/>
        <v>-6.6000000000000281E-2</v>
      </c>
      <c r="G16" s="328">
        <f t="array" ref="G16">IF(NymexData!$AA$12="",GasPosn!E16,SUM(IF(MONTH(NymexData!$AA$12:$AA$250)&amp;YEAR(NymexData!$AA$12:$AA$250)=MONTH(A16)&amp;YEAR(A16),NymexData!$AB$12:$AB$250)))</f>
        <v>3.1949999999999998</v>
      </c>
      <c r="H16" s="99">
        <f t="shared" si="6"/>
        <v>62865.815007600264</v>
      </c>
      <c r="I16" s="92">
        <f t="shared" si="7"/>
        <v>-21171.430670259466</v>
      </c>
      <c r="J16" s="92">
        <f t="shared" si="0"/>
        <v>41694.384337340802</v>
      </c>
      <c r="M16" s="69"/>
      <c r="O16" s="47">
        <f t="shared" si="1"/>
        <v>37316</v>
      </c>
      <c r="P16">
        <v>-0.5</v>
      </c>
      <c r="Q16">
        <v>3.4</v>
      </c>
      <c r="R16">
        <v>0.5</v>
      </c>
      <c r="S16">
        <v>3.38</v>
      </c>
      <c r="T16">
        <v>0.1</v>
      </c>
      <c r="U16">
        <v>3.2949999999999999</v>
      </c>
      <c r="V16">
        <v>0.5</v>
      </c>
      <c r="W16">
        <v>3.3149999999999999</v>
      </c>
      <c r="X16">
        <v>0.2</v>
      </c>
      <c r="Y16">
        <v>3.24</v>
      </c>
      <c r="BD16" s="48">
        <f t="shared" si="8"/>
        <v>0.8</v>
      </c>
      <c r="BE16" s="334">
        <f t="shared" si="9"/>
        <v>3.3472222222222223</v>
      </c>
      <c r="BF16" s="50"/>
      <c r="BG16" s="51">
        <f t="shared" si="2"/>
        <v>37316</v>
      </c>
      <c r="BH16" s="335">
        <f t="shared" si="10"/>
        <v>1.8</v>
      </c>
      <c r="BI16" s="52">
        <f>VLOOKUP(GasPosn!A16,'Pricing Summary'!$AB$12:$AD$250,3)</f>
        <v>31</v>
      </c>
      <c r="BJ16" s="50">
        <f>VLOOKUP(A16,Interest!$AF$8:$AK$367,6)</f>
        <v>0.98978170501446594</v>
      </c>
      <c r="BK16" s="50"/>
      <c r="BL16">
        <f>J16*VLOOKUP(A16,NymexData!$J$12:$K$244,2)</f>
        <v>65632.344513690696</v>
      </c>
      <c r="BO16">
        <f>Interest!AK12</f>
        <v>0.98978170501446594</v>
      </c>
      <c r="BP16">
        <f>G16*Interest!AK12</f>
        <v>3.1623525475212184</v>
      </c>
      <c r="BQ16">
        <f t="shared" si="11"/>
        <v>0</v>
      </c>
      <c r="BR16">
        <f t="shared" si="12"/>
        <v>0</v>
      </c>
      <c r="BS16">
        <f t="shared" si="13"/>
        <v>0</v>
      </c>
    </row>
    <row r="17" spans="1:71" ht="18" x14ac:dyDescent="0.25">
      <c r="A17" s="100">
        <f>[4]EnergyCurve!$D39</f>
        <v>37347</v>
      </c>
      <c r="B17" s="329">
        <f t="array" ref="B17">SUM(IF(MONTH(NymexData!$AI$12:$AI$250)&amp;YEAR(NymexData!$AI$12:$AI$250)=MONTH(A17)&amp;YEAR(A17),NymexData!$AJ$12:$AJ$250))</f>
        <v>-100.90525692999999</v>
      </c>
      <c r="C17" s="330">
        <f t="shared" si="3"/>
        <v>17.784471255855177</v>
      </c>
      <c r="D17" s="331">
        <f t="shared" si="4"/>
        <v>-83.120785674144813</v>
      </c>
      <c r="E17" s="332">
        <f t="array" ref="E17">SUM(IF(MONTH(NymexData!$S$12:$S$250)&amp;YEAR(NymexData!$S$12:$S$250)=MONTH(A17)&amp;YEAR(A17),NymexData!$T$12:$T$250))</f>
        <v>3.1460000000000004</v>
      </c>
      <c r="F17" s="332">
        <f t="shared" si="5"/>
        <v>-5.1000000000000156E-2</v>
      </c>
      <c r="G17" s="333">
        <f t="array" ref="G17">IF(NymexData!$AA$12="",GasPosn!E17,SUM(IF(MONTH(NymexData!$AA$12:$AA$250)&amp;YEAR(NymexData!$AA$12:$AA$250)=MONTH(A17)&amp;YEAR(A17),NymexData!$AB$12:$AB$250)))</f>
        <v>3.0950000000000002</v>
      </c>
      <c r="H17" s="85">
        <f t="shared" si="6"/>
        <v>51461.681034300156</v>
      </c>
      <c r="I17" s="88">
        <f t="shared" si="7"/>
        <v>-35568.942511710309</v>
      </c>
      <c r="J17" s="88">
        <f t="shared" si="0"/>
        <v>15892.738522589847</v>
      </c>
      <c r="M17" s="69"/>
      <c r="O17" s="47">
        <f t="shared" si="1"/>
        <v>37347</v>
      </c>
      <c r="P17">
        <v>-0.5</v>
      </c>
      <c r="Q17">
        <v>3.4</v>
      </c>
      <c r="R17">
        <v>0.5</v>
      </c>
      <c r="S17">
        <v>3.38</v>
      </c>
      <c r="T17">
        <v>0.1</v>
      </c>
      <c r="U17">
        <v>3.2949999999999999</v>
      </c>
      <c r="V17">
        <v>0.5</v>
      </c>
      <c r="W17">
        <v>3.3149999999999999</v>
      </c>
      <c r="BD17" s="48">
        <f t="shared" si="8"/>
        <v>0.6</v>
      </c>
      <c r="BE17" s="334">
        <f t="shared" si="9"/>
        <v>3.3606249999999998</v>
      </c>
      <c r="BF17" s="50"/>
      <c r="BG17" s="51">
        <f t="shared" si="2"/>
        <v>37347</v>
      </c>
      <c r="BH17" s="335">
        <f t="shared" si="10"/>
        <v>1.6</v>
      </c>
      <c r="BI17" s="52">
        <f>VLOOKUP(GasPosn!A17,'Pricing Summary'!$AB$12:$AD$250,3)</f>
        <v>30</v>
      </c>
      <c r="BJ17" s="50">
        <f>VLOOKUP(A17,Interest!$AF$8:$AK$367,6)</f>
        <v>0.98802618088084315</v>
      </c>
      <c r="BK17" s="50"/>
      <c r="BL17">
        <f>J17*VLOOKUP(A17,NymexData!$J$12:$K$244,2)</f>
        <v>25022.239698221743</v>
      </c>
      <c r="BO17">
        <f>Interest!AK13</f>
        <v>0.98802618088084315</v>
      </c>
      <c r="BP17">
        <f>G17*Interest!AK13</f>
        <v>3.05794102982621</v>
      </c>
      <c r="BQ17">
        <f t="shared" si="11"/>
        <v>0</v>
      </c>
      <c r="BR17">
        <f t="shared" si="12"/>
        <v>0</v>
      </c>
      <c r="BS17">
        <f t="shared" si="13"/>
        <v>0</v>
      </c>
    </row>
    <row r="18" spans="1:71" ht="18" x14ac:dyDescent="0.25">
      <c r="A18" s="98">
        <f>[4]EnergyCurve!$D40</f>
        <v>37377</v>
      </c>
      <c r="B18" s="324">
        <f t="array" ref="B18">SUM(IF(MONTH(NymexData!$AI$12:$AI$250)&amp;YEAR(NymexData!$AI$12:$AI$250)=MONTH(A18)&amp;YEAR(A18),NymexData!$AJ$12:$AJ$250))</f>
        <v>-104.06365207</v>
      </c>
      <c r="C18" s="324">
        <f t="shared" si="3"/>
        <v>18.341186324143077</v>
      </c>
      <c r="D18" s="326">
        <f t="shared" si="4"/>
        <v>-85.722465745856923</v>
      </c>
      <c r="E18" s="327">
        <f t="array" ref="E18">SUM(IF(MONTH(NymexData!$S$12:$S$250)&amp;YEAR(NymexData!$S$12:$S$250)=MONTH(A18)&amp;YEAR(A18),NymexData!$T$12:$T$250))</f>
        <v>3.1760000000000002</v>
      </c>
      <c r="F18" s="327">
        <f t="shared" si="5"/>
        <v>-5.1000000000000156E-2</v>
      </c>
      <c r="G18" s="328">
        <f t="array" ref="G18">IF(NymexData!$AA$12="",GasPosn!E18,SUM(IF(MONTH(NymexData!$AA$12:$AA$250)&amp;YEAR(NymexData!$AA$12:$AA$250)=MONTH(A18)&amp;YEAR(A18),NymexData!$AB$12:$AB$250)))</f>
        <v>3.125</v>
      </c>
      <c r="H18" s="99">
        <f t="shared" si="6"/>
        <v>53072.462555700164</v>
      </c>
      <c r="I18" s="92">
        <f t="shared" ref="I18:I29" si="14">(((G18-Q18)*P18+(G18-S18)*R18+(G18-U18)*T18+(G18-W18)*V18+(G18-Y18)*X18+(G18-AA18)*Z18+(G18-AC18)*AB18+(G18-AE18)*AD18+(G18-AG18)*AF18+(G18-AI18)*AH18+(G18-AK18)*AJ18+(G18-AM18)*AL18+(G18-AO18)*AN18+(G18-AQ18)*AP18+(G18-AS18)*AR18+(G18-AU18)*AT18+(G18-AW18)*AV18+(G18-AY18)*AX18+(G18-BA18)*AZ18+(G18-BC18)*BB18)*BJ18*BI18)*10000</f>
        <v>-31180.016751043222</v>
      </c>
      <c r="J18" s="92">
        <f t="shared" si="0"/>
        <v>21892.445804656942</v>
      </c>
      <c r="M18" s="69"/>
      <c r="O18" s="47">
        <f t="shared" si="1"/>
        <v>37377</v>
      </c>
      <c r="P18">
        <v>-0.5</v>
      </c>
      <c r="Q18">
        <v>3.4</v>
      </c>
      <c r="R18">
        <v>0.5</v>
      </c>
      <c r="S18">
        <v>3.38</v>
      </c>
      <c r="T18">
        <v>0.1</v>
      </c>
      <c r="U18">
        <v>3.2949999999999999</v>
      </c>
      <c r="V18">
        <v>0.5</v>
      </c>
      <c r="W18">
        <v>3.3149999999999999</v>
      </c>
      <c r="BD18" s="48">
        <f t="shared" ref="BD18:BD29" si="15">(P18+R18+T18+V18+X18+Z18+AB18+AD18+AF18+AH18+AJ18+AL18+AN18+AP18+AR18+AT18+AV18+AX18+AZ18+BB18)</f>
        <v>0.6</v>
      </c>
      <c r="BE18" s="334">
        <f t="shared" ref="BE18:BE29" si="16">IF(AND(BD18=0,BH18=0),0,(ABS(P18)*Q18+ABS(R18)*S18+ABS(T18)*U18+ABS(V18)*W18+ABS(X18)*Y18+ABS(Z18)*AA18+ABS(AB18)*AC18+ABS(AD18)*AE18+ABS(AF18)*AG18+ABS(AH18)*AI18+ABS(AJ18)*AK18+ABS(AL18)*AM18+ABS(AN18)*AO18+ABS(AP18)*AQ18+ABS(AR18)*AS18+ABS(AT18)*AU18+ABS(AV18)*AW18+ABS(AX18)*AY18+ABS(AZ18)*BA18+ABS(BB18)*BC18)/BH18)</f>
        <v>3.3606249999999998</v>
      </c>
      <c r="BF18" s="50"/>
      <c r="BG18" s="51">
        <f t="shared" si="2"/>
        <v>37377</v>
      </c>
      <c r="BH18" s="335">
        <f t="shared" ref="BH18:BH29" si="17">(ABS(P18)+ABS(R18)+ABS(T18)+ABS(V18)+ABS(X18)+ABS(Z18)+ABS(AB18)+ABS(AD18)+ABS(AF18)+ABS(AH18)+ABS(AJ18)+ABS(AL18)+ABS(AN18)+ABS(AP18)+ABS(AR18)+ABS(AT18)+ABS(AV18)+ABS(AX18)+ABS(AZ18)+ABS(BB18))</f>
        <v>1.6</v>
      </c>
      <c r="BI18" s="52">
        <f>VLOOKUP(GasPosn!A18,'Pricing Summary'!$AB$12:$AD$250,3)</f>
        <v>31</v>
      </c>
      <c r="BJ18" s="50">
        <f>VLOOKUP(A18,Interest!$AF$8:$AK$367,6)</f>
        <v>0.98608528624425162</v>
      </c>
      <c r="BK18" s="50"/>
      <c r="BL18">
        <f>J18*VLOOKUP(A18,NymexData!$J$12:$K$244,2)</f>
        <v>34471.895405875526</v>
      </c>
      <c r="BO18">
        <f>Interest!AK14</f>
        <v>0.98608528624425162</v>
      </c>
      <c r="BP18">
        <f>G18*Interest!AK14</f>
        <v>3.0815165195132863</v>
      </c>
      <c r="BQ18">
        <f t="shared" si="11"/>
        <v>0</v>
      </c>
      <c r="BR18">
        <f t="shared" si="12"/>
        <v>0</v>
      </c>
      <c r="BS18">
        <f t="shared" si="13"/>
        <v>0</v>
      </c>
    </row>
    <row r="19" spans="1:71" ht="18" x14ac:dyDescent="0.25">
      <c r="A19" s="100">
        <f>[4]EnergyCurve!$D41</f>
        <v>37408</v>
      </c>
      <c r="B19" s="329">
        <f t="array" ref="B19">SUM(IF(MONTH(NymexData!$AI$12:$AI$250)&amp;YEAR(NymexData!$AI$12:$AI$250)=MONTH(A19)&amp;YEAR(A19),NymexData!$AJ$12:$AJ$250))</f>
        <v>-100.50429989</v>
      </c>
      <c r="C19" s="330">
        <f t="shared" si="3"/>
        <v>17.71566275538655</v>
      </c>
      <c r="D19" s="331">
        <f t="shared" si="4"/>
        <v>-82.788637134613452</v>
      </c>
      <c r="E19" s="332">
        <f t="array" ref="E19">SUM(IF(MONTH(NymexData!$S$12:$S$250)&amp;YEAR(NymexData!$S$12:$S$250)=MONTH(A19)&amp;YEAR(A19),NymexData!$T$12:$T$250))</f>
        <v>3.2210000000000001</v>
      </c>
      <c r="F19" s="332">
        <f t="shared" si="5"/>
        <v>-5.600000000000005E-2</v>
      </c>
      <c r="G19" s="333">
        <f t="array" ref="G19">IF(NymexData!$AA$12="",GasPosn!E19,SUM(IF(MONTH(NymexData!$AA$12:$AA$250)&amp;YEAR(NymexData!$AA$12:$AA$250)=MONTH(A19)&amp;YEAR(A19),NymexData!$AB$12:$AB$250)))</f>
        <v>3.165</v>
      </c>
      <c r="H19" s="85">
        <f t="shared" si="6"/>
        <v>56282.407938400051</v>
      </c>
      <c r="I19" s="88">
        <f t="shared" si="14"/>
        <v>-23030.361582002497</v>
      </c>
      <c r="J19" s="88">
        <f t="shared" si="0"/>
        <v>33252.04635639755</v>
      </c>
      <c r="L19" s="378"/>
      <c r="M19" s="218"/>
      <c r="O19" s="47">
        <f t="shared" si="1"/>
        <v>37408</v>
      </c>
      <c r="P19">
        <v>-0.5</v>
      </c>
      <c r="Q19">
        <v>3.4</v>
      </c>
      <c r="R19">
        <v>0.5</v>
      </c>
      <c r="S19">
        <v>3.38</v>
      </c>
      <c r="T19">
        <v>0.1</v>
      </c>
      <c r="U19">
        <v>3.2949999999999999</v>
      </c>
      <c r="V19">
        <v>0.5</v>
      </c>
      <c r="W19">
        <v>3.3149999999999999</v>
      </c>
      <c r="BD19" s="48">
        <f t="shared" si="15"/>
        <v>0.6</v>
      </c>
      <c r="BE19" s="334">
        <f t="shared" si="16"/>
        <v>3.3606249999999998</v>
      </c>
      <c r="BF19" s="50"/>
      <c r="BG19" s="51">
        <f t="shared" si="2"/>
        <v>37408</v>
      </c>
      <c r="BH19" s="335">
        <f t="shared" si="17"/>
        <v>1.6</v>
      </c>
      <c r="BI19" s="52">
        <f>VLOOKUP(GasPosn!A19,'Pricing Summary'!$AB$12:$AD$250,3)</f>
        <v>30</v>
      </c>
      <c r="BJ19" s="50">
        <f>VLOOKUP(A19,Interest!$AF$8:$AK$367,6)</f>
        <v>0.98420348641036393</v>
      </c>
      <c r="BK19" s="50"/>
      <c r="BL19">
        <f>J19*VLOOKUP(A19,NymexData!$J$12:$K$244,2)</f>
        <v>52362.855425199021</v>
      </c>
      <c r="BO19">
        <f>Interest!AK15</f>
        <v>0.98420348641036393</v>
      </c>
      <c r="BP19">
        <f>G19*Interest!AK15</f>
        <v>3.1150040344888019</v>
      </c>
      <c r="BQ19">
        <f t="shared" si="11"/>
        <v>0</v>
      </c>
      <c r="BR19">
        <f t="shared" si="12"/>
        <v>0</v>
      </c>
      <c r="BS19">
        <f t="shared" si="13"/>
        <v>0</v>
      </c>
    </row>
    <row r="20" spans="1:71" ht="18" x14ac:dyDescent="0.25">
      <c r="A20" s="98">
        <f>[4]EnergyCurve!$D42</f>
        <v>37438</v>
      </c>
      <c r="B20" s="324">
        <f t="array" ref="B20">SUM(IF(MONTH(NymexData!$AI$12:$AI$250)&amp;YEAR(NymexData!$AI$12:$AI$250)=MONTH(A20)&amp;YEAR(A20),NymexData!$AJ$12:$AJ$250))</f>
        <v>-317.03236050999999</v>
      </c>
      <c r="C20" s="324">
        <f t="shared" si="3"/>
        <v>18.268590004934062</v>
      </c>
      <c r="D20" s="326">
        <f t="shared" si="4"/>
        <v>-298.76377050506591</v>
      </c>
      <c r="E20" s="327">
        <f t="array" ref="E20">SUM(IF(MONTH(NymexData!$S$12:$S$250)&amp;YEAR(NymexData!$S$12:$S$250)=MONTH(A20)&amp;YEAR(A20),NymexData!$T$12:$T$250))</f>
        <v>3.2610000000000001</v>
      </c>
      <c r="F20" s="327">
        <f t="shared" si="5"/>
        <v>-6.0999999999999943E-2</v>
      </c>
      <c r="G20" s="328">
        <f t="array" ref="G20">IF(NymexData!$AA$12="",GasPosn!E20,SUM(IF(MONTH(NymexData!$AA$12:$AA$250)&amp;YEAR(NymexData!$AA$12:$AA$250)=MONTH(A20)&amp;YEAR(A20),NymexData!$AB$12:$AB$250)))</f>
        <v>3.2</v>
      </c>
      <c r="H20" s="99">
        <f t="shared" si="6"/>
        <v>193389.73991109981</v>
      </c>
      <c r="I20" s="92">
        <f t="shared" si="14"/>
        <v>-17355.160504687316</v>
      </c>
      <c r="J20" s="92">
        <f t="shared" si="0"/>
        <v>176034.57940641249</v>
      </c>
      <c r="L20" s="378"/>
      <c r="M20" s="69"/>
      <c r="O20" s="47">
        <f t="shared" si="1"/>
        <v>37438</v>
      </c>
      <c r="P20">
        <v>-0.5</v>
      </c>
      <c r="Q20">
        <v>3.4</v>
      </c>
      <c r="R20">
        <v>0.5</v>
      </c>
      <c r="S20">
        <v>3.38</v>
      </c>
      <c r="T20">
        <v>0.1</v>
      </c>
      <c r="U20">
        <v>3.2949999999999999</v>
      </c>
      <c r="V20">
        <v>0.5</v>
      </c>
      <c r="W20">
        <v>3.3149999999999999</v>
      </c>
      <c r="BD20" s="48">
        <f t="shared" si="15"/>
        <v>0.6</v>
      </c>
      <c r="BE20" s="334">
        <f t="shared" si="16"/>
        <v>3.3606249999999998</v>
      </c>
      <c r="BF20" s="50"/>
      <c r="BG20" s="51">
        <f t="shared" si="2"/>
        <v>37438</v>
      </c>
      <c r="BH20" s="335">
        <f t="shared" si="17"/>
        <v>1.6</v>
      </c>
      <c r="BI20" s="52">
        <f>VLOOKUP(GasPosn!A20,'Pricing Summary'!$AB$12:$AD$250,3)</f>
        <v>31</v>
      </c>
      <c r="BJ20" s="50">
        <f>VLOOKUP(A20,Interest!$AF$8:$AK$367,6)</f>
        <v>0.98218225832978834</v>
      </c>
      <c r="BK20" s="50"/>
      <c r="BL20">
        <f>J20*VLOOKUP(A20,NymexData!$J$12:$K$244,2)</f>
        <v>277224.50520287588</v>
      </c>
      <c r="BO20">
        <f>Interest!AK16</f>
        <v>0.98218225832978834</v>
      </c>
      <c r="BP20">
        <f>G20*Interest!AK16</f>
        <v>3.142983226655323</v>
      </c>
      <c r="BQ20">
        <f t="shared" si="11"/>
        <v>0</v>
      </c>
      <c r="BR20">
        <f t="shared" si="12"/>
        <v>0</v>
      </c>
      <c r="BS20">
        <f t="shared" si="13"/>
        <v>0</v>
      </c>
    </row>
    <row r="21" spans="1:71" ht="18" x14ac:dyDescent="0.25">
      <c r="A21" s="100">
        <f>[4]EnergyCurve!$D43</f>
        <v>37469</v>
      </c>
      <c r="B21" s="329">
        <f t="array" ref="B21">SUM(IF(MONTH(NymexData!$AI$12:$AI$250)&amp;YEAR(NymexData!$AI$12:$AI$250)=MONTH(A21)&amp;YEAR(A21),NymexData!$AJ$12:$AJ$250))</f>
        <v>-316.33235583999999</v>
      </c>
      <c r="C21" s="330">
        <f t="shared" si="3"/>
        <v>18.228049967103786</v>
      </c>
      <c r="D21" s="331">
        <f t="shared" si="4"/>
        <v>-298.10430587289619</v>
      </c>
      <c r="E21" s="332">
        <f t="array" ref="E21">SUM(IF(MONTH(NymexData!$S$12:$S$250)&amp;YEAR(NymexData!$S$12:$S$250)=MONTH(A21)&amp;YEAR(A21),NymexData!$T$12:$T$250))</f>
        <v>3.3010000000000002</v>
      </c>
      <c r="F21" s="332">
        <f t="shared" si="5"/>
        <v>-6.6000000000000281E-2</v>
      </c>
      <c r="G21" s="333">
        <f t="array" ref="G21">IF(NymexData!$AA$12="",GasPosn!E21,SUM(IF(MONTH(NymexData!$AA$12:$AA$250)&amp;YEAR(NymexData!$AA$12:$AA$250)=MONTH(A21)&amp;YEAR(A21),NymexData!$AB$12:$AB$250)))</f>
        <v>3.2349999999999999</v>
      </c>
      <c r="H21" s="85">
        <f t="shared" si="6"/>
        <v>208779.35485440088</v>
      </c>
      <c r="I21" s="88">
        <f t="shared" si="14"/>
        <v>-10936.829980262279</v>
      </c>
      <c r="J21" s="88">
        <f t="shared" si="0"/>
        <v>197842.52487413859</v>
      </c>
      <c r="L21" s="378"/>
      <c r="M21" s="69"/>
      <c r="O21" s="47">
        <f t="shared" si="1"/>
        <v>37469</v>
      </c>
      <c r="P21">
        <v>-0.5</v>
      </c>
      <c r="Q21">
        <v>3.4</v>
      </c>
      <c r="R21">
        <v>0.5</v>
      </c>
      <c r="S21">
        <v>3.38</v>
      </c>
      <c r="T21">
        <v>0.1</v>
      </c>
      <c r="U21">
        <v>3.2949999999999999</v>
      </c>
      <c r="V21">
        <v>0.5</v>
      </c>
      <c r="W21">
        <v>3.3149999999999999</v>
      </c>
      <c r="BD21" s="48">
        <f t="shared" si="15"/>
        <v>0.6</v>
      </c>
      <c r="BE21" s="334">
        <f t="shared" si="16"/>
        <v>3.3606249999999998</v>
      </c>
      <c r="BF21" s="50"/>
      <c r="BG21" s="51">
        <f t="shared" si="2"/>
        <v>37469</v>
      </c>
      <c r="BH21" s="335">
        <f t="shared" si="17"/>
        <v>1.6</v>
      </c>
      <c r="BI21" s="52">
        <f>VLOOKUP(GasPosn!A21,'Pricing Summary'!$AB$12:$AD$250,3)</f>
        <v>31</v>
      </c>
      <c r="BJ21" s="50">
        <f>VLOOKUP(A21,Interest!$AF$8:$AK$367,6)</f>
        <v>0.98000268640342925</v>
      </c>
      <c r="BK21" s="50"/>
      <c r="BL21">
        <f>J21*VLOOKUP(A21,NymexData!$J$12:$K$244,2)</f>
        <v>311579.23028213473</v>
      </c>
      <c r="BO21">
        <f>Interest!AK17</f>
        <v>0.98000268640342925</v>
      </c>
      <c r="BP21">
        <f>G21*Interest!AK17</f>
        <v>3.1703086905150935</v>
      </c>
      <c r="BQ21">
        <f t="shared" si="11"/>
        <v>0</v>
      </c>
      <c r="BR21">
        <f t="shared" si="12"/>
        <v>0</v>
      </c>
      <c r="BS21">
        <f t="shared" si="13"/>
        <v>0</v>
      </c>
    </row>
    <row r="22" spans="1:71" ht="18" x14ac:dyDescent="0.25">
      <c r="A22" s="98">
        <f>[4]EnergyCurve!$D44</f>
        <v>37500</v>
      </c>
      <c r="B22" s="324">
        <f t="array" ref="B22">SUM(IF(MONTH(NymexData!$AI$12:$AI$250)&amp;YEAR(NymexData!$AI$12:$AI$250)=MONTH(A22)&amp;YEAR(A22),NymexData!$AJ$12:$AJ$250))</f>
        <v>-305.44349646000001</v>
      </c>
      <c r="C22" s="324">
        <f t="shared" si="3"/>
        <v>17.601149277857566</v>
      </c>
      <c r="D22" s="326">
        <f t="shared" si="4"/>
        <v>-287.84234718214242</v>
      </c>
      <c r="E22" s="327">
        <f t="array" ref="E22">SUM(IF(MONTH(NymexData!$S$12:$S$250)&amp;YEAR(NymexData!$S$12:$S$250)=MONTH(A22)&amp;YEAR(A22),NymexData!$T$12:$T$250))</f>
        <v>3.3010000000000002</v>
      </c>
      <c r="F22" s="327">
        <f t="shared" si="5"/>
        <v>-6.6000000000000281E-2</v>
      </c>
      <c r="G22" s="328">
        <f t="array" ref="G22">IF(NymexData!$AA$12="",GasPosn!E22,SUM(IF(MONTH(NymexData!$AA$12:$AA$250)&amp;YEAR(NymexData!$AA$12:$AA$250)=MONTH(A22)&amp;YEAR(A22),NymexData!$AB$12:$AB$250)))</f>
        <v>3.2349999999999999</v>
      </c>
      <c r="H22" s="99">
        <f t="shared" si="6"/>
        <v>201592.70766360086</v>
      </c>
      <c r="I22" s="92">
        <f t="shared" si="14"/>
        <v>-10560.689566714549</v>
      </c>
      <c r="J22" s="92">
        <f t="shared" si="0"/>
        <v>191032.01809688631</v>
      </c>
      <c r="L22" s="378"/>
      <c r="M22" s="69"/>
      <c r="O22" s="47">
        <f t="shared" si="1"/>
        <v>37500</v>
      </c>
      <c r="P22">
        <v>-0.5</v>
      </c>
      <c r="Q22">
        <v>3.4</v>
      </c>
      <c r="R22">
        <v>0.5</v>
      </c>
      <c r="S22">
        <v>3.38</v>
      </c>
      <c r="T22">
        <v>0.1</v>
      </c>
      <c r="U22">
        <v>3.2949999999999999</v>
      </c>
      <c r="V22">
        <v>0.5</v>
      </c>
      <c r="W22">
        <v>3.3149999999999999</v>
      </c>
      <c r="BD22" s="48">
        <f t="shared" si="15"/>
        <v>0.6</v>
      </c>
      <c r="BE22" s="334">
        <f t="shared" si="16"/>
        <v>3.3606249999999998</v>
      </c>
      <c r="BF22" s="50"/>
      <c r="BG22" s="51">
        <f t="shared" si="2"/>
        <v>37500</v>
      </c>
      <c r="BH22" s="335">
        <f t="shared" si="17"/>
        <v>1.6</v>
      </c>
      <c r="BI22" s="52">
        <f>VLOOKUP(GasPosn!A22,'Pricing Summary'!$AB$12:$AD$250,3)</f>
        <v>30</v>
      </c>
      <c r="BJ22" s="50">
        <f>VLOOKUP(A22,Interest!$AF$8:$AK$367,6)</f>
        <v>0.97784162654764262</v>
      </c>
      <c r="BK22" s="50"/>
      <c r="BL22">
        <f>J22*VLOOKUP(A22,NymexData!$J$12:$K$244,2)</f>
        <v>300856.71188740613</v>
      </c>
      <c r="BO22">
        <f>Interest!AK18</f>
        <v>0.97784162654764262</v>
      </c>
      <c r="BP22">
        <f>G22*Interest!AK18</f>
        <v>3.1633176618816239</v>
      </c>
      <c r="BQ22">
        <f t="shared" si="11"/>
        <v>0</v>
      </c>
      <c r="BR22">
        <f t="shared" si="12"/>
        <v>0</v>
      </c>
      <c r="BS22">
        <f t="shared" si="13"/>
        <v>0</v>
      </c>
    </row>
    <row r="23" spans="1:71" ht="18" x14ac:dyDescent="0.25">
      <c r="A23" s="100">
        <f>[4]EnergyCurve!$D45</f>
        <v>37530</v>
      </c>
      <c r="B23" s="329">
        <f t="array" ref="B23">SUM(IF(MONTH(NymexData!$AI$12:$AI$250)&amp;YEAR(NymexData!$AI$12:$AI$250)=MONTH(A23)&amp;YEAR(A23),NymexData!$AJ$12:$AJ$250))</f>
        <v>-102.94844159</v>
      </c>
      <c r="C23" s="330">
        <f>BD23*BJ23*BI23</f>
        <v>18.14439035703997</v>
      </c>
      <c r="D23" s="331">
        <f>C23+B23</f>
        <v>-84.804051232960035</v>
      </c>
      <c r="E23" s="332">
        <f t="array" ref="E23">SUM(IF(MONTH(NymexData!$S$12:$S$250)&amp;YEAR(NymexData!$S$12:$S$250)=MONTH(A23)&amp;YEAR(A23),NymexData!$T$12:$T$250))</f>
        <v>3.331</v>
      </c>
      <c r="F23" s="332">
        <f>G23-E23</f>
        <v>-6.5999999999999837E-2</v>
      </c>
      <c r="G23" s="333">
        <f t="array" ref="G23">IF(NymexData!$AA$12="",GasPosn!E23,SUM(IF(MONTH(NymexData!$AA$12:$AA$250)&amp;YEAR(NymexData!$AA$12:$AA$250)=MONTH(A23)&amp;YEAR(A23),NymexData!$AB$12:$AB$250)))</f>
        <v>3.2650000000000001</v>
      </c>
      <c r="H23" s="85">
        <f>B23*10000*F23</f>
        <v>67945.971449399833</v>
      </c>
      <c r="I23" s="88">
        <f t="shared" si="14"/>
        <v>-5443.3171071119559</v>
      </c>
      <c r="J23" s="88">
        <f>H23+I23</f>
        <v>62502.654342287875</v>
      </c>
      <c r="L23" s="378"/>
      <c r="M23" s="69"/>
      <c r="O23" s="47">
        <f t="shared" si="1"/>
        <v>37530</v>
      </c>
      <c r="P23">
        <v>-0.5</v>
      </c>
      <c r="Q23">
        <v>3.4</v>
      </c>
      <c r="R23">
        <v>0.5</v>
      </c>
      <c r="S23">
        <v>3.38</v>
      </c>
      <c r="T23">
        <v>0.1</v>
      </c>
      <c r="U23">
        <v>3.2949999999999999</v>
      </c>
      <c r="V23">
        <v>0.5</v>
      </c>
      <c r="W23">
        <v>3.3149999999999999</v>
      </c>
      <c r="BD23" s="48">
        <f t="shared" si="15"/>
        <v>0.6</v>
      </c>
      <c r="BE23" s="334">
        <f t="shared" si="16"/>
        <v>3.3606249999999998</v>
      </c>
      <c r="BF23" s="50"/>
      <c r="BG23" s="51">
        <f t="shared" si="2"/>
        <v>37530</v>
      </c>
      <c r="BH23" s="335">
        <f t="shared" si="17"/>
        <v>1.6</v>
      </c>
      <c r="BI23" s="52">
        <f>VLOOKUP(GasPosn!A23,'Pricing Summary'!$AB$12:$AD$250,3)</f>
        <v>31</v>
      </c>
      <c r="BJ23" s="50">
        <f>VLOOKUP(A23,Interest!$AF$8:$AK$367,6)</f>
        <v>0.97550485790537467</v>
      </c>
      <c r="BK23" s="50"/>
      <c r="BL23">
        <f>J23*VLOOKUP(A23,NymexData!$J$12:$K$244,2)</f>
        <v>98437.659960531673</v>
      </c>
      <c r="BO23">
        <f>Interest!AK19</f>
        <v>0.97550485790537467</v>
      </c>
      <c r="BP23">
        <f>G23*Interest!AK19</f>
        <v>3.1850233610610483</v>
      </c>
      <c r="BQ23">
        <f t="shared" si="11"/>
        <v>0</v>
      </c>
      <c r="BR23">
        <f t="shared" si="12"/>
        <v>0</v>
      </c>
      <c r="BS23">
        <f t="shared" si="13"/>
        <v>0</v>
      </c>
    </row>
    <row r="24" spans="1:71" ht="18" x14ac:dyDescent="0.25">
      <c r="A24" s="98">
        <f>[4]EnergyCurve!$D46</f>
        <v>37561</v>
      </c>
      <c r="B24" s="324">
        <f t="array" ref="B24">SUM(IF(MONTH(NymexData!$AI$12:$AI$250)&amp;YEAR(NymexData!$AI$12:$AI$250)=MONTH(A24)&amp;YEAR(A24),NymexData!$AJ$12:$AJ$250))</f>
        <v>-90.606399039999999</v>
      </c>
      <c r="C24" s="324">
        <f t="shared" si="3"/>
        <v>17.51482170927709</v>
      </c>
      <c r="D24" s="326">
        <f t="shared" si="4"/>
        <v>-73.091577330722913</v>
      </c>
      <c r="E24" s="327">
        <f t="array" ref="E24">SUM(IF(MONTH(NymexData!$S$12:$S$250)&amp;YEAR(NymexData!$S$12:$S$250)=MONTH(A24)&amp;YEAR(A24),NymexData!$T$12:$T$250))</f>
        <v>3.5060000000000002</v>
      </c>
      <c r="F24" s="327">
        <f t="shared" si="5"/>
        <v>-7.2999999999999954E-2</v>
      </c>
      <c r="G24" s="328">
        <f t="array" ref="G24">IF(NymexData!$AA$12="",GasPosn!E24,SUM(IF(MONTH(NymexData!$AA$12:$AA$250)&amp;YEAR(NymexData!$AA$12:$AA$250)=MONTH(A24)&amp;YEAR(A24),NymexData!$AB$12:$AB$250)))</f>
        <v>3.4330000000000003</v>
      </c>
      <c r="H24" s="99">
        <f t="shared" si="6"/>
        <v>66142.671299199952</v>
      </c>
      <c r="I24" s="92">
        <f t="shared" si="14"/>
        <v>24170.453958802449</v>
      </c>
      <c r="J24" s="92">
        <f t="shared" si="0"/>
        <v>90313.125258002401</v>
      </c>
      <c r="L24" s="378"/>
      <c r="M24" s="69"/>
      <c r="O24" s="47">
        <f t="shared" si="1"/>
        <v>37561</v>
      </c>
      <c r="P24">
        <v>-0.5</v>
      </c>
      <c r="Q24">
        <v>3.4</v>
      </c>
      <c r="R24">
        <v>0.5</v>
      </c>
      <c r="S24">
        <v>3.38</v>
      </c>
      <c r="T24">
        <v>0.1</v>
      </c>
      <c r="U24">
        <v>3.2949999999999999</v>
      </c>
      <c r="V24">
        <v>0.5</v>
      </c>
      <c r="W24">
        <v>3.3149999999999999</v>
      </c>
      <c r="BD24" s="48">
        <f t="shared" si="15"/>
        <v>0.6</v>
      </c>
      <c r="BE24" s="334">
        <f t="shared" si="16"/>
        <v>3.3606249999999998</v>
      </c>
      <c r="BF24" s="50"/>
      <c r="BG24" s="51">
        <f t="shared" si="2"/>
        <v>37561</v>
      </c>
      <c r="BH24" s="335">
        <f t="shared" si="17"/>
        <v>1.6</v>
      </c>
      <c r="BI24" s="52">
        <f>VLOOKUP(GasPosn!A24,'Pricing Summary'!$AB$12:$AD$250,3)</f>
        <v>30</v>
      </c>
      <c r="BJ24" s="50">
        <f>VLOOKUP(A24,Interest!$AF$8:$AK$367,6)</f>
        <v>0.97304565051539404</v>
      </c>
      <c r="BK24" s="50"/>
      <c r="BL24">
        <f>J24*VLOOKUP(A24,NymexData!$J$12:$K$244,2)</f>
        <v>142240.28936042316</v>
      </c>
      <c r="BO24">
        <f>Interest!AK20</f>
        <v>0.97304565051539404</v>
      </c>
      <c r="BP24">
        <f>G24*Interest!AK20</f>
        <v>3.340465718219348</v>
      </c>
      <c r="BQ24">
        <f t="shared" si="11"/>
        <v>0</v>
      </c>
      <c r="BR24">
        <f t="shared" si="12"/>
        <v>0</v>
      </c>
      <c r="BS24">
        <f t="shared" si="13"/>
        <v>0</v>
      </c>
    </row>
    <row r="25" spans="1:71" ht="18" x14ac:dyDescent="0.25">
      <c r="A25" s="100">
        <f>[4]EnergyCurve!$D47</f>
        <v>37591</v>
      </c>
      <c r="B25" s="329">
        <f t="array" ref="B25">SUM(IF(MONTH(NymexData!$AI$12:$AI$250)&amp;YEAR(NymexData!$AI$12:$AI$250)=MONTH(A25)&amp;YEAR(A25),NymexData!$AJ$12:$AJ$250))</f>
        <v>-93.390717219999999</v>
      </c>
      <c r="C25" s="330">
        <f t="shared" si="3"/>
        <v>18.050673300845897</v>
      </c>
      <c r="D25" s="331">
        <f t="shared" si="4"/>
        <v>-75.340043919154098</v>
      </c>
      <c r="E25" s="332">
        <f t="array" ref="E25">SUM(IF(MONTH(NymexData!$S$12:$S$250)&amp;YEAR(NymexData!$S$12:$S$250)=MONTH(A25)&amp;YEAR(A25),NymexData!$T$12:$T$250))</f>
        <v>3.706</v>
      </c>
      <c r="F25" s="332">
        <f t="shared" si="5"/>
        <v>-8.3999999999999631E-2</v>
      </c>
      <c r="G25" s="333">
        <f t="array" ref="G25">IF(NymexData!$AA$12="",GasPosn!E25,SUM(IF(MONTH(NymexData!$AA$12:$AA$250)&amp;YEAR(NymexData!$AA$12:$AA$250)=MONTH(A25)&amp;YEAR(A25),NymexData!$AB$12:$AB$250)))</f>
        <v>3.6220000000000003</v>
      </c>
      <c r="H25" s="85">
        <f t="shared" si="6"/>
        <v>78448.202464799659</v>
      </c>
      <c r="I25" s="88">
        <f t="shared" si="14"/>
        <v>59025.701693766154</v>
      </c>
      <c r="J25" s="88">
        <f t="shared" si="0"/>
        <v>137473.9041585658</v>
      </c>
      <c r="L25" s="378"/>
      <c r="M25" s="69"/>
      <c r="O25" s="47">
        <f t="shared" si="1"/>
        <v>37591</v>
      </c>
      <c r="P25">
        <v>-0.5</v>
      </c>
      <c r="Q25">
        <v>3.4</v>
      </c>
      <c r="R25">
        <v>0.5</v>
      </c>
      <c r="S25">
        <v>3.38</v>
      </c>
      <c r="T25">
        <v>0.1</v>
      </c>
      <c r="U25">
        <v>3.2949999999999999</v>
      </c>
      <c r="V25">
        <v>0.5</v>
      </c>
      <c r="W25">
        <v>3.3149999999999999</v>
      </c>
      <c r="BD25" s="48">
        <f t="shared" si="15"/>
        <v>0.6</v>
      </c>
      <c r="BE25" s="334">
        <f t="shared" si="16"/>
        <v>3.3606249999999998</v>
      </c>
      <c r="BF25" s="50"/>
      <c r="BG25" s="51">
        <f t="shared" si="2"/>
        <v>37591</v>
      </c>
      <c r="BH25" s="335">
        <f t="shared" si="17"/>
        <v>1.6</v>
      </c>
      <c r="BI25" s="52">
        <f>VLOOKUP(GasPosn!A25,'Pricing Summary'!$AB$12:$AD$250,3)</f>
        <v>31</v>
      </c>
      <c r="BJ25" s="50">
        <f>VLOOKUP(A25,Interest!$AF$8:$AK$367,6)</f>
        <v>0.97046630649709131</v>
      </c>
      <c r="BK25" s="50"/>
      <c r="BL25">
        <f>J25*VLOOKUP(A25,NymexData!$J$12:$K$244,2)</f>
        <v>216518.19574003271</v>
      </c>
      <c r="BO25">
        <f>Interest!AK21</f>
        <v>0.97046630649709131</v>
      </c>
      <c r="BP25">
        <f>G25*Interest!AK21</f>
        <v>3.5150289621324649</v>
      </c>
      <c r="BQ25">
        <f t="shared" si="11"/>
        <v>0</v>
      </c>
      <c r="BR25">
        <f t="shared" si="12"/>
        <v>0</v>
      </c>
      <c r="BS25">
        <f t="shared" si="13"/>
        <v>0</v>
      </c>
    </row>
    <row r="26" spans="1:71" ht="18" x14ac:dyDescent="0.25">
      <c r="A26" s="98">
        <f>[4]EnergyCurve!$D48</f>
        <v>37622</v>
      </c>
      <c r="B26" s="324">
        <f t="array" ref="B26">SUM(IF(MONTH(NymexData!$AI$12:$AI$250)&amp;YEAR(NymexData!$AI$12:$AI$250)=MONTH(A26)&amp;YEAR(A26),NymexData!$AJ$12:$AJ$250))</f>
        <v>-371.02064608000001</v>
      </c>
      <c r="C26" s="324">
        <f t="shared" si="3"/>
        <v>0</v>
      </c>
      <c r="D26" s="326">
        <f t="shared" si="4"/>
        <v>-371.02064608000001</v>
      </c>
      <c r="E26" s="327">
        <f t="array" ref="E26">SUM(IF(MONTH(NymexData!$S$12:$S$250)&amp;YEAR(NymexData!$S$12:$S$250)=MONTH(A26)&amp;YEAR(A26),NymexData!$T$12:$T$250))</f>
        <v>3.8310000000000004</v>
      </c>
      <c r="F26" s="327">
        <f t="shared" si="5"/>
        <v>-8.4000000000000075E-2</v>
      </c>
      <c r="G26" s="328">
        <f t="array" ref="G26">IF(NymexData!$AA$12="",GasPosn!E26,SUM(IF(MONTH(NymexData!$AA$12:$AA$250)&amp;YEAR(NymexData!$AA$12:$AA$250)=MONTH(A26)&amp;YEAR(A26),NymexData!$AB$12:$AB$250)))</f>
        <v>3.7470000000000003</v>
      </c>
      <c r="H26" s="99">
        <f t="shared" si="6"/>
        <v>311657.34270720027</v>
      </c>
      <c r="I26" s="92">
        <f t="shared" si="14"/>
        <v>0</v>
      </c>
      <c r="J26" s="92">
        <f t="shared" si="0"/>
        <v>311657.34270720027</v>
      </c>
      <c r="L26" s="378"/>
      <c r="M26" s="69"/>
      <c r="O26" s="47">
        <f t="shared" si="1"/>
        <v>37622</v>
      </c>
      <c r="BD26" s="48">
        <f t="shared" si="15"/>
        <v>0</v>
      </c>
      <c r="BE26" s="334">
        <f t="shared" si="16"/>
        <v>0</v>
      </c>
      <c r="BF26" s="50"/>
      <c r="BG26" s="51">
        <f t="shared" si="2"/>
        <v>37622</v>
      </c>
      <c r="BH26" s="335">
        <f t="shared" si="17"/>
        <v>0</v>
      </c>
      <c r="BI26" s="52">
        <f>VLOOKUP(GasPosn!A26,'Pricing Summary'!$AB$12:$AD$250,3)</f>
        <v>31</v>
      </c>
      <c r="BJ26" s="50">
        <f>VLOOKUP(A26,Interest!$AF$8:$AK$367,6)</f>
        <v>0.96772356951013916</v>
      </c>
      <c r="BK26" s="50"/>
      <c r="BL26">
        <f>J26*VLOOKUP(A26,NymexData!$J$12:$K$244,2)</f>
        <v>490874.42469502881</v>
      </c>
      <c r="BO26">
        <f>Interest!AK22</f>
        <v>0.96772356951013916</v>
      </c>
      <c r="BP26">
        <f>G26*Interest!AK22</f>
        <v>3.6260602149544918</v>
      </c>
      <c r="BQ26">
        <f t="shared" si="11"/>
        <v>0</v>
      </c>
      <c r="BR26">
        <f t="shared" si="12"/>
        <v>0</v>
      </c>
      <c r="BS26">
        <f t="shared" si="13"/>
        <v>0</v>
      </c>
    </row>
    <row r="27" spans="1:71" ht="18" x14ac:dyDescent="0.25">
      <c r="A27" s="100">
        <f>[4]EnergyCurve!$D49</f>
        <v>37653</v>
      </c>
      <c r="B27" s="329">
        <f t="array" ref="B27">SUM(IF(MONTH(NymexData!$AI$12:$AI$250)&amp;YEAR(NymexData!$AI$12:$AI$250)=MONTH(A27)&amp;YEAR(A27),NymexData!$AJ$12:$AJ$250))</f>
        <v>-334.11575957000002</v>
      </c>
      <c r="C27" s="330">
        <f t="shared" si="3"/>
        <v>0</v>
      </c>
      <c r="D27" s="331">
        <f t="shared" si="4"/>
        <v>-334.11575957000002</v>
      </c>
      <c r="E27" s="332">
        <f t="array" ref="E27">SUM(IF(MONTH(NymexData!$S$12:$S$250)&amp;YEAR(NymexData!$S$12:$S$250)=MONTH(A27)&amp;YEAR(A27),NymexData!$T$12:$T$250))</f>
        <v>3.7470000000000003</v>
      </c>
      <c r="F27" s="332">
        <f t="shared" si="5"/>
        <v>-9.2000000000000526E-2</v>
      </c>
      <c r="G27" s="333">
        <f t="array" ref="G27">IF(NymexData!$AA$12="",GasPosn!E27,SUM(IF(MONTH(NymexData!$AA$12:$AA$250)&amp;YEAR(NymexData!$AA$12:$AA$250)=MONTH(A27)&amp;YEAR(A27),NymexData!$AB$12:$AB$250)))</f>
        <v>3.6549999999999998</v>
      </c>
      <c r="H27" s="85">
        <f t="shared" si="6"/>
        <v>307386.49880440178</v>
      </c>
      <c r="I27" s="88">
        <f t="shared" si="14"/>
        <v>0</v>
      </c>
      <c r="J27" s="88">
        <f t="shared" si="0"/>
        <v>307386.49880440178</v>
      </c>
      <c r="L27" s="378"/>
      <c r="M27" s="69"/>
      <c r="O27" s="47">
        <f t="shared" si="1"/>
        <v>37653</v>
      </c>
      <c r="BD27" s="48">
        <f t="shared" si="15"/>
        <v>0</v>
      </c>
      <c r="BE27" s="334">
        <f t="shared" si="16"/>
        <v>0</v>
      </c>
      <c r="BF27" s="50"/>
      <c r="BG27" s="51">
        <f t="shared" si="2"/>
        <v>37653</v>
      </c>
      <c r="BH27" s="335">
        <f t="shared" si="17"/>
        <v>0</v>
      </c>
      <c r="BI27" s="52">
        <f>VLOOKUP(GasPosn!A27,'Pricing Summary'!$AB$12:$AD$250,3)</f>
        <v>28</v>
      </c>
      <c r="BJ27" s="50">
        <f>VLOOKUP(A27,Interest!$AF$8:$AK$367,6)</f>
        <v>0.96501279473153012</v>
      </c>
      <c r="BK27" s="50"/>
      <c r="BL27">
        <f>J27*VLOOKUP(A27,NymexData!$J$12:$K$244,2)</f>
        <v>484179.68035639101</v>
      </c>
      <c r="BO27">
        <f>Interest!AK23</f>
        <v>0.96501279473153012</v>
      </c>
      <c r="BP27">
        <f>G27*Interest!AK23</f>
        <v>3.5271217647437423</v>
      </c>
      <c r="BQ27">
        <f t="shared" si="11"/>
        <v>0</v>
      </c>
      <c r="BR27">
        <f t="shared" si="12"/>
        <v>0</v>
      </c>
      <c r="BS27">
        <f t="shared" si="13"/>
        <v>0</v>
      </c>
    </row>
    <row r="28" spans="1:71" ht="18" x14ac:dyDescent="0.25">
      <c r="A28" s="98">
        <f>[4]EnergyCurve!$D50</f>
        <v>37681</v>
      </c>
      <c r="B28" s="324">
        <f t="array" ref="B28">SUM(IF(MONTH(NymexData!$AI$12:$AI$250)&amp;YEAR(NymexData!$AI$12:$AI$250)=MONTH(A28)&amp;YEAR(A28),NymexData!$AJ$12:$AJ$250))</f>
        <v>-368.88560057000001</v>
      </c>
      <c r="C28" s="324">
        <f t="shared" si="3"/>
        <v>0</v>
      </c>
      <c r="D28" s="326">
        <f t="shared" si="4"/>
        <v>-368.88560057000001</v>
      </c>
      <c r="E28" s="327">
        <f t="array" ref="E28">SUM(IF(MONTH(NymexData!$S$12:$S$250)&amp;YEAR(NymexData!$S$12:$S$250)=MONTH(A28)&amp;YEAR(A28),NymexData!$T$12:$T$250))</f>
        <v>3.6520000000000001</v>
      </c>
      <c r="F28" s="327">
        <f t="shared" si="5"/>
        <v>-9.2000000000000082E-2</v>
      </c>
      <c r="G28" s="328">
        <f t="array" ref="G28">IF(NymexData!$AA$12="",GasPosn!E28,SUM(IF(MONTH(NymexData!$AA$12:$AA$250)&amp;YEAR(NymexData!$AA$12:$AA$250)=MONTH(A28)&amp;YEAR(A28),NymexData!$AB$12:$AB$250)))</f>
        <v>3.56</v>
      </c>
      <c r="H28" s="99">
        <f t="shared" si="6"/>
        <v>339374.7525244003</v>
      </c>
      <c r="I28" s="92">
        <f t="shared" si="14"/>
        <v>0</v>
      </c>
      <c r="J28" s="92">
        <f t="shared" si="0"/>
        <v>339374.7525244003</v>
      </c>
      <c r="L28" s="378"/>
      <c r="M28" s="69"/>
      <c r="O28" s="47">
        <f t="shared" si="1"/>
        <v>37681</v>
      </c>
      <c r="BD28" s="48">
        <f t="shared" si="15"/>
        <v>0</v>
      </c>
      <c r="BE28" s="334">
        <f t="shared" si="16"/>
        <v>0</v>
      </c>
      <c r="BF28" s="50"/>
      <c r="BG28" s="51">
        <f t="shared" si="2"/>
        <v>37681</v>
      </c>
      <c r="BH28" s="335">
        <f t="shared" si="17"/>
        <v>0</v>
      </c>
      <c r="BI28" s="52">
        <f>VLOOKUP(GasPosn!A28,'Pricing Summary'!$AB$12:$AD$250,3)</f>
        <v>31</v>
      </c>
      <c r="BJ28" s="50">
        <f>VLOOKUP(A28,Interest!$AF$8:$AK$367,6)</f>
        <v>0.96208950794295822</v>
      </c>
      <c r="BK28" s="50"/>
      <c r="BL28">
        <f>J28*VLOOKUP(A28,NymexData!$J$12:$K$244,2)</f>
        <v>534596.25972936023</v>
      </c>
      <c r="BO28">
        <f>Interest!AK24</f>
        <v>0.96208950794295822</v>
      </c>
      <c r="BP28">
        <f>G28*Interest!AK24</f>
        <v>3.4250386482769315</v>
      </c>
      <c r="BQ28">
        <f t="shared" si="11"/>
        <v>0</v>
      </c>
      <c r="BR28">
        <f t="shared" si="12"/>
        <v>0</v>
      </c>
      <c r="BS28">
        <f t="shared" si="13"/>
        <v>0</v>
      </c>
    </row>
    <row r="29" spans="1:71" ht="18" x14ac:dyDescent="0.25">
      <c r="A29" s="100">
        <f>[4]EnergyCurve!$D51</f>
        <v>37712</v>
      </c>
      <c r="B29" s="329">
        <f t="array" ref="B29">SUM(IF(MONTH(NymexData!$AI$12:$AI$250)&amp;YEAR(NymexData!$AI$12:$AI$250)=MONTH(A29)&amp;YEAR(A29),NymexData!$AJ$12:$AJ$250))</f>
        <v>-355.85398973999997</v>
      </c>
      <c r="C29" s="330">
        <f t="shared" si="3"/>
        <v>0</v>
      </c>
      <c r="D29" s="331">
        <f t="shared" si="4"/>
        <v>-355.85398973999997</v>
      </c>
      <c r="E29" s="332">
        <f t="array" ref="E29">SUM(IF(MONTH(NymexData!$S$12:$S$250)&amp;YEAR(NymexData!$S$12:$S$250)=MONTH(A29)&amp;YEAR(A29),NymexData!$T$12:$T$250))</f>
        <v>3.5270000000000001</v>
      </c>
      <c r="F29" s="332">
        <f t="shared" si="5"/>
        <v>-9.2000000000000082E-2</v>
      </c>
      <c r="G29" s="333">
        <f t="array" ref="G29">IF(NymexData!$AA$12="",GasPosn!E29,SUM(IF(MONTH(NymexData!$AA$12:$AA$250)&amp;YEAR(NymexData!$AA$12:$AA$250)=MONTH(A29)&amp;YEAR(A29),NymexData!$AB$12:$AB$250)))</f>
        <v>3.4350000000000001</v>
      </c>
      <c r="H29" s="85">
        <f t="shared" si="6"/>
        <v>327385.67056080024</v>
      </c>
      <c r="I29" s="88">
        <f t="shared" si="14"/>
        <v>0</v>
      </c>
      <c r="J29" s="88">
        <f t="shared" si="0"/>
        <v>327385.67056080024</v>
      </c>
      <c r="L29" s="378"/>
      <c r="M29" s="69"/>
      <c r="O29" s="47">
        <f t="shared" si="1"/>
        <v>37712</v>
      </c>
      <c r="BD29" s="48">
        <f t="shared" si="15"/>
        <v>0</v>
      </c>
      <c r="BE29" s="334">
        <f t="shared" si="16"/>
        <v>0</v>
      </c>
      <c r="BF29" s="50"/>
      <c r="BG29" s="51">
        <f t="shared" si="2"/>
        <v>37712</v>
      </c>
      <c r="BH29" s="335">
        <f t="shared" si="17"/>
        <v>0</v>
      </c>
      <c r="BI29" s="52">
        <f>VLOOKUP(GasPosn!A29,'Pricing Summary'!$AB$12:$AD$250,3)</f>
        <v>30</v>
      </c>
      <c r="BJ29" s="50">
        <f>VLOOKUP(A29,Interest!$AF$8:$AK$367,6)</f>
        <v>0.95906548922359669</v>
      </c>
      <c r="BK29" s="50"/>
      <c r="BL29">
        <f>J29*VLOOKUP(A29,NymexData!$J$12:$K$244,2)</f>
        <v>515736.63582293259</v>
      </c>
      <c r="BO29">
        <f>Interest!AK25</f>
        <v>0.95906548922359669</v>
      </c>
      <c r="BP29">
        <f>G29*Interest!AK25</f>
        <v>3.2943899554830547</v>
      </c>
      <c r="BQ29">
        <f t="shared" si="11"/>
        <v>0</v>
      </c>
      <c r="BR29">
        <f t="shared" si="12"/>
        <v>0</v>
      </c>
      <c r="BS29">
        <f t="shared" si="13"/>
        <v>0</v>
      </c>
    </row>
    <row r="30" spans="1:71" ht="18" x14ac:dyDescent="0.25">
      <c r="A30" s="98">
        <f>[4]EnergyCurve!$D52</f>
        <v>37742</v>
      </c>
      <c r="B30" s="324">
        <f t="array" ref="B30">SUM(IF(MONTH(NymexData!$AI$12:$AI$250)&amp;YEAR(NymexData!$AI$12:$AI$250)=MONTH(A30)&amp;YEAR(A30),NymexData!$AJ$12:$AJ$250))</f>
        <v>-366.55265517999999</v>
      </c>
      <c r="C30" s="324">
        <f t="shared" si="3"/>
        <v>0</v>
      </c>
      <c r="D30" s="326">
        <f t="shared" si="4"/>
        <v>-366.55265517999999</v>
      </c>
      <c r="E30" s="327">
        <f t="array" ref="E30">SUM(IF(MONTH(NymexData!$S$12:$S$250)&amp;YEAR(NymexData!$S$12:$S$250)=MONTH(A30)&amp;YEAR(A30),NymexData!$T$12:$T$250))</f>
        <v>3.5260000000000002</v>
      </c>
      <c r="F30" s="327">
        <f t="shared" si="5"/>
        <v>-9.1000000000000192E-2</v>
      </c>
      <c r="G30" s="328">
        <f t="array" ref="G30">IF(NymexData!$AA$12="",GasPosn!E30,SUM(IF(MONTH(NymexData!$AA$12:$AA$250)&amp;YEAR(NymexData!$AA$12:$AA$250)=MONTH(A30)&amp;YEAR(A30),NymexData!$AB$12:$AB$250)))</f>
        <v>3.4350000000000001</v>
      </c>
      <c r="H30" s="99">
        <f t="shared" si="6"/>
        <v>333562.91621380072</v>
      </c>
      <c r="I30" s="92">
        <f t="shared" si="7"/>
        <v>0</v>
      </c>
      <c r="J30" s="92">
        <f t="shared" si="0"/>
        <v>333562.91621380072</v>
      </c>
      <c r="L30" s="378"/>
      <c r="M30" s="69"/>
      <c r="O30" s="47">
        <f t="shared" si="1"/>
        <v>37742</v>
      </c>
      <c r="BD30" s="48">
        <f t="shared" si="8"/>
        <v>0</v>
      </c>
      <c r="BE30" s="334">
        <f t="shared" si="9"/>
        <v>0</v>
      </c>
      <c r="BF30" s="50"/>
      <c r="BG30" s="51">
        <f t="shared" si="2"/>
        <v>37742</v>
      </c>
      <c r="BH30" s="335">
        <f t="shared" si="10"/>
        <v>0</v>
      </c>
      <c r="BI30" s="52">
        <f>VLOOKUP(GasPosn!A30,'Pricing Summary'!$AB$12:$AD$250,3)</f>
        <v>31</v>
      </c>
      <c r="BJ30" s="50">
        <f>VLOOKUP(A30,Interest!$AF$8:$AK$367,6)</f>
        <v>0.95592074117655512</v>
      </c>
      <c r="BK30" s="50"/>
      <c r="BL30">
        <f>J30*VLOOKUP(A30,NymexData!$J$12:$K$244,2)</f>
        <v>525491.81949358108</v>
      </c>
      <c r="BO30">
        <f>Interest!AK26</f>
        <v>0.95592074117655512</v>
      </c>
      <c r="BP30">
        <f>G30*Interest!AK26</f>
        <v>3.2835877459414671</v>
      </c>
      <c r="BQ30">
        <f t="shared" si="11"/>
        <v>0</v>
      </c>
      <c r="BR30">
        <f t="shared" si="12"/>
        <v>0</v>
      </c>
      <c r="BS30">
        <f t="shared" si="13"/>
        <v>0</v>
      </c>
    </row>
    <row r="31" spans="1:71" ht="18" x14ac:dyDescent="0.25">
      <c r="A31" s="100">
        <f>[4]EnergyCurve!$D53</f>
        <v>37773</v>
      </c>
      <c r="B31" s="329">
        <f t="array" ref="B31">SUM(IF(MONTH(NymexData!$AI$12:$AI$250)&amp;YEAR(NymexData!$AI$12:$AI$250)=MONTH(A31)&amp;YEAR(A31),NymexData!$AJ$12:$AJ$250))</f>
        <v>-353.53452242999998</v>
      </c>
      <c r="C31" s="330">
        <f t="shared" si="3"/>
        <v>0</v>
      </c>
      <c r="D31" s="331">
        <f t="shared" si="4"/>
        <v>-353.53452242999998</v>
      </c>
      <c r="E31" s="332">
        <f t="array" ref="E31">SUM(IF(MONTH(NymexData!$S$12:$S$250)&amp;YEAR(NymexData!$S$12:$S$250)=MONTH(A31)&amp;YEAR(A31),NymexData!$T$12:$T$250))</f>
        <v>3.5460000000000003</v>
      </c>
      <c r="F31" s="332">
        <f t="shared" si="5"/>
        <v>-9.1000000000000192E-2</v>
      </c>
      <c r="G31" s="333">
        <f t="array" ref="G31">IF(NymexData!$AA$12="",GasPosn!E31,SUM(IF(MONTH(NymexData!$AA$12:$AA$250)&amp;YEAR(NymexData!$AA$12:$AA$250)=MONTH(A31)&amp;YEAR(A31),NymexData!$AB$12:$AB$250)))</f>
        <v>3.4550000000000001</v>
      </c>
      <c r="H31" s="85">
        <f t="shared" si="6"/>
        <v>321716.41541130067</v>
      </c>
      <c r="I31" s="88">
        <f t="shared" si="7"/>
        <v>0</v>
      </c>
      <c r="J31" s="88">
        <f t="shared" si="0"/>
        <v>321716.41541130067</v>
      </c>
      <c r="L31" s="378"/>
      <c r="M31" s="69"/>
      <c r="O31" s="47">
        <f t="shared" si="1"/>
        <v>37773</v>
      </c>
      <c r="BD31" s="48">
        <f t="shared" si="8"/>
        <v>0</v>
      </c>
      <c r="BE31" s="334">
        <f t="shared" si="9"/>
        <v>0</v>
      </c>
      <c r="BF31" s="50"/>
      <c r="BG31" s="51">
        <f t="shared" si="2"/>
        <v>37773</v>
      </c>
      <c r="BH31" s="335">
        <f t="shared" si="10"/>
        <v>0</v>
      </c>
      <c r="BI31" s="52">
        <f>VLOOKUP(GasPosn!A31,'Pricing Summary'!$AB$12:$AD$250,3)</f>
        <v>30</v>
      </c>
      <c r="BJ31" s="50">
        <f>VLOOKUP(A31,Interest!$AF$8:$AK$367,6)</f>
        <v>0.95273295750909415</v>
      </c>
      <c r="BK31" s="50"/>
      <c r="BL31">
        <f>J31*VLOOKUP(A31,NymexData!$J$12:$K$244,2)</f>
        <v>506850.70790812181</v>
      </c>
      <c r="BO31">
        <f>Interest!AK27</f>
        <v>0.95273295750909415</v>
      </c>
      <c r="BP31">
        <f>G31*Interest!AK27</f>
        <v>3.2916923681939205</v>
      </c>
      <c r="BQ31">
        <f t="shared" si="11"/>
        <v>0</v>
      </c>
      <c r="BR31">
        <f t="shared" si="12"/>
        <v>0</v>
      </c>
      <c r="BS31">
        <f t="shared" si="13"/>
        <v>0</v>
      </c>
    </row>
    <row r="32" spans="1:71" ht="18" x14ac:dyDescent="0.25">
      <c r="A32" s="98">
        <f>[4]EnergyCurve!$D54</f>
        <v>37803</v>
      </c>
      <c r="B32" s="324">
        <f t="array" ref="B32">SUM(IF(MONTH(NymexData!$AI$12:$AI$250)&amp;YEAR(NymexData!$AI$12:$AI$250)=MONTH(A32)&amp;YEAR(A32),NymexData!$AJ$12:$AJ$250))</f>
        <v>-364.09477694999998</v>
      </c>
      <c r="C32" s="324">
        <f t="shared" si="3"/>
        <v>0</v>
      </c>
      <c r="D32" s="326">
        <f t="shared" si="4"/>
        <v>-364.09477694999998</v>
      </c>
      <c r="E32" s="327">
        <f t="array" ref="E32">SUM(IF(MONTH(NymexData!$S$12:$S$250)&amp;YEAR(NymexData!$S$12:$S$250)=MONTH(A32)&amp;YEAR(A32),NymexData!$T$12:$T$250))</f>
        <v>3.5710000000000002</v>
      </c>
      <c r="F32" s="327">
        <f t="shared" si="5"/>
        <v>-9.1000000000000192E-2</v>
      </c>
      <c r="G32" s="328">
        <f t="array" ref="G32">IF(NymexData!$AA$12="",GasPosn!E32,SUM(IF(MONTH(NymexData!$AA$12:$AA$250)&amp;YEAR(NymexData!$AA$12:$AA$250)=MONTH(A32)&amp;YEAR(A32),NymexData!$AB$12:$AB$250)))</f>
        <v>3.48</v>
      </c>
      <c r="H32" s="99">
        <f t="shared" si="6"/>
        <v>331326.24702450068</v>
      </c>
      <c r="I32" s="92">
        <f t="shared" si="7"/>
        <v>0</v>
      </c>
      <c r="J32" s="92">
        <f t="shared" si="0"/>
        <v>331326.24702450068</v>
      </c>
      <c r="L32" s="378"/>
      <c r="M32" s="69"/>
      <c r="O32" s="47">
        <f t="shared" si="1"/>
        <v>37803</v>
      </c>
      <c r="BD32" s="48">
        <f t="shared" si="8"/>
        <v>0</v>
      </c>
      <c r="BE32" s="334">
        <f t="shared" si="9"/>
        <v>0</v>
      </c>
      <c r="BF32" s="50"/>
      <c r="BG32" s="51">
        <f t="shared" si="2"/>
        <v>37803</v>
      </c>
      <c r="BH32" s="335">
        <f t="shared" si="10"/>
        <v>0</v>
      </c>
      <c r="BI32" s="52">
        <f>VLOOKUP(GasPosn!A32,'Pricing Summary'!$AB$12:$AD$250,3)</f>
        <v>31</v>
      </c>
      <c r="BJ32" s="50">
        <f>VLOOKUP(A32,Interest!$AF$8:$AK$367,6)</f>
        <v>0.94941365641009356</v>
      </c>
      <c r="BK32" s="50"/>
      <c r="BL32">
        <f>J32*VLOOKUP(A32,NymexData!$J$12:$K$244,2)</f>
        <v>522004.22691997589</v>
      </c>
      <c r="BO32">
        <f>Interest!AK28</f>
        <v>0.94941365641009356</v>
      </c>
      <c r="BP32">
        <f>G32*Interest!AK28</f>
        <v>3.3039595243071256</v>
      </c>
      <c r="BQ32">
        <f t="shared" si="11"/>
        <v>0</v>
      </c>
      <c r="BR32">
        <f t="shared" si="12"/>
        <v>0</v>
      </c>
      <c r="BS32">
        <f t="shared" si="13"/>
        <v>0</v>
      </c>
    </row>
    <row r="33" spans="1:71" ht="18" x14ac:dyDescent="0.25">
      <c r="A33" s="100">
        <f>[4]EnergyCurve!$D55</f>
        <v>37834</v>
      </c>
      <c r="B33" s="329">
        <f t="array" ref="B33">SUM(IF(MONTH(NymexData!$AI$12:$AI$250)&amp;YEAR(NymexData!$AI$12:$AI$250)=MONTH(A33)&amp;YEAR(A33),NymexData!$AJ$12:$AJ$250))</f>
        <v>-362.79871715000002</v>
      </c>
      <c r="C33" s="330">
        <f t="shared" si="3"/>
        <v>0</v>
      </c>
      <c r="D33" s="331">
        <f t="shared" si="4"/>
        <v>-362.79871715000002</v>
      </c>
      <c r="E33" s="332">
        <f t="array" ref="E33">SUM(IF(MONTH(NymexData!$S$12:$S$250)&amp;YEAR(NymexData!$S$12:$S$250)=MONTH(A33)&amp;YEAR(A33),NymexData!$T$12:$T$250))</f>
        <v>3.6030000000000002</v>
      </c>
      <c r="F33" s="332">
        <f t="shared" si="5"/>
        <v>-9.1000000000000192E-2</v>
      </c>
      <c r="G33" s="333">
        <f t="array" ref="G33">IF(NymexData!$AA$12="",GasPosn!E33,SUM(IF(MONTH(NymexData!$AA$12:$AA$250)&amp;YEAR(NymexData!$AA$12:$AA$250)=MONTH(A33)&amp;YEAR(A33),NymexData!$AB$12:$AB$250)))</f>
        <v>3.512</v>
      </c>
      <c r="H33" s="85">
        <f t="shared" si="6"/>
        <v>330146.83260650071</v>
      </c>
      <c r="I33" s="88">
        <f t="shared" si="7"/>
        <v>0</v>
      </c>
      <c r="J33" s="88">
        <f t="shared" si="0"/>
        <v>330146.83260650071</v>
      </c>
      <c r="L33" s="378"/>
      <c r="M33" s="69"/>
      <c r="O33" s="47">
        <f t="shared" si="1"/>
        <v>37834</v>
      </c>
      <c r="BD33" s="48">
        <f t="shared" si="8"/>
        <v>0</v>
      </c>
      <c r="BE33" s="334">
        <f t="shared" si="9"/>
        <v>0</v>
      </c>
      <c r="BF33" s="50"/>
      <c r="BG33" s="51">
        <f t="shared" si="2"/>
        <v>37834</v>
      </c>
      <c r="BH33" s="335">
        <f t="shared" si="10"/>
        <v>0</v>
      </c>
      <c r="BI33" s="52">
        <f>VLOOKUP(GasPosn!A33,'Pricing Summary'!$AB$12:$AD$250,3)</f>
        <v>31</v>
      </c>
      <c r="BJ33" s="50">
        <f>VLOOKUP(A33,Interest!$AF$8:$AK$367,6)</f>
        <v>0.94596925460818626</v>
      </c>
      <c r="BK33" s="50"/>
      <c r="BL33">
        <f>J33*VLOOKUP(A33,NymexData!$J$12:$K$244,2)</f>
        <v>520148.48137259588</v>
      </c>
      <c r="BO33">
        <f>Interest!AK29</f>
        <v>0.94596925460818626</v>
      </c>
      <c r="BP33">
        <f>G33*Interest!AK29</f>
        <v>3.3222440221839502</v>
      </c>
      <c r="BQ33">
        <f t="shared" si="11"/>
        <v>0</v>
      </c>
      <c r="BR33">
        <f t="shared" si="12"/>
        <v>0</v>
      </c>
      <c r="BS33">
        <f t="shared" si="13"/>
        <v>0</v>
      </c>
    </row>
    <row r="34" spans="1:71" ht="18" x14ac:dyDescent="0.25">
      <c r="A34" s="98">
        <f>[4]EnergyCurve!$D56</f>
        <v>37865</v>
      </c>
      <c r="B34" s="324">
        <f t="array" ref="B34">SUM(IF(MONTH(NymexData!$AI$12:$AI$250)&amp;YEAR(NymexData!$AI$12:$AI$250)=MONTH(A34)&amp;YEAR(A34),NymexData!$AJ$12:$AJ$250))</f>
        <v>-349.81113524</v>
      </c>
      <c r="C34" s="325">
        <f t="shared" si="3"/>
        <v>0</v>
      </c>
      <c r="D34" s="326">
        <f t="shared" si="4"/>
        <v>-349.81113524</v>
      </c>
      <c r="E34" s="327">
        <f t="array" ref="E34">SUM(IF(MONTH(NymexData!$S$12:$S$250)&amp;YEAR(NymexData!$S$12:$S$250)=MONTH(A34)&amp;YEAR(A34),NymexData!$T$12:$T$250))</f>
        <v>3.6030000000000002</v>
      </c>
      <c r="F34" s="327">
        <f t="shared" si="5"/>
        <v>-8.5999999999999854E-2</v>
      </c>
      <c r="G34" s="328">
        <f t="array" ref="G34">IF(NymexData!$AA$12="",GasPosn!E34,SUM(IF(MONTH(NymexData!$AA$12:$AA$250)&amp;YEAR(NymexData!$AA$12:$AA$250)=MONTH(A34)&amp;YEAR(A34),NymexData!$AB$12:$AB$250)))</f>
        <v>3.5170000000000003</v>
      </c>
      <c r="H34" s="99">
        <f t="shared" si="6"/>
        <v>300837.57630639948</v>
      </c>
      <c r="I34" s="92">
        <f t="shared" si="7"/>
        <v>0</v>
      </c>
      <c r="J34" s="92">
        <f t="shared" si="0"/>
        <v>300837.57630639948</v>
      </c>
      <c r="L34" s="378"/>
      <c r="M34" s="69"/>
      <c r="O34" s="47">
        <f t="shared" si="1"/>
        <v>37865</v>
      </c>
      <c r="BD34" s="48">
        <f t="shared" si="8"/>
        <v>0</v>
      </c>
      <c r="BE34" s="334">
        <f t="shared" si="9"/>
        <v>0</v>
      </c>
      <c r="BF34" s="50"/>
      <c r="BG34" s="51">
        <f t="shared" si="2"/>
        <v>37865</v>
      </c>
      <c r="BH34" s="335">
        <f t="shared" si="10"/>
        <v>0</v>
      </c>
      <c r="BI34" s="52">
        <f>VLOOKUP(GasPosn!A34,'Pricing Summary'!$AB$12:$AD$250,3)</f>
        <v>30</v>
      </c>
      <c r="BJ34" s="50">
        <f>VLOOKUP(A34,Interest!$AF$8:$AK$367,6)</f>
        <v>0.94251703784326879</v>
      </c>
      <c r="BK34" s="50"/>
      <c r="BL34">
        <f>J34*VLOOKUP(A34,NymexData!$J$12:$K$244,2)</f>
        <v>473970.34577661706</v>
      </c>
      <c r="BO34">
        <f>Interest!AK30</f>
        <v>0.94251703784326879</v>
      </c>
      <c r="BP34">
        <f>G34*Interest!AK30</f>
        <v>3.3148324220947765</v>
      </c>
      <c r="BQ34">
        <f t="shared" si="11"/>
        <v>0</v>
      </c>
      <c r="BR34">
        <f t="shared" si="12"/>
        <v>0</v>
      </c>
      <c r="BS34">
        <f t="shared" si="13"/>
        <v>0</v>
      </c>
    </row>
    <row r="35" spans="1:71" ht="18" x14ac:dyDescent="0.25">
      <c r="A35" s="100">
        <f>[4]EnergyCurve!$D57</f>
        <v>37895</v>
      </c>
      <c r="B35" s="329">
        <f t="array" ref="B35">SUM(IF(MONTH(NymexData!$AI$12:$AI$250)&amp;YEAR(NymexData!$AI$12:$AI$250)=MONTH(A35)&amp;YEAR(A35),NymexData!$AJ$12:$AJ$250))</f>
        <v>-360.15781757000002</v>
      </c>
      <c r="C35" s="330">
        <f t="shared" si="3"/>
        <v>0</v>
      </c>
      <c r="D35" s="331">
        <f t="shared" si="4"/>
        <v>-360.15781757000002</v>
      </c>
      <c r="E35" s="332">
        <f t="array" ref="E35">SUM(IF(MONTH(NymexData!$S$12:$S$250)&amp;YEAR(NymexData!$S$12:$S$250)=MONTH(A35)&amp;YEAR(A35),NymexData!$T$12:$T$250))</f>
        <v>3.6180000000000003</v>
      </c>
      <c r="F35" s="332">
        <f t="shared" si="5"/>
        <v>-8.0999999999999961E-2</v>
      </c>
      <c r="G35" s="333">
        <f t="array" ref="G35">IF(NymexData!$AA$12="",GasPosn!E35,SUM(IF(MONTH(NymexData!$AA$12:$AA$250)&amp;YEAR(NymexData!$AA$12:$AA$250)=MONTH(A35)&amp;YEAR(A35),NymexData!$AB$12:$AB$250)))</f>
        <v>3.5370000000000004</v>
      </c>
      <c r="H35" s="85">
        <f t="shared" si="6"/>
        <v>291727.83223169984</v>
      </c>
      <c r="I35" s="88">
        <f t="shared" si="7"/>
        <v>0</v>
      </c>
      <c r="J35" s="88">
        <f t="shared" si="0"/>
        <v>291727.83223169984</v>
      </c>
      <c r="L35" s="378"/>
      <c r="M35" s="69"/>
      <c r="O35" s="47">
        <f t="shared" si="1"/>
        <v>37895</v>
      </c>
      <c r="BD35" s="48">
        <f t="shared" si="8"/>
        <v>0</v>
      </c>
      <c r="BE35" s="334">
        <f t="shared" si="9"/>
        <v>0</v>
      </c>
      <c r="BF35" s="50"/>
      <c r="BG35" s="51">
        <f t="shared" si="2"/>
        <v>37895</v>
      </c>
      <c r="BH35" s="335">
        <f t="shared" si="10"/>
        <v>0</v>
      </c>
      <c r="BI35" s="52">
        <f>VLOOKUP(GasPosn!A35,'Pricing Summary'!$AB$12:$AD$250,3)</f>
        <v>31</v>
      </c>
      <c r="BJ35" s="50">
        <f>VLOOKUP(A35,Interest!$AF$8:$AK$367,6)</f>
        <v>0.93895681531458863</v>
      </c>
      <c r="BK35" s="50"/>
      <c r="BL35">
        <f>J35*VLOOKUP(A35,NymexData!$J$12:$K$244,2)</f>
        <v>459617.90530763561</v>
      </c>
      <c r="BO35">
        <f>Interest!AK31</f>
        <v>0.93895681531458863</v>
      </c>
      <c r="BP35">
        <f>G35*Interest!AK31</f>
        <v>3.3210902557677002</v>
      </c>
      <c r="BQ35">
        <f t="shared" si="11"/>
        <v>0</v>
      </c>
      <c r="BR35">
        <f t="shared" si="12"/>
        <v>0</v>
      </c>
      <c r="BS35">
        <f t="shared" si="13"/>
        <v>0</v>
      </c>
    </row>
    <row r="36" spans="1:71" ht="18" x14ac:dyDescent="0.25">
      <c r="A36" s="98">
        <f>[4]EnergyCurve!$D58</f>
        <v>37926</v>
      </c>
      <c r="B36" s="324">
        <f t="array" ref="B36">SUM(IF(MONTH(NymexData!$AI$12:$AI$250)&amp;YEAR(NymexData!$AI$12:$AI$250)=MONTH(A36)&amp;YEAR(A36),NymexData!$AJ$12:$AJ$250))</f>
        <v>-347.21657542999998</v>
      </c>
      <c r="C36" s="324">
        <f t="shared" si="3"/>
        <v>0</v>
      </c>
      <c r="D36" s="326">
        <f t="shared" si="4"/>
        <v>-347.21657542999998</v>
      </c>
      <c r="E36" s="327">
        <f t="array" ref="E36">SUM(IF(MONTH(NymexData!$S$12:$S$250)&amp;YEAR(NymexData!$S$12:$S$250)=MONTH(A36)&amp;YEAR(A36),NymexData!$T$12:$T$250))</f>
        <v>3.7810000000000001</v>
      </c>
      <c r="F36" s="327">
        <f t="shared" si="5"/>
        <v>-7.6000000000000068E-2</v>
      </c>
      <c r="G36" s="328">
        <f t="array" ref="G36">IF(NymexData!$AA$12="",GasPosn!E36,SUM(IF(MONTH(NymexData!$AA$12:$AA$250)&amp;YEAR(NymexData!$AA$12:$AA$250)=MONTH(A36)&amp;YEAR(A36),NymexData!$AB$12:$AB$250)))</f>
        <v>3.7050000000000001</v>
      </c>
      <c r="H36" s="99">
        <f t="shared" si="6"/>
        <v>263884.59732680023</v>
      </c>
      <c r="I36" s="92">
        <f t="shared" si="7"/>
        <v>0</v>
      </c>
      <c r="J36" s="92">
        <f t="shared" si="0"/>
        <v>263884.59732680023</v>
      </c>
      <c r="L36" s="378"/>
      <c r="M36" s="69"/>
      <c r="O36" s="47">
        <f t="shared" si="1"/>
        <v>37926</v>
      </c>
      <c r="BD36" s="48">
        <f t="shared" si="8"/>
        <v>0</v>
      </c>
      <c r="BE36" s="334">
        <f t="shared" si="9"/>
        <v>0</v>
      </c>
      <c r="BF36" s="50"/>
      <c r="BG36" s="51">
        <f t="shared" si="2"/>
        <v>37926</v>
      </c>
      <c r="BH36" s="335">
        <f t="shared" si="10"/>
        <v>0</v>
      </c>
      <c r="BI36" s="52">
        <f>VLOOKUP(GasPosn!A36,'Pricing Summary'!$AB$12:$AD$250,3)</f>
        <v>30</v>
      </c>
      <c r="BJ36" s="50">
        <f>VLOOKUP(A36,Interest!$AF$8:$AK$367,6)</f>
        <v>0.93538000488636297</v>
      </c>
      <c r="BK36" s="50"/>
      <c r="BL36">
        <f>J36*VLOOKUP(A36,NymexData!$J$12:$K$244,2)</f>
        <v>415743.470043712</v>
      </c>
      <c r="BO36">
        <f>Interest!AK32</f>
        <v>0.93538000488636297</v>
      </c>
      <c r="BP36">
        <f>G36*Interest!AK32</f>
        <v>3.465582918103975</v>
      </c>
      <c r="BQ36">
        <f t="shared" si="11"/>
        <v>0</v>
      </c>
      <c r="BR36">
        <f t="shared" si="12"/>
        <v>0</v>
      </c>
      <c r="BS36">
        <f t="shared" si="13"/>
        <v>0</v>
      </c>
    </row>
    <row r="37" spans="1:71" ht="18" x14ac:dyDescent="0.25">
      <c r="A37" s="100">
        <f>[4]EnergyCurve!$D59</f>
        <v>37956</v>
      </c>
      <c r="B37" s="329">
        <f t="array" ref="B37">SUM(IF(MONTH(NymexData!$AI$12:$AI$250)&amp;YEAR(NymexData!$AI$12:$AI$250)=MONTH(A37)&amp;YEAR(A37),NymexData!$AJ$12:$AJ$250))</f>
        <v>-357.4977945</v>
      </c>
      <c r="C37" s="330">
        <f t="shared" si="3"/>
        <v>0</v>
      </c>
      <c r="D37" s="331">
        <f t="shared" si="4"/>
        <v>-357.4977945</v>
      </c>
      <c r="E37" s="332">
        <f t="array" ref="E37">SUM(IF(MONTH(NymexData!$S$12:$S$250)&amp;YEAR(NymexData!$S$12:$S$250)=MONTH(A37)&amp;YEAR(A37),NymexData!$T$12:$T$250))</f>
        <v>3.9280000000000004</v>
      </c>
      <c r="F37" s="332">
        <f t="shared" si="5"/>
        <v>-7.1000000000000174E-2</v>
      </c>
      <c r="G37" s="333">
        <f t="array" ref="G37">IF(NymexData!$AA$12="",GasPosn!E37,SUM(IF(MONTH(NymexData!$AA$12:$AA$250)&amp;YEAR(NymexData!$AA$12:$AA$250)=MONTH(A37)&amp;YEAR(A37),NymexData!$AB$12:$AB$250)))</f>
        <v>3.8570000000000002</v>
      </c>
      <c r="H37" s="85">
        <f t="shared" si="6"/>
        <v>253823.43409500062</v>
      </c>
      <c r="I37" s="88">
        <f t="shared" si="7"/>
        <v>0</v>
      </c>
      <c r="J37" s="88">
        <f t="shared" si="0"/>
        <v>253823.43409500062</v>
      </c>
      <c r="L37" s="378"/>
      <c r="M37" s="69"/>
      <c r="O37" s="47">
        <f t="shared" si="1"/>
        <v>37956</v>
      </c>
      <c r="BD37" s="48">
        <f t="shared" si="8"/>
        <v>0</v>
      </c>
      <c r="BE37" s="334">
        <f t="shared" si="9"/>
        <v>0</v>
      </c>
      <c r="BF37" s="50"/>
      <c r="BG37" s="51">
        <f t="shared" si="2"/>
        <v>37956</v>
      </c>
      <c r="BH37" s="335">
        <f t="shared" si="10"/>
        <v>0</v>
      </c>
      <c r="BI37" s="52">
        <f>VLOOKUP(GasPosn!A37,'Pricing Summary'!$AB$12:$AD$250,3)</f>
        <v>31</v>
      </c>
      <c r="BJ37" s="50">
        <f>VLOOKUP(A37,Interest!$AF$8:$AK$367,6)</f>
        <v>0.93168266894648055</v>
      </c>
      <c r="BK37" s="50"/>
      <c r="BL37">
        <f>J37*VLOOKUP(A37,NymexData!$J$12:$K$244,2)</f>
        <v>399833.47238503495</v>
      </c>
      <c r="BO37">
        <f>Interest!AK33</f>
        <v>0.93168266894648055</v>
      </c>
      <c r="BP37">
        <f>G37*Interest!AK33</f>
        <v>3.5935000541265758</v>
      </c>
      <c r="BQ37">
        <f t="shared" si="11"/>
        <v>0</v>
      </c>
      <c r="BR37">
        <f t="shared" si="12"/>
        <v>0</v>
      </c>
      <c r="BS37">
        <f t="shared" si="13"/>
        <v>0</v>
      </c>
    </row>
    <row r="38" spans="1:71" ht="18" x14ac:dyDescent="0.25">
      <c r="A38" s="98">
        <f>[4]EnergyCurve!$D60</f>
        <v>37987</v>
      </c>
      <c r="B38" s="324">
        <f t="array" ref="B38">SUM(IF(MONTH(NymexData!$AI$12:$AI$250)&amp;YEAR(NymexData!$AI$12:$AI$250)=MONTH(A38)&amp;YEAR(A38),NymexData!$AJ$12:$AJ$250))</f>
        <v>-209.06924004999999</v>
      </c>
      <c r="C38" s="324">
        <f t="shared" si="3"/>
        <v>0</v>
      </c>
      <c r="D38" s="326">
        <f t="shared" si="4"/>
        <v>-209.06924004999999</v>
      </c>
      <c r="E38" s="327">
        <f t="array" ref="E38">SUM(IF(MONTH(NymexData!$S$12:$S$250)&amp;YEAR(NymexData!$S$12:$S$250)=MONTH(A38)&amp;YEAR(A38),NymexData!$T$12:$T$250))</f>
        <v>3.968</v>
      </c>
      <c r="F38" s="327">
        <f t="shared" si="5"/>
        <v>-6.0999999999999943E-2</v>
      </c>
      <c r="G38" s="328">
        <f t="array" ref="G38">IF(NymexData!$AA$12="",GasPosn!E38,SUM(IF(MONTH(NymexData!$AA$12:$AA$250)&amp;YEAR(NymexData!$AA$12:$AA$250)=MONTH(A38)&amp;YEAR(A38),NymexData!$AB$12:$AB$250)))</f>
        <v>3.907</v>
      </c>
      <c r="H38" s="99">
        <f t="shared" si="6"/>
        <v>127532.23643049988</v>
      </c>
      <c r="I38" s="92">
        <f t="shared" si="7"/>
        <v>0</v>
      </c>
      <c r="J38" s="92">
        <f t="shared" si="0"/>
        <v>127532.23643049988</v>
      </c>
      <c r="L38" s="378"/>
      <c r="M38" s="69"/>
      <c r="O38" s="47">
        <f t="shared" si="1"/>
        <v>37987</v>
      </c>
      <c r="BD38" s="48">
        <f t="shared" si="8"/>
        <v>0</v>
      </c>
      <c r="BE38" s="334">
        <f t="shared" si="9"/>
        <v>0</v>
      </c>
      <c r="BF38" s="25"/>
      <c r="BG38" s="51">
        <f t="shared" si="2"/>
        <v>37987</v>
      </c>
      <c r="BH38" s="335">
        <f t="shared" si="10"/>
        <v>0</v>
      </c>
      <c r="BI38" s="52">
        <f>VLOOKUP(GasPosn!A38,'Pricing Summary'!$AB$12:$AD$250,3)</f>
        <v>31</v>
      </c>
      <c r="BJ38" s="50">
        <f>VLOOKUP(A38,Interest!$AF$8:$AK$367,6)</f>
        <v>0.92787870903644309</v>
      </c>
      <c r="BK38" s="50"/>
      <c r="BL38">
        <f>J38*VLOOKUP(A38,NymexData!$J$12:$K$244,2)</f>
        <v>200861.50991740607</v>
      </c>
      <c r="BO38">
        <f>Interest!AK34</f>
        <v>0.92787870903644309</v>
      </c>
      <c r="BP38">
        <f>G38*Interest!AK34</f>
        <v>3.625222116205383</v>
      </c>
      <c r="BQ38">
        <f t="shared" si="11"/>
        <v>1</v>
      </c>
      <c r="BR38">
        <f t="shared" si="12"/>
        <v>0.92787870903644309</v>
      </c>
      <c r="BS38">
        <f t="shared" si="13"/>
        <v>3.625222116205383</v>
      </c>
    </row>
    <row r="39" spans="1:71" ht="18" x14ac:dyDescent="0.25">
      <c r="A39" s="100">
        <f>[4]EnergyCurve!$D61</f>
        <v>38018</v>
      </c>
      <c r="B39" s="329">
        <f t="array" ref="B39">SUM(IF(MONTH(NymexData!$AI$12:$AI$250)&amp;YEAR(NymexData!$AI$12:$AI$250)=MONTH(A39)&amp;YEAR(A39),NymexData!$AJ$12:$AJ$250))</f>
        <v>-194.82160343000001</v>
      </c>
      <c r="C39" s="330">
        <f t="shared" si="3"/>
        <v>0</v>
      </c>
      <c r="D39" s="331">
        <f t="shared" si="4"/>
        <v>-194.82160343000001</v>
      </c>
      <c r="E39" s="332">
        <f t="array" ref="E39">SUM(IF(MONTH(NymexData!$S$12:$S$250)&amp;YEAR(NymexData!$S$12:$S$250)=MONTH(A39)&amp;YEAR(A39),NymexData!$T$12:$T$250))</f>
        <v>3.8810000000000002</v>
      </c>
      <c r="F39" s="332">
        <f t="shared" si="5"/>
        <v>-6.1999999999999833E-2</v>
      </c>
      <c r="G39" s="333">
        <f t="array" ref="G39">IF(NymexData!$AA$12="",GasPosn!E39,SUM(IF(MONTH(NymexData!$AA$12:$AA$250)&amp;YEAR(NymexData!$AA$12:$AA$250)=MONTH(A39)&amp;YEAR(A39),NymexData!$AB$12:$AB$250)))</f>
        <v>3.8190000000000004</v>
      </c>
      <c r="H39" s="85">
        <f t="shared" si="6"/>
        <v>120789.39412659968</v>
      </c>
      <c r="I39" s="88">
        <f t="shared" si="7"/>
        <v>0</v>
      </c>
      <c r="J39" s="88">
        <f t="shared" si="0"/>
        <v>120789.39412659968</v>
      </c>
      <c r="L39" s="378"/>
      <c r="M39" s="69"/>
      <c r="O39" s="47">
        <f t="shared" si="1"/>
        <v>38018</v>
      </c>
      <c r="BD39" s="48">
        <f t="shared" si="8"/>
        <v>0</v>
      </c>
      <c r="BE39" s="334">
        <f t="shared" si="9"/>
        <v>0</v>
      </c>
      <c r="BF39" s="25"/>
      <c r="BG39" s="51">
        <f t="shared" si="2"/>
        <v>38018</v>
      </c>
      <c r="BH39" s="335">
        <f t="shared" si="10"/>
        <v>0</v>
      </c>
      <c r="BI39" s="52">
        <f>VLOOKUP(GasPosn!A39,'Pricing Summary'!$AB$12:$AD$250,3)</f>
        <v>29</v>
      </c>
      <c r="BJ39" s="50">
        <f>VLOOKUP(A39,Interest!$AF$8:$AK$367,6)</f>
        <v>0.92417833087541357</v>
      </c>
      <c r="BK39" s="50"/>
      <c r="BL39">
        <f>J39*VLOOKUP(A39,NymexData!$J$12:$K$244,2)</f>
        <v>190208.83770825106</v>
      </c>
      <c r="BO39">
        <f>Interest!AK35</f>
        <v>0.92417833087541357</v>
      </c>
      <c r="BP39">
        <f>G39*Interest!AK35</f>
        <v>3.5294370456132049</v>
      </c>
      <c r="BQ39">
        <f t="shared" si="11"/>
        <v>1</v>
      </c>
      <c r="BR39">
        <f t="shared" si="12"/>
        <v>0.92417833087541357</v>
      </c>
      <c r="BS39">
        <f t="shared" si="13"/>
        <v>3.5294370456132049</v>
      </c>
    </row>
    <row r="40" spans="1:71" ht="18" x14ac:dyDescent="0.25">
      <c r="A40" s="98">
        <f>[4]EnergyCurve!$D62</f>
        <v>38047</v>
      </c>
      <c r="B40" s="324">
        <f t="array" ref="B40">SUM(IF(MONTH(NymexData!$AI$12:$AI$250)&amp;YEAR(NymexData!$AI$12:$AI$250)=MONTH(A40)&amp;YEAR(A40),NymexData!$AJ$12:$AJ$250))</f>
        <v>-207.48597315999999</v>
      </c>
      <c r="C40" s="324">
        <f t="shared" si="3"/>
        <v>0</v>
      </c>
      <c r="D40" s="326">
        <f t="shared" si="4"/>
        <v>-207.48597315999999</v>
      </c>
      <c r="E40" s="327">
        <f t="array" ref="E40">SUM(IF(MONTH(NymexData!$S$12:$S$250)&amp;YEAR(NymexData!$S$12:$S$250)=MONTH(A40)&amp;YEAR(A40),NymexData!$T$12:$T$250))</f>
        <v>3.742</v>
      </c>
      <c r="F40" s="327">
        <f t="shared" si="5"/>
        <v>-6.1999999999999833E-2</v>
      </c>
      <c r="G40" s="328">
        <f t="array" ref="G40">IF(NymexData!$AA$12="",GasPosn!E40,SUM(IF(MONTH(NymexData!$AA$12:$AA$250)&amp;YEAR(NymexData!$AA$12:$AA$250)=MONTH(A40)&amp;YEAR(A40),NymexData!$AB$12:$AB$250)))</f>
        <v>3.68</v>
      </c>
      <c r="H40" s="99">
        <f t="shared" si="6"/>
        <v>128641.30335919964</v>
      </c>
      <c r="I40" s="92">
        <f t="shared" si="7"/>
        <v>0</v>
      </c>
      <c r="J40" s="92">
        <f t="shared" si="0"/>
        <v>128641.30335919964</v>
      </c>
      <c r="L40" s="378"/>
      <c r="M40" s="69"/>
      <c r="N40" s="69"/>
      <c r="O40" s="47">
        <f t="shared" si="1"/>
        <v>38047</v>
      </c>
      <c r="BD40" s="48">
        <f t="shared" si="8"/>
        <v>0</v>
      </c>
      <c r="BE40" s="334">
        <f t="shared" si="9"/>
        <v>0</v>
      </c>
      <c r="BF40" s="25"/>
      <c r="BG40" s="51">
        <f t="shared" si="2"/>
        <v>38047</v>
      </c>
      <c r="BH40" s="335">
        <f t="shared" si="10"/>
        <v>0</v>
      </c>
      <c r="BI40" s="52">
        <f>VLOOKUP(GasPosn!A40,'Pricing Summary'!$AB$12:$AD$250,3)</f>
        <v>31</v>
      </c>
      <c r="BJ40" s="50">
        <f>VLOOKUP(A40,Interest!$AF$8:$AK$367,6)</f>
        <v>0.92032113409702609</v>
      </c>
      <c r="BK40" s="50"/>
      <c r="BL40">
        <f>J40*VLOOKUP(A40,NymexData!$J$12:$K$244,2)</f>
        <v>202537.67972114327</v>
      </c>
      <c r="BO40">
        <f>Interest!AK36</f>
        <v>0.92032113409702609</v>
      </c>
      <c r="BP40">
        <f>G40*Interest!AK36</f>
        <v>3.3867817734770562</v>
      </c>
      <c r="BQ40">
        <f t="shared" si="11"/>
        <v>1</v>
      </c>
      <c r="BR40">
        <f t="shared" si="12"/>
        <v>0.92032113409702609</v>
      </c>
      <c r="BS40">
        <f t="shared" si="13"/>
        <v>3.3867817734770562</v>
      </c>
    </row>
    <row r="41" spans="1:71" ht="18" x14ac:dyDescent="0.25">
      <c r="A41" s="100">
        <f>[4]EnergyCurve!$D63</f>
        <v>38078</v>
      </c>
      <c r="B41" s="329">
        <f t="array" ref="B41">SUM(IF(MONTH(NymexData!$AI$12:$AI$250)&amp;YEAR(NymexData!$AI$12:$AI$250)=MONTH(A41)&amp;YEAR(A41),NymexData!$AJ$12:$AJ$250))</f>
        <v>-199.98211487</v>
      </c>
      <c r="C41" s="330">
        <f t="shared" si="3"/>
        <v>0</v>
      </c>
      <c r="D41" s="331">
        <f t="shared" si="4"/>
        <v>-199.98211487</v>
      </c>
      <c r="E41" s="332">
        <f t="array" ref="E41">SUM(IF(MONTH(NymexData!$S$12:$S$250)&amp;YEAR(NymexData!$S$12:$S$250)=MONTH(A41)&amp;YEAR(A41),NymexData!$T$12:$T$250))</f>
        <v>3.5880000000000001</v>
      </c>
      <c r="F41" s="332">
        <f t="shared" si="5"/>
        <v>-6.1999999999999833E-2</v>
      </c>
      <c r="G41" s="333">
        <f t="array" ref="G41">IF(NymexData!$AA$12="",GasPosn!E41,SUM(IF(MONTH(NymexData!$AA$12:$AA$250)&amp;YEAR(NymexData!$AA$12:$AA$250)=MONTH(A41)&amp;YEAR(A41),NymexData!$AB$12:$AB$250)))</f>
        <v>3.5260000000000002</v>
      </c>
      <c r="H41" s="85">
        <f t="shared" si="6"/>
        <v>123988.91121939967</v>
      </c>
      <c r="I41" s="88">
        <f t="shared" si="7"/>
        <v>0</v>
      </c>
      <c r="J41" s="88">
        <f t="shared" si="0"/>
        <v>123988.91121939967</v>
      </c>
      <c r="L41" s="378"/>
      <c r="N41" s="69"/>
      <c r="O41" s="47">
        <f t="shared" si="1"/>
        <v>38078</v>
      </c>
      <c r="BD41" s="48">
        <f t="shared" si="8"/>
        <v>0</v>
      </c>
      <c r="BE41" s="334">
        <f t="shared" si="9"/>
        <v>0</v>
      </c>
      <c r="BF41" s="25"/>
      <c r="BG41" s="51">
        <f t="shared" si="2"/>
        <v>38078</v>
      </c>
      <c r="BH41" s="335">
        <f t="shared" si="10"/>
        <v>0</v>
      </c>
      <c r="BI41" s="52">
        <f>VLOOKUP(GasPosn!A41,'Pricing Summary'!$AB$12:$AD$250,3)</f>
        <v>30</v>
      </c>
      <c r="BJ41" s="50">
        <f>VLOOKUP(A41,Interest!$AF$8:$AK$367,6)</f>
        <v>0.91646970858551369</v>
      </c>
      <c r="BK41" s="50"/>
      <c r="BL41">
        <f>J41*VLOOKUP(A41,NymexData!$J$12:$K$244,2)</f>
        <v>195187.90888420411</v>
      </c>
      <c r="BO41">
        <f>Interest!AK37</f>
        <v>0.91646970858551369</v>
      </c>
      <c r="BP41">
        <f>G41*Interest!AK37</f>
        <v>3.2314721924725216</v>
      </c>
      <c r="BQ41">
        <f t="shared" si="11"/>
        <v>1</v>
      </c>
      <c r="BR41">
        <f t="shared" si="12"/>
        <v>0.91646970858551369</v>
      </c>
      <c r="BS41">
        <f t="shared" si="13"/>
        <v>3.2314721924725216</v>
      </c>
    </row>
    <row r="42" spans="1:71" ht="18" x14ac:dyDescent="0.25">
      <c r="A42" s="98">
        <f>[4]EnergyCurve!$D64</f>
        <v>38108</v>
      </c>
      <c r="B42" s="324">
        <f t="array" ref="B42">SUM(IF(MONTH(NymexData!$AI$12:$AI$250)&amp;YEAR(NymexData!$AI$12:$AI$250)=MONTH(A42)&amp;YEAR(A42),NymexData!$AJ$12:$AJ$250))</f>
        <v>-205.82484127999999</v>
      </c>
      <c r="C42" s="324">
        <f t="shared" si="3"/>
        <v>0</v>
      </c>
      <c r="D42" s="326">
        <f t="shared" si="4"/>
        <v>-205.82484127999999</v>
      </c>
      <c r="E42" s="327">
        <f t="array" ref="E42">SUM(IF(MONTH(NymexData!$S$12:$S$250)&amp;YEAR(NymexData!$S$12:$S$250)=MONTH(A42)&amp;YEAR(A42),NymexData!$T$12:$T$250))</f>
        <v>3.593</v>
      </c>
      <c r="F42" s="327">
        <f t="shared" si="5"/>
        <v>-6.1999999999999833E-2</v>
      </c>
      <c r="G42" s="328">
        <f t="array" ref="G42">IF(NymexData!$AA$12="",GasPosn!E42,SUM(IF(MONTH(NymexData!$AA$12:$AA$250)&amp;YEAR(NymexData!$AA$12:$AA$250)=MONTH(A42)&amp;YEAR(A42),NymexData!$AB$12:$AB$250)))</f>
        <v>3.5310000000000001</v>
      </c>
      <c r="H42" s="99">
        <f t="shared" si="6"/>
        <v>127611.40159359964</v>
      </c>
      <c r="I42" s="92">
        <f t="shared" si="7"/>
        <v>0</v>
      </c>
      <c r="J42" s="92">
        <f t="shared" si="0"/>
        <v>127611.40159359964</v>
      </c>
      <c r="L42" s="378"/>
      <c r="N42" s="69"/>
      <c r="O42" s="47">
        <f t="shared" si="1"/>
        <v>38108</v>
      </c>
      <c r="BD42" s="48">
        <f t="shared" si="8"/>
        <v>0</v>
      </c>
      <c r="BE42" s="334">
        <f t="shared" si="9"/>
        <v>0</v>
      </c>
      <c r="BF42" s="25"/>
      <c r="BG42" s="51">
        <f t="shared" si="2"/>
        <v>38108</v>
      </c>
      <c r="BH42" s="335">
        <f t="shared" si="10"/>
        <v>0</v>
      </c>
      <c r="BI42" s="52">
        <f>VLOOKUP(GasPosn!A42,'Pricing Summary'!$AB$12:$AD$250,3)</f>
        <v>31</v>
      </c>
      <c r="BJ42" s="50">
        <f>VLOOKUP(A42,Interest!$AF$8:$AK$367,6)</f>
        <v>0.91258764301378226</v>
      </c>
      <c r="BK42" s="50"/>
      <c r="BL42">
        <f>J42*VLOOKUP(A42,NymexData!$J$12:$K$244,2)</f>
        <v>200880.12264828177</v>
      </c>
      <c r="BO42">
        <f>Interest!AK38</f>
        <v>0.91258764301378226</v>
      </c>
      <c r="BP42">
        <f>G42*Interest!AK38</f>
        <v>3.2223469674816654</v>
      </c>
      <c r="BQ42">
        <f t="shared" si="11"/>
        <v>1</v>
      </c>
      <c r="BR42">
        <f t="shared" si="12"/>
        <v>0.91258764301378226</v>
      </c>
      <c r="BS42">
        <f t="shared" si="13"/>
        <v>3.2223469674816654</v>
      </c>
    </row>
    <row r="43" spans="1:71" ht="18" x14ac:dyDescent="0.25">
      <c r="A43" s="100">
        <f>[4]EnergyCurve!$D65</f>
        <v>38139</v>
      </c>
      <c r="B43" s="329">
        <f t="array" ref="B43">SUM(IF(MONTH(NymexData!$AI$12:$AI$250)&amp;YEAR(NymexData!$AI$12:$AI$250)=MONTH(A43)&amp;YEAR(A43),NymexData!$AJ$12:$AJ$250))</f>
        <v>-198.34959001999999</v>
      </c>
      <c r="C43" s="330">
        <f t="shared" si="3"/>
        <v>0</v>
      </c>
      <c r="D43" s="331">
        <f t="shared" si="4"/>
        <v>-198.34959001999999</v>
      </c>
      <c r="E43" s="332">
        <f t="array" ref="E43">SUM(IF(MONTH(NymexData!$S$12:$S$250)&amp;YEAR(NymexData!$S$12:$S$250)=MONTH(A43)&amp;YEAR(A43),NymexData!$T$12:$T$250))</f>
        <v>3.6310000000000002</v>
      </c>
      <c r="F43" s="332">
        <f t="shared" si="5"/>
        <v>-6.2000000000000277E-2</v>
      </c>
      <c r="G43" s="333">
        <f t="array" ref="G43">IF(NymexData!$AA$12="",GasPosn!E43,SUM(IF(MONTH(NymexData!$AA$12:$AA$250)&amp;YEAR(NymexData!$AA$12:$AA$250)=MONTH(A43)&amp;YEAR(A43),NymexData!$AB$12:$AB$250)))</f>
        <v>3.569</v>
      </c>
      <c r="H43" s="85">
        <f t="shared" si="6"/>
        <v>122976.74581240055</v>
      </c>
      <c r="I43" s="88">
        <f t="shared" si="7"/>
        <v>0</v>
      </c>
      <c r="J43" s="88">
        <f t="shared" si="0"/>
        <v>122976.74581240055</v>
      </c>
      <c r="L43" s="378"/>
      <c r="N43" s="69"/>
      <c r="O43" s="47">
        <f t="shared" si="1"/>
        <v>38139</v>
      </c>
      <c r="BD43" s="48">
        <f t="shared" si="8"/>
        <v>0</v>
      </c>
      <c r="BE43" s="334">
        <f t="shared" si="9"/>
        <v>0</v>
      </c>
      <c r="BF43" s="25"/>
      <c r="BG43" s="51">
        <f t="shared" si="2"/>
        <v>38139</v>
      </c>
      <c r="BH43" s="335">
        <f t="shared" si="10"/>
        <v>0</v>
      </c>
      <c r="BI43" s="52">
        <f>VLOOKUP(GasPosn!A43,'Pricing Summary'!$AB$12:$AD$250,3)</f>
        <v>30</v>
      </c>
      <c r="BJ43" s="50">
        <f>VLOOKUP(A43,Interest!$AF$8:$AK$367,6)</f>
        <v>0.90869195842263595</v>
      </c>
      <c r="BK43" s="50"/>
      <c r="BL43">
        <f>J43*VLOOKUP(A43,NymexData!$J$12:$K$244,2)</f>
        <v>193573.02230596013</v>
      </c>
      <c r="BO43">
        <f>Interest!AK39</f>
        <v>0.90869195842263595</v>
      </c>
      <c r="BP43">
        <f>G43*Interest!AK39</f>
        <v>3.2431215996103875</v>
      </c>
      <c r="BQ43">
        <f t="shared" si="11"/>
        <v>1</v>
      </c>
      <c r="BR43">
        <f t="shared" si="12"/>
        <v>0.90869195842263595</v>
      </c>
      <c r="BS43">
        <f t="shared" si="13"/>
        <v>3.2431215996103875</v>
      </c>
    </row>
    <row r="44" spans="1:71" ht="18" x14ac:dyDescent="0.25">
      <c r="A44" s="98">
        <f>[4]EnergyCurve!$D66</f>
        <v>38169</v>
      </c>
      <c r="B44" s="324">
        <f t="array" ref="B44">SUM(IF(MONTH(NymexData!$AI$12:$AI$250)&amp;YEAR(NymexData!$AI$12:$AI$250)=MONTH(A44)&amp;YEAR(A44),NymexData!$AJ$12:$AJ$250))</f>
        <v>-204.11329247</v>
      </c>
      <c r="C44" s="324">
        <f t="shared" si="3"/>
        <v>0</v>
      </c>
      <c r="D44" s="326">
        <f t="shared" si="4"/>
        <v>-204.11329247</v>
      </c>
      <c r="E44" s="327">
        <f t="array" ref="E44">SUM(IF(MONTH(NymexData!$S$12:$S$250)&amp;YEAR(NymexData!$S$12:$S$250)=MONTH(A44)&amp;YEAR(A44),NymexData!$T$12:$T$250))</f>
        <v>3.6760000000000002</v>
      </c>
      <c r="F44" s="327">
        <f t="shared" si="5"/>
        <v>-6.1999999999999833E-2</v>
      </c>
      <c r="G44" s="328">
        <f t="array" ref="G44">IF(NymexData!$AA$12="",GasPosn!E44,SUM(IF(MONTH(NymexData!$AA$12:$AA$250)&amp;YEAR(NymexData!$AA$12:$AA$250)=MONTH(A44)&amp;YEAR(A44),NymexData!$AB$12:$AB$250)))</f>
        <v>3.6140000000000003</v>
      </c>
      <c r="H44" s="99">
        <f t="shared" si="6"/>
        <v>126550.24133139967</v>
      </c>
      <c r="I44" s="92">
        <f t="shared" si="7"/>
        <v>0</v>
      </c>
      <c r="J44" s="92">
        <f t="shared" si="0"/>
        <v>126550.24133139967</v>
      </c>
      <c r="L44" s="378"/>
      <c r="N44" s="69"/>
      <c r="O44" s="47">
        <f t="shared" si="1"/>
        <v>38169</v>
      </c>
      <c r="BD44" s="48">
        <f t="shared" si="8"/>
        <v>0</v>
      </c>
      <c r="BE44" s="334">
        <f t="shared" si="9"/>
        <v>0</v>
      </c>
      <c r="BF44" s="25"/>
      <c r="BG44" s="51">
        <f t="shared" si="2"/>
        <v>38169</v>
      </c>
      <c r="BH44" s="335">
        <f t="shared" si="10"/>
        <v>0</v>
      </c>
      <c r="BI44" s="52">
        <f>VLOOKUP(GasPosn!A44,'Pricing Summary'!$AB$12:$AD$250,3)</f>
        <v>31</v>
      </c>
      <c r="BJ44" s="50">
        <f>VLOOKUP(A44,Interest!$AF$8:$AK$367,6)</f>
        <v>0.90473425468668633</v>
      </c>
      <c r="BK44" s="50"/>
      <c r="BL44">
        <f>J44*VLOOKUP(A44,NymexData!$J$12:$K$244,2)</f>
        <v>199194.61262637484</v>
      </c>
      <c r="BO44">
        <f>Interest!AK40</f>
        <v>0.90473425468668633</v>
      </c>
      <c r="BP44">
        <f>G44*Interest!AK40</f>
        <v>3.2697095964376848</v>
      </c>
      <c r="BQ44">
        <f t="shared" si="11"/>
        <v>1</v>
      </c>
      <c r="BR44">
        <f t="shared" si="12"/>
        <v>0.90473425468668633</v>
      </c>
      <c r="BS44">
        <f t="shared" si="13"/>
        <v>3.2697095964376848</v>
      </c>
    </row>
    <row r="45" spans="1:71" ht="18" x14ac:dyDescent="0.25">
      <c r="A45" s="100">
        <f>[4]EnergyCurve!$D67</f>
        <v>38200</v>
      </c>
      <c r="B45" s="329">
        <f t="array" ref="B45">SUM(IF(MONTH(NymexData!$AI$12:$AI$250)&amp;YEAR(NymexData!$AI$12:$AI$250)=MONTH(A45)&amp;YEAR(A45),NymexData!$AJ$12:$AJ$250))</f>
        <v>-203.22465589000001</v>
      </c>
      <c r="C45" s="330">
        <f t="shared" si="3"/>
        <v>0</v>
      </c>
      <c r="D45" s="331">
        <f t="shared" si="4"/>
        <v>-203.22465589000001</v>
      </c>
      <c r="E45" s="332">
        <f t="array" ref="E45">SUM(IF(MONTH(NymexData!$S$12:$S$250)&amp;YEAR(NymexData!$S$12:$S$250)=MONTH(A45)&amp;YEAR(A45),NymexData!$T$12:$T$250))</f>
        <v>3.714</v>
      </c>
      <c r="F45" s="332">
        <f t="shared" si="5"/>
        <v>-6.1999999999999833E-2</v>
      </c>
      <c r="G45" s="333">
        <f t="array" ref="G45">IF(NymexData!$AA$12="",GasPosn!E45,SUM(IF(MONTH(NymexData!$AA$12:$AA$250)&amp;YEAR(NymexData!$AA$12:$AA$250)=MONTH(A45)&amp;YEAR(A45),NymexData!$AB$12:$AB$250)))</f>
        <v>3.6520000000000001</v>
      </c>
      <c r="H45" s="85">
        <f t="shared" si="6"/>
        <v>125999.28665179966</v>
      </c>
      <c r="I45" s="88">
        <f t="shared" si="7"/>
        <v>0</v>
      </c>
      <c r="J45" s="88">
        <f t="shared" si="0"/>
        <v>125999.28665179966</v>
      </c>
      <c r="L45" s="378"/>
      <c r="N45" s="69"/>
      <c r="O45" s="47">
        <f t="shared" si="1"/>
        <v>38200</v>
      </c>
      <c r="BD45" s="48">
        <f>(P45+R45+T45+V45+X45+Z45+AB45+AD45+AF45+AH45+AJ45+AL45+AN45+AP45+AR45+AT45+AV45+AX45+AZ45+BB45)</f>
        <v>0</v>
      </c>
      <c r="BE45" s="334">
        <f>IF(AND(BD45=0,BH45=0),0,(ABS(P45)*Q45+ABS(R45)*S45+ABS(T45)*U45+ABS(V45)*W45+ABS(X45)*Y45+ABS(Z45)*AA45+ABS(AB45)*AC45+ABS(AD45)*AE45+ABS(AF45)*AG45+ABS(AH45)*AI45+ABS(AJ45)*AK45+ABS(AL45)*AM45+ABS(AN45)*AO45+ABS(AP45)*AQ45+ABS(AR45)*AS45+ABS(AT45)*AU45+ABS(AV45)*AW45+ABS(AX45)*AY45+ABS(AZ45)*BA45+ABS(BB45)*BC45)/BH45)</f>
        <v>0</v>
      </c>
      <c r="BF45" s="25"/>
      <c r="BG45" s="51">
        <f t="shared" si="2"/>
        <v>38200</v>
      </c>
      <c r="BH45" s="335">
        <f>(ABS(P45)+ABS(R45)+ABS(T45)+ABS(V45)+ABS(X45)+ABS(Z45)+ABS(AB45)+ABS(AD45)+ABS(AF45)+ABS(AH45)+ABS(AJ45)+ABS(AL45)+ABS(AN45)+ABS(AP45)+ABS(AR45)+ABS(AT45)+ABS(AV45)+ABS(AX45)+ABS(AZ45)+ABS(BB45))</f>
        <v>0</v>
      </c>
      <c r="BI45" s="52">
        <f>VLOOKUP(GasPosn!A45,'Pricing Summary'!$AB$12:$AD$250,3)</f>
        <v>31</v>
      </c>
      <c r="BJ45" s="50">
        <f>VLOOKUP(A45,Interest!$AF$8:$AK$367,6)</f>
        <v>0.90072937745124015</v>
      </c>
      <c r="BK45" s="50"/>
      <c r="BL45">
        <f>J45*VLOOKUP(A45,NymexData!$J$12:$K$244,2)</f>
        <v>198333.75646724264</v>
      </c>
      <c r="BO45">
        <f>Interest!AK41</f>
        <v>0.90072937745124015</v>
      </c>
      <c r="BP45">
        <f>G45*Interest!AK41</f>
        <v>3.2894636864519291</v>
      </c>
      <c r="BQ45">
        <f t="shared" si="11"/>
        <v>1</v>
      </c>
      <c r="BR45">
        <f t="shared" si="12"/>
        <v>0.90072937745124015</v>
      </c>
      <c r="BS45">
        <f t="shared" si="13"/>
        <v>3.2894636864519291</v>
      </c>
    </row>
    <row r="46" spans="1:71" ht="18" x14ac:dyDescent="0.25">
      <c r="A46" s="98">
        <f>[4]EnergyCurve!$D68</f>
        <v>38231</v>
      </c>
      <c r="B46" s="324">
        <f t="array" ref="B46">SUM(IF(MONTH(NymexData!$AI$12:$AI$250)&amp;YEAR(NymexData!$AI$12:$AI$250)=MONTH(A46)&amp;YEAR(A46),NymexData!$AJ$12:$AJ$250))</f>
        <v>-195.79702828999999</v>
      </c>
      <c r="C46" s="324">
        <f t="shared" si="3"/>
        <v>0</v>
      </c>
      <c r="D46" s="326">
        <f t="shared" si="4"/>
        <v>-195.79702828999999</v>
      </c>
      <c r="E46" s="327">
        <f t="array" ref="E46">SUM(IF(MONTH(NymexData!$S$12:$S$250)&amp;YEAR(NymexData!$S$12:$S$250)=MONTH(A46)&amp;YEAR(A46),NymexData!$T$12:$T$250))</f>
        <v>3.7080000000000002</v>
      </c>
      <c r="F46" s="327">
        <f t="shared" si="5"/>
        <v>-6.1999999999999833E-2</v>
      </c>
      <c r="G46" s="328">
        <f t="array" ref="G46">IF(NymexData!$AA$12="",GasPosn!E46,SUM(IF(MONTH(NymexData!$AA$12:$AA$250)&amp;YEAR(NymexData!$AA$12:$AA$250)=MONTH(A46)&amp;YEAR(A46),NymexData!$AB$12:$AB$250)))</f>
        <v>3.6460000000000004</v>
      </c>
      <c r="H46" s="99">
        <f t="shared" si="6"/>
        <v>121394.15753979966</v>
      </c>
      <c r="I46" s="92">
        <f t="shared" si="7"/>
        <v>0</v>
      </c>
      <c r="J46" s="92">
        <f t="shared" si="0"/>
        <v>121394.15753979966</v>
      </c>
      <c r="L46" s="378"/>
      <c r="N46" s="69"/>
      <c r="O46" s="47">
        <f t="shared" si="1"/>
        <v>38231</v>
      </c>
      <c r="BD46" s="48">
        <f>(P46+R46+T46+V46+X46+Z46+AB46+AD46+AF46+AH46+AJ46+AL46+AN46+AP46+AR46+AT46+AV46+AX46+AZ46+BB46)</f>
        <v>0</v>
      </c>
      <c r="BE46" s="334">
        <f>IF(AND(BD46=0,BH46=0),0,(ABS(P46)*Q46+ABS(R46)*S46+ABS(T46)*U46+ABS(V46)*W46+ABS(X46)*Y46+ABS(Z46)*AA46+ABS(AB46)*AC46+ABS(AD46)*AE46+ABS(AF46)*AG46+ABS(AH46)*AI46+ABS(AJ46)*AK46+ABS(AL46)*AM46+ABS(AN46)*AO46+ABS(AP46)*AQ46+ABS(AR46)*AS46+ABS(AT46)*AU46+ABS(AV46)*AW46+ABS(AX46)*AY46+ABS(AZ46)*BA46+ABS(BB46)*BC46)/BH46)</f>
        <v>0</v>
      </c>
      <c r="BF46" s="25"/>
      <c r="BG46" s="51">
        <f t="shared" si="2"/>
        <v>38231</v>
      </c>
      <c r="BH46" s="335">
        <f>(ABS(P46)+ABS(R46)+ABS(T46)+ABS(V46)+ABS(X46)+ABS(Z46)+ABS(AB46)+ABS(AD46)+ABS(AF46)+ABS(AH46)+ABS(AJ46)+ABS(AL46)+ABS(AN46)+ABS(AP46)+ABS(AR46)+ABS(AT46)+ABS(AV46)+ABS(AX46)+ABS(AZ46)+ABS(BB46))</f>
        <v>0</v>
      </c>
      <c r="BI46" s="52">
        <f>VLOOKUP(GasPosn!A46,'Pricing Summary'!$AB$12:$AD$250,3)</f>
        <v>30</v>
      </c>
      <c r="BJ46" s="50">
        <f>VLOOKUP(A46,Interest!$AF$8:$AK$367,6)</f>
        <v>0.89676006399607244</v>
      </c>
      <c r="BK46" s="50"/>
      <c r="BL46">
        <f>J46*VLOOKUP(A46,NymexData!$J$12:$K$244,2)</f>
        <v>191091.15043220922</v>
      </c>
      <c r="BO46">
        <f>Interest!AK42</f>
        <v>0.89676006399607244</v>
      </c>
      <c r="BP46">
        <f>G46*Interest!AK42</f>
        <v>3.2695871933296803</v>
      </c>
      <c r="BQ46">
        <f t="shared" si="11"/>
        <v>1</v>
      </c>
      <c r="BR46">
        <f t="shared" si="12"/>
        <v>0.89676006399607244</v>
      </c>
      <c r="BS46">
        <f t="shared" si="13"/>
        <v>3.2695871933296803</v>
      </c>
    </row>
    <row r="47" spans="1:71" ht="18" x14ac:dyDescent="0.25">
      <c r="A47" s="100">
        <f>[4]EnergyCurve!$D69</f>
        <v>38261</v>
      </c>
      <c r="B47" s="329">
        <f t="array" ref="B47">SUM(IF(MONTH(NymexData!$AI$12:$AI$250)&amp;YEAR(NymexData!$AI$12:$AI$250)=MONTH(A47)&amp;YEAR(A47),NymexData!$AJ$12:$AJ$250))</f>
        <v>-201.43996748000001</v>
      </c>
      <c r="C47" s="330">
        <f t="shared" si="3"/>
        <v>0</v>
      </c>
      <c r="D47" s="331">
        <f t="shared" si="4"/>
        <v>-201.43996748000001</v>
      </c>
      <c r="E47" s="332">
        <f t="array" ref="E47">SUM(IF(MONTH(NymexData!$S$12:$S$250)&amp;YEAR(NymexData!$S$12:$S$250)=MONTH(A47)&amp;YEAR(A47),NymexData!$T$12:$T$250))</f>
        <v>3.7080000000000002</v>
      </c>
      <c r="F47" s="332">
        <f t="shared" si="5"/>
        <v>-6.1999999999999833E-2</v>
      </c>
      <c r="G47" s="333">
        <f t="array" ref="G47">IF(NymexData!$AA$12="",GasPosn!E47,SUM(IF(MONTH(NymexData!$AA$12:$AA$250)&amp;YEAR(NymexData!$AA$12:$AA$250)=MONTH(A47)&amp;YEAR(A47),NymexData!$AB$12:$AB$250)))</f>
        <v>3.6460000000000004</v>
      </c>
      <c r="H47" s="85">
        <f t="shared" si="6"/>
        <v>124892.77983759968</v>
      </c>
      <c r="I47" s="88">
        <f t="shared" si="7"/>
        <v>0</v>
      </c>
      <c r="J47" s="88">
        <f t="shared" si="0"/>
        <v>124892.77983759968</v>
      </c>
      <c r="L47" s="378"/>
      <c r="M47" s="69"/>
      <c r="N47" s="69"/>
      <c r="O47" s="47">
        <f t="shared" ref="O47:O80" si="18">A47</f>
        <v>38261</v>
      </c>
      <c r="BD47" s="48">
        <f>(P47+R47+T47+V47+X47+Z47+AB47+AD47+AF47+AH47+AJ47+AL47+AN47+AP47+AR47+AT47+AV47+AX47+AZ47+BB47)</f>
        <v>0</v>
      </c>
      <c r="BE47" s="334">
        <f>IF(AND(BD47=0,BH47=0),0,(ABS(P47)*Q47+ABS(R47)*S47+ABS(T47)*U47+ABS(V47)*W47+ABS(X47)*Y47+ABS(Z47)*AA47+ABS(AB47)*AC47+ABS(AD47)*AE47+ABS(AF47)*AG47+ABS(AH47)*AI47+ABS(AJ47)*AK47+ABS(AL47)*AM47+ABS(AN47)*AO47+ABS(AP47)*AQ47+ABS(AR47)*AS47+ABS(AT47)*AU47+ABS(AV47)*AW47+ABS(AX47)*AY47+ABS(AZ47)*BA47+ABS(BB47)*BC47)/BH47)</f>
        <v>0</v>
      </c>
      <c r="BF47" s="25"/>
      <c r="BG47" s="51">
        <f t="shared" si="2"/>
        <v>38261</v>
      </c>
      <c r="BH47" s="335">
        <f>(ABS(P47)+ABS(R47)+ABS(T47)+ABS(V47)+ABS(X47)+ABS(Z47)+ABS(AB47)+ABS(AD47)+ABS(AF47)+ABS(AH47)+ABS(AJ47)+ABS(AL47)+ABS(AN47)+ABS(AP47)+ABS(AR47)+ABS(AT47)+ABS(AV47)+ABS(AX47)+ABS(AZ47)+ABS(BB47))</f>
        <v>0</v>
      </c>
      <c r="BI47" s="52">
        <f>VLOOKUP(GasPosn!A47,'Pricing Summary'!$AB$12:$AD$250,3)</f>
        <v>31</v>
      </c>
      <c r="BJ47" s="50">
        <f>VLOOKUP(A47,Interest!$AF$8:$AK$367,6)</f>
        <v>0.89273900158123831</v>
      </c>
      <c r="BK47" s="50"/>
      <c r="BL47">
        <f>J47*VLOOKUP(A47,NymexData!$J$12:$K$244,2)</f>
        <v>196615.12885977916</v>
      </c>
      <c r="BO47">
        <f>Interest!AK43</f>
        <v>0.89273900158123831</v>
      </c>
      <c r="BP47">
        <f>G47*Interest!AK43</f>
        <v>3.2549263997651954</v>
      </c>
      <c r="BQ47">
        <f t="shared" si="11"/>
        <v>1</v>
      </c>
      <c r="BR47">
        <f t="shared" si="12"/>
        <v>0.89273900158123831</v>
      </c>
      <c r="BS47">
        <f t="shared" si="13"/>
        <v>3.2549263997651954</v>
      </c>
    </row>
    <row r="48" spans="1:71" ht="18" x14ac:dyDescent="0.25">
      <c r="A48" s="98">
        <f>[4]EnergyCurve!$D70</f>
        <v>38292</v>
      </c>
      <c r="B48" s="324">
        <f t="array" ref="B48">SUM(IF(MONTH(NymexData!$AI$12:$AI$250)&amp;YEAR(NymexData!$AI$12:$AI$250)=MONTH(A48)&amp;YEAR(A48),NymexData!$AJ$12:$AJ$250))</f>
        <v>-194.06420141999999</v>
      </c>
      <c r="C48" s="324">
        <f t="shared" si="3"/>
        <v>0</v>
      </c>
      <c r="D48" s="326">
        <f t="shared" ref="D48:D111" si="19">C48+B48</f>
        <v>-194.06420141999999</v>
      </c>
      <c r="E48" s="327">
        <f t="array" ref="E48">SUM(IF(MONTH(NymexData!$S$12:$S$250)&amp;YEAR(NymexData!$S$12:$S$250)=MONTH(A48)&amp;YEAR(A48),NymexData!$T$12:$T$250))</f>
        <v>3.8560000000000003</v>
      </c>
      <c r="F48" s="327">
        <f t="shared" si="5"/>
        <v>-6.1000000000000387E-2</v>
      </c>
      <c r="G48" s="328">
        <f t="array" ref="G48">IF(NymexData!$AA$12="",GasPosn!E48,SUM(IF(MONTH(NymexData!$AA$12:$AA$250)&amp;YEAR(NymexData!$AA$12:$AA$250)=MONTH(A48)&amp;YEAR(A48),NymexData!$AB$12:$AB$250)))</f>
        <v>3.7949999999999999</v>
      </c>
      <c r="H48" s="99">
        <f t="shared" si="6"/>
        <v>118379.16286620074</v>
      </c>
      <c r="I48" s="92">
        <f t="shared" si="7"/>
        <v>0</v>
      </c>
      <c r="J48" s="92">
        <f t="shared" ref="J48:J111" si="20">H48+I48</f>
        <v>118379.16286620074</v>
      </c>
      <c r="L48" s="378"/>
      <c r="O48" s="47">
        <f t="shared" si="18"/>
        <v>38292</v>
      </c>
      <c r="BD48" s="48">
        <f t="shared" ref="BD48:BD79" si="21">(P48+R48+T48+V48+X48+Z48+AB48+AD48+AF48+AH48+AJ48+AL48+AN48+AP48+AR48+AT48+AV48+AX48+AZ48+BB48)</f>
        <v>0</v>
      </c>
      <c r="BE48" s="334">
        <f t="shared" ref="BE48:BE79" si="22">IF(AND(BD48=0,BH48=0),0,(ABS(P48)*Q48+ABS(R48)*S48+ABS(T48)*U48+ABS(V48)*W48+ABS(X48)*Y48+ABS(Z48)*AA48+ABS(AB48)*AC48+ABS(AD48)*AE48+ABS(AF48)*AG48+ABS(AH48)*AI48+ABS(AJ48)*AK48+ABS(AL48)*AM48+ABS(AN48)*AO48+ABS(AP48)*AQ48+ABS(AR48)*AS48+ABS(AT48)*AU48+ABS(AV48)*AW48+ABS(AX48)*AY48+ABS(AZ48)*BA48+ABS(BB48)*BC48)/BH48)</f>
        <v>0</v>
      </c>
      <c r="BG48" s="51">
        <f t="shared" ref="BG48:BG92" si="23">O48</f>
        <v>38292</v>
      </c>
      <c r="BH48" s="335">
        <f t="shared" ref="BH48:BH92" si="24">(ABS(P48)+ABS(R48)+ABS(T48)+ABS(V48)+ABS(X48)+ABS(Z48)+ABS(AB48)+ABS(AD48)+ABS(AF48)+ABS(AH48)+ABS(AJ48)+ABS(AL48)+ABS(AN48)+ABS(AP48)+ABS(AR48)+ABS(AT48)+ABS(AV48)+ABS(AX48)+ABS(AZ48)+ABS(BB48))</f>
        <v>0</v>
      </c>
      <c r="BI48" s="52">
        <f>VLOOKUP(GasPosn!A48,'Pricing Summary'!$AB$12:$AD$250,3)</f>
        <v>30</v>
      </c>
      <c r="BJ48" s="50">
        <f>VLOOKUP(A48,Interest!$AF$8:$AK$367,6)</f>
        <v>0.88876952927706621</v>
      </c>
      <c r="BL48">
        <f>J48*VLOOKUP(A48,NymexData!$J$12:$K$244,2)</f>
        <v>186369.42160539646</v>
      </c>
      <c r="BO48">
        <f>Interest!AK44</f>
        <v>0.88876952927706621</v>
      </c>
      <c r="BP48">
        <f>G48*Interest!AK44</f>
        <v>3.3728803636064661</v>
      </c>
      <c r="BQ48">
        <f t="shared" si="11"/>
        <v>1</v>
      </c>
      <c r="BR48">
        <f t="shared" si="12"/>
        <v>0.88876952927706621</v>
      </c>
      <c r="BS48">
        <f t="shared" si="13"/>
        <v>3.3728803636064661</v>
      </c>
    </row>
    <row r="49" spans="1:71" ht="18" x14ac:dyDescent="0.25">
      <c r="A49" s="100">
        <f>[4]EnergyCurve!$D71</f>
        <v>38322</v>
      </c>
      <c r="B49" s="329">
        <f t="array" ref="B49">SUM(IF(MONTH(NymexData!$AI$12:$AI$250)&amp;YEAR(NymexData!$AI$12:$AI$250)=MONTH(A49)&amp;YEAR(A49),NymexData!$AJ$12:$AJ$250))</f>
        <v>-199.70573601999999</v>
      </c>
      <c r="C49" s="330">
        <f t="shared" si="3"/>
        <v>0</v>
      </c>
      <c r="D49" s="331">
        <f t="shared" si="19"/>
        <v>-199.70573601999999</v>
      </c>
      <c r="E49" s="332">
        <f t="array" ref="E49">SUM(IF(MONTH(NymexData!$S$12:$S$250)&amp;YEAR(NymexData!$S$12:$S$250)=MONTH(A49)&amp;YEAR(A49),NymexData!$T$12:$T$250))</f>
        <v>4.008</v>
      </c>
      <c r="F49" s="332">
        <f t="shared" si="5"/>
        <v>-6.0999999999999943E-2</v>
      </c>
      <c r="G49" s="333">
        <f t="array" ref="G49">IF(NymexData!$AA$12="",GasPosn!E49,SUM(IF(MONTH(NymexData!$AA$12:$AA$250)&amp;YEAR(NymexData!$AA$12:$AA$250)=MONTH(A49)&amp;YEAR(A49),NymexData!$AB$12:$AB$250)))</f>
        <v>3.9470000000000001</v>
      </c>
      <c r="H49" s="85">
        <f t="shared" si="6"/>
        <v>121820.49897219989</v>
      </c>
      <c r="I49" s="88">
        <f t="shared" si="7"/>
        <v>0</v>
      </c>
      <c r="J49" s="88">
        <f t="shared" si="20"/>
        <v>121820.49897219989</v>
      </c>
      <c r="L49" s="378"/>
      <c r="O49" s="47">
        <f t="shared" si="18"/>
        <v>38322</v>
      </c>
      <c r="BD49" s="48">
        <f t="shared" si="21"/>
        <v>0</v>
      </c>
      <c r="BE49" s="334">
        <f t="shared" si="22"/>
        <v>0</v>
      </c>
      <c r="BG49" s="51">
        <f t="shared" si="23"/>
        <v>38322</v>
      </c>
      <c r="BH49" s="335">
        <f t="shared" si="24"/>
        <v>0</v>
      </c>
      <c r="BI49" s="52">
        <f>VLOOKUP(GasPosn!A49,'Pricing Summary'!$AB$12:$AD$250,3)</f>
        <v>31</v>
      </c>
      <c r="BJ49" s="50">
        <f>VLOOKUP(A49,Interest!$AF$8:$AK$367,6)</f>
        <v>0.88470114223239971</v>
      </c>
      <c r="BL49">
        <f>J49*VLOOKUP(A49,NymexData!$J$12:$K$244,2)</f>
        <v>191732.22160489732</v>
      </c>
      <c r="BO49">
        <f>Interest!AK45</f>
        <v>0.88470114223239971</v>
      </c>
      <c r="BP49">
        <f>G49*Interest!AK45</f>
        <v>3.4919154083912818</v>
      </c>
      <c r="BQ49">
        <f t="shared" si="11"/>
        <v>1</v>
      </c>
      <c r="BR49">
        <f t="shared" si="12"/>
        <v>0.88470114223239971</v>
      </c>
      <c r="BS49">
        <f t="shared" si="13"/>
        <v>3.4919154083912818</v>
      </c>
    </row>
    <row r="50" spans="1:71" ht="18" x14ac:dyDescent="0.25">
      <c r="A50" s="98">
        <f>[4]EnergyCurve!$D72</f>
        <v>38353</v>
      </c>
      <c r="B50" s="324">
        <f t="array" ref="B50">SUM(IF(MONTH(NymexData!$AI$12:$AI$250)&amp;YEAR(NymexData!$AI$12:$AI$250)=MONTH(A50)&amp;YEAR(A50),NymexData!$AJ$12:$AJ$250))</f>
        <v>-191.98640452999999</v>
      </c>
      <c r="C50" s="324">
        <f t="shared" si="3"/>
        <v>0</v>
      </c>
      <c r="D50" s="326">
        <f t="shared" si="19"/>
        <v>-191.98640452999999</v>
      </c>
      <c r="E50" s="327">
        <f t="array" ref="E50">SUM(IF(MONTH(NymexData!$S$12:$S$250)&amp;YEAR(NymexData!$S$12:$S$250)=MONTH(A50)&amp;YEAR(A50),NymexData!$T$12:$T$250))</f>
        <v>4.0630000000000006</v>
      </c>
      <c r="F50" s="327">
        <f t="shared" si="5"/>
        <v>-5.600000000000005E-2</v>
      </c>
      <c r="G50" s="328">
        <f t="array" ref="G50">IF(NymexData!$AA$12="",GasPosn!E50,SUM(IF(MONTH(NymexData!$AA$12:$AA$250)&amp;YEAR(NymexData!$AA$12:$AA$250)=MONTH(A50)&amp;YEAR(A50),NymexData!$AB$12:$AB$250)))</f>
        <v>4.0070000000000006</v>
      </c>
      <c r="H50" s="99">
        <f t="shared" si="6"/>
        <v>107512.38653680008</v>
      </c>
      <c r="I50" s="92">
        <f t="shared" si="7"/>
        <v>0</v>
      </c>
      <c r="J50" s="92">
        <f t="shared" si="20"/>
        <v>107512.38653680008</v>
      </c>
      <c r="L50" s="378"/>
      <c r="O50" s="47">
        <f t="shared" si="18"/>
        <v>38353</v>
      </c>
      <c r="BD50" s="48">
        <f t="shared" si="21"/>
        <v>0</v>
      </c>
      <c r="BE50" s="334">
        <f t="shared" si="22"/>
        <v>0</v>
      </c>
      <c r="BG50" s="51">
        <f t="shared" si="23"/>
        <v>38353</v>
      </c>
      <c r="BH50" s="335">
        <f t="shared" si="24"/>
        <v>0</v>
      </c>
      <c r="BI50" s="52">
        <f>VLOOKUP(GasPosn!A50,'Pricing Summary'!$AB$12:$AD$250,3)</f>
        <v>31</v>
      </c>
      <c r="BJ50" s="50">
        <f>VLOOKUP(A50,Interest!$AF$8:$AK$367,6)</f>
        <v>0.88057975098583097</v>
      </c>
      <c r="BL50">
        <f>J50*VLOOKUP(A50,NymexData!$J$12:$K$244,2)</f>
        <v>169165.97566693826</v>
      </c>
      <c r="BO50">
        <f>Interest!AK46</f>
        <v>0.88057975098583097</v>
      </c>
      <c r="BP50">
        <f>G50*Interest!AK46</f>
        <v>3.528483062200225</v>
      </c>
      <c r="BQ50">
        <f t="shared" si="11"/>
        <v>1</v>
      </c>
      <c r="BR50">
        <f t="shared" si="12"/>
        <v>0.88057975098583097</v>
      </c>
      <c r="BS50">
        <f t="shared" si="13"/>
        <v>3.528483062200225</v>
      </c>
    </row>
    <row r="51" spans="1:71" ht="18" x14ac:dyDescent="0.25">
      <c r="A51" s="100">
        <f>[4]EnergyCurve!$D73</f>
        <v>38384</v>
      </c>
      <c r="B51" s="329">
        <f t="array" ref="B51">SUM(IF(MONTH(NymexData!$AI$12:$AI$250)&amp;YEAR(NymexData!$AI$12:$AI$250)=MONTH(A51)&amp;YEAR(A51),NymexData!$AJ$12:$AJ$250))</f>
        <v>-172.64793559</v>
      </c>
      <c r="C51" s="330">
        <f t="shared" si="3"/>
        <v>0</v>
      </c>
      <c r="D51" s="331">
        <f t="shared" si="19"/>
        <v>-172.64793559</v>
      </c>
      <c r="E51" s="332">
        <f t="array" ref="E51">SUM(IF(MONTH(NymexData!$S$12:$S$250)&amp;YEAR(NymexData!$S$12:$S$250)=MONTH(A51)&amp;YEAR(A51),NymexData!$T$12:$T$250))</f>
        <v>3.976</v>
      </c>
      <c r="F51" s="332">
        <f t="shared" si="5"/>
        <v>-5.699999999999994E-2</v>
      </c>
      <c r="G51" s="333">
        <f t="array" ref="G51">IF(NymexData!$AA$12="",GasPosn!E51,SUM(IF(MONTH(NymexData!$AA$12:$AA$250)&amp;YEAR(NymexData!$AA$12:$AA$250)=MONTH(A51)&amp;YEAR(A51),NymexData!$AB$12:$AB$250)))</f>
        <v>3.919</v>
      </c>
      <c r="H51" s="85">
        <f t="shared" si="6"/>
        <v>98409.323286299899</v>
      </c>
      <c r="I51" s="88">
        <f t="shared" si="7"/>
        <v>0</v>
      </c>
      <c r="J51" s="88">
        <f t="shared" si="20"/>
        <v>98409.323286299899</v>
      </c>
      <c r="L51" s="378"/>
      <c r="O51" s="47">
        <f t="shared" si="18"/>
        <v>38384</v>
      </c>
      <c r="BD51" s="48">
        <f t="shared" si="21"/>
        <v>0</v>
      </c>
      <c r="BE51" s="334">
        <f t="shared" si="22"/>
        <v>0</v>
      </c>
      <c r="BG51" s="51">
        <f t="shared" si="23"/>
        <v>38384</v>
      </c>
      <c r="BH51" s="335">
        <f t="shared" si="24"/>
        <v>0</v>
      </c>
      <c r="BI51" s="52">
        <f>VLOOKUP(GasPosn!A51,'Pricing Summary'!$AB$12:$AD$250,3)</f>
        <v>28</v>
      </c>
      <c r="BJ51" s="50">
        <f>VLOOKUP(A51,Interest!$AF$8:$AK$367,6)</f>
        <v>0.87672383052938008</v>
      </c>
      <c r="BL51">
        <f>J51*VLOOKUP(A51,NymexData!$J$12:$K$244,2)</f>
        <v>154802.29555266944</v>
      </c>
      <c r="BO51">
        <f>Interest!AK47</f>
        <v>0.87672383052938008</v>
      </c>
      <c r="BP51">
        <f>G51*Interest!AK47</f>
        <v>3.4358806918446407</v>
      </c>
      <c r="BQ51">
        <f t="shared" si="11"/>
        <v>1</v>
      </c>
      <c r="BR51">
        <f t="shared" si="12"/>
        <v>0.87672383052938008</v>
      </c>
      <c r="BS51">
        <f t="shared" si="13"/>
        <v>3.4358806918446407</v>
      </c>
    </row>
    <row r="52" spans="1:71" ht="18" x14ac:dyDescent="0.25">
      <c r="A52" s="98">
        <f>[4]EnergyCurve!$D74</f>
        <v>38412</v>
      </c>
      <c r="B52" s="324">
        <f t="array" ref="B52">SUM(IF(MONTH(NymexData!$AI$12:$AI$250)&amp;YEAR(NymexData!$AI$12:$AI$250)=MONTH(A52)&amp;YEAR(A52),NymexData!$AJ$12:$AJ$250))</f>
        <v>-190.38041190000001</v>
      </c>
      <c r="C52" s="324">
        <f t="shared" si="3"/>
        <v>0</v>
      </c>
      <c r="D52" s="326">
        <f t="shared" si="19"/>
        <v>-190.38041190000001</v>
      </c>
      <c r="E52" s="327">
        <f t="array" ref="E52">SUM(IF(MONTH(NymexData!$S$12:$S$250)&amp;YEAR(NymexData!$S$12:$S$250)=MONTH(A52)&amp;YEAR(A52),NymexData!$T$12:$T$250))</f>
        <v>3.8370000000000002</v>
      </c>
      <c r="F52" s="327">
        <f t="shared" si="5"/>
        <v>-5.7000000000000384E-2</v>
      </c>
      <c r="G52" s="328">
        <f t="array" ref="G52">IF(NymexData!$AA$12="",GasPosn!E52,SUM(IF(MONTH(NymexData!$AA$12:$AA$250)&amp;YEAR(NymexData!$AA$12:$AA$250)=MONTH(A52)&amp;YEAR(A52),NymexData!$AB$12:$AB$250)))</f>
        <v>3.78</v>
      </c>
      <c r="H52" s="99">
        <f t="shared" si="6"/>
        <v>108516.83478300074</v>
      </c>
      <c r="I52" s="92">
        <f t="shared" si="7"/>
        <v>0</v>
      </c>
      <c r="J52" s="92">
        <f t="shared" si="20"/>
        <v>108516.83478300074</v>
      </c>
      <c r="L52" s="378"/>
      <c r="O52" s="47">
        <f t="shared" si="18"/>
        <v>38412</v>
      </c>
      <c r="BD52" s="48">
        <f t="shared" si="21"/>
        <v>0</v>
      </c>
      <c r="BE52" s="334">
        <f t="shared" si="22"/>
        <v>0</v>
      </c>
      <c r="BG52" s="51">
        <f t="shared" si="23"/>
        <v>38412</v>
      </c>
      <c r="BH52" s="335">
        <f t="shared" si="24"/>
        <v>0</v>
      </c>
      <c r="BI52" s="52">
        <f>VLOOKUP(GasPosn!A52,'Pricing Summary'!$AB$12:$AD$250,3)</f>
        <v>31</v>
      </c>
      <c r="BJ52" s="50">
        <f>VLOOKUP(A52,Interest!$AF$8:$AK$367,6)</f>
        <v>0.87266758764656482</v>
      </c>
      <c r="BL52">
        <f>J52*VLOOKUP(A52,NymexData!$J$12:$K$244,2)</f>
        <v>170659.59488273601</v>
      </c>
      <c r="BO52">
        <f>Interest!AK48</f>
        <v>0.87266758764656482</v>
      </c>
      <c r="BP52">
        <f>G52*Interest!AK48</f>
        <v>3.2986834813040149</v>
      </c>
      <c r="BQ52">
        <f t="shared" si="11"/>
        <v>1</v>
      </c>
      <c r="BR52">
        <f t="shared" si="12"/>
        <v>0.87266758764656482</v>
      </c>
      <c r="BS52">
        <f t="shared" si="13"/>
        <v>3.2986834813040149</v>
      </c>
    </row>
    <row r="53" spans="1:71" ht="18" x14ac:dyDescent="0.25">
      <c r="A53" s="100">
        <f>[4]EnergyCurve!$D75</f>
        <v>38443</v>
      </c>
      <c r="B53" s="329">
        <f t="array" ref="B53">SUM(IF(MONTH(NymexData!$AI$12:$AI$250)&amp;YEAR(NymexData!$AI$12:$AI$250)=MONTH(A53)&amp;YEAR(A53),NymexData!$AJ$12:$AJ$250))</f>
        <v>-183.41219874999999</v>
      </c>
      <c r="C53" s="330">
        <f t="shared" si="3"/>
        <v>0</v>
      </c>
      <c r="D53" s="331">
        <f t="shared" si="19"/>
        <v>-183.41219874999999</v>
      </c>
      <c r="E53" s="332">
        <f t="array" ref="E53">SUM(IF(MONTH(NymexData!$S$12:$S$250)&amp;YEAR(NymexData!$S$12:$S$250)=MONTH(A53)&amp;YEAR(A53),NymexData!$T$12:$T$250))</f>
        <v>3.6830000000000003</v>
      </c>
      <c r="F53" s="332">
        <f t="shared" si="5"/>
        <v>-5.699999999999994E-2</v>
      </c>
      <c r="G53" s="333">
        <f t="array" ref="G53">IF(NymexData!$AA$12="",GasPosn!E53,SUM(IF(MONTH(NymexData!$AA$12:$AA$250)&amp;YEAR(NymexData!$AA$12:$AA$250)=MONTH(A53)&amp;YEAR(A53),NymexData!$AB$12:$AB$250)))</f>
        <v>3.6260000000000003</v>
      </c>
      <c r="H53" s="85">
        <f t="shared" si="6"/>
        <v>104544.95328749988</v>
      </c>
      <c r="I53" s="88">
        <f t="shared" si="7"/>
        <v>0</v>
      </c>
      <c r="J53" s="88">
        <f t="shared" si="20"/>
        <v>104544.95328749988</v>
      </c>
      <c r="L53" s="378"/>
      <c r="O53" s="47">
        <f t="shared" si="18"/>
        <v>38443</v>
      </c>
      <c r="BD53" s="48">
        <f t="shared" si="21"/>
        <v>0</v>
      </c>
      <c r="BE53" s="334">
        <f t="shared" si="22"/>
        <v>0</v>
      </c>
      <c r="BG53" s="51">
        <f t="shared" si="23"/>
        <v>38443</v>
      </c>
      <c r="BH53" s="335">
        <f t="shared" si="24"/>
        <v>0</v>
      </c>
      <c r="BI53" s="52">
        <f>VLOOKUP(GasPosn!A53,'Pricing Summary'!$AB$12:$AD$250,3)</f>
        <v>30</v>
      </c>
      <c r="BJ53" s="50">
        <f>VLOOKUP(A53,Interest!$AF$8:$AK$367,6)</f>
        <v>0.8686317389279562</v>
      </c>
      <c r="BL53">
        <f>J53*VLOOKUP(A53,NymexData!$J$12:$K$244,2)</f>
        <v>164382.10848002433</v>
      </c>
      <c r="BO53">
        <f>Interest!AK49</f>
        <v>0.8686317389279562</v>
      </c>
      <c r="BP53">
        <f>G53*Interest!AK49</f>
        <v>3.1496586853527693</v>
      </c>
      <c r="BQ53">
        <f t="shared" si="11"/>
        <v>1</v>
      </c>
      <c r="BR53">
        <f t="shared" si="12"/>
        <v>0.8686317389279562</v>
      </c>
      <c r="BS53">
        <f t="shared" si="13"/>
        <v>3.1496586853527693</v>
      </c>
    </row>
    <row r="54" spans="1:71" ht="18" x14ac:dyDescent="0.25">
      <c r="A54" s="98">
        <f>[4]EnergyCurve!$D76</f>
        <v>38473</v>
      </c>
      <c r="B54" s="324">
        <f t="array" ref="B54">SUM(IF(MONTH(NymexData!$AI$12:$AI$250)&amp;YEAR(NymexData!$AI$12:$AI$250)=MONTH(A54)&amp;YEAR(A54),NymexData!$AJ$12:$AJ$250))</f>
        <v>-188.69221153000001</v>
      </c>
      <c r="C54" s="324">
        <f t="shared" si="3"/>
        <v>0</v>
      </c>
      <c r="D54" s="326">
        <f t="shared" si="19"/>
        <v>-188.69221153000001</v>
      </c>
      <c r="E54" s="327">
        <f t="array" ref="E54">SUM(IF(MONTH(NymexData!$S$12:$S$250)&amp;YEAR(NymexData!$S$12:$S$250)=MONTH(A54)&amp;YEAR(A54),NymexData!$T$12:$T$250))</f>
        <v>3.6880000000000002</v>
      </c>
      <c r="F54" s="327">
        <f t="shared" si="5"/>
        <v>-5.699999999999994E-2</v>
      </c>
      <c r="G54" s="328">
        <f t="array" ref="G54">IF(NymexData!$AA$12="",GasPosn!E54,SUM(IF(MONTH(NymexData!$AA$12:$AA$250)&amp;YEAR(NymexData!$AA$12:$AA$250)=MONTH(A54)&amp;YEAR(A54),NymexData!$AB$12:$AB$250)))</f>
        <v>3.6310000000000002</v>
      </c>
      <c r="H54" s="99">
        <f t="shared" si="6"/>
        <v>107554.5605720999</v>
      </c>
      <c r="I54" s="92">
        <f t="shared" si="7"/>
        <v>0</v>
      </c>
      <c r="J54" s="92">
        <f t="shared" si="20"/>
        <v>107554.5605720999</v>
      </c>
      <c r="L54" s="378"/>
      <c r="O54" s="47">
        <f t="shared" si="18"/>
        <v>38473</v>
      </c>
      <c r="BD54" s="48">
        <f t="shared" si="21"/>
        <v>0</v>
      </c>
      <c r="BE54" s="334">
        <f t="shared" si="22"/>
        <v>0</v>
      </c>
      <c r="BG54" s="51">
        <f t="shared" si="23"/>
        <v>38473</v>
      </c>
      <c r="BH54" s="335">
        <f t="shared" si="24"/>
        <v>0</v>
      </c>
      <c r="BI54" s="52">
        <f>VLOOKUP(GasPosn!A54,'Pricing Summary'!$AB$12:$AD$250,3)</f>
        <v>31</v>
      </c>
      <c r="BJ54" s="50">
        <f>VLOOKUP(A54,Interest!$AF$8:$AK$367,6)</f>
        <v>0.86458090072214322</v>
      </c>
      <c r="BL54">
        <f>J54*VLOOKUP(A54,NymexData!$J$12:$K$244,2)</f>
        <v>169096.71301912042</v>
      </c>
      <c r="BO54">
        <f>Interest!AK50</f>
        <v>0.86458090072214322</v>
      </c>
      <c r="BP54">
        <f>G54*Interest!AK50</f>
        <v>3.1392932505221021</v>
      </c>
      <c r="BQ54">
        <f t="shared" si="11"/>
        <v>1</v>
      </c>
      <c r="BR54">
        <f t="shared" si="12"/>
        <v>0.86458090072214322</v>
      </c>
      <c r="BS54">
        <f t="shared" si="13"/>
        <v>3.1392932505221021</v>
      </c>
    </row>
    <row r="55" spans="1:71" ht="18" x14ac:dyDescent="0.25">
      <c r="A55" s="100">
        <f>[4]EnergyCurve!$D77</f>
        <v>38504</v>
      </c>
      <c r="B55" s="329">
        <f t="array" ref="B55">SUM(IF(MONTH(NymexData!$AI$12:$AI$250)&amp;YEAR(NymexData!$AI$12:$AI$250)=MONTH(A55)&amp;YEAR(A55),NymexData!$AJ$12:$AJ$250))</f>
        <v>-181.76494880999999</v>
      </c>
      <c r="C55" s="330">
        <f t="shared" si="3"/>
        <v>0</v>
      </c>
      <c r="D55" s="331">
        <f t="shared" si="19"/>
        <v>-181.76494880999999</v>
      </c>
      <c r="E55" s="332">
        <f t="array" ref="E55">SUM(IF(MONTH(NymexData!$S$12:$S$250)&amp;YEAR(NymexData!$S$12:$S$250)=MONTH(A55)&amp;YEAR(A55),NymexData!$T$12:$T$250))</f>
        <v>3.726</v>
      </c>
      <c r="F55" s="332">
        <f t="shared" si="5"/>
        <v>-5.699999999999994E-2</v>
      </c>
      <c r="G55" s="333">
        <f t="array" ref="G55">IF(NymexData!$AA$12="",GasPosn!E55,SUM(IF(MONTH(NymexData!$AA$12:$AA$250)&amp;YEAR(NymexData!$AA$12:$AA$250)=MONTH(A55)&amp;YEAR(A55),NymexData!$AB$12:$AB$250)))</f>
        <v>3.669</v>
      </c>
      <c r="H55" s="85">
        <f t="shared" si="6"/>
        <v>103606.02082169989</v>
      </c>
      <c r="I55" s="88">
        <f t="shared" si="7"/>
        <v>0</v>
      </c>
      <c r="J55" s="88">
        <f t="shared" si="20"/>
        <v>103606.02082169989</v>
      </c>
      <c r="L55" s="378"/>
      <c r="O55" s="47">
        <f t="shared" si="18"/>
        <v>38504</v>
      </c>
      <c r="BD55" s="48">
        <f t="shared" si="21"/>
        <v>0</v>
      </c>
      <c r="BE55" s="334">
        <f t="shared" si="22"/>
        <v>0</v>
      </c>
      <c r="BG55" s="51">
        <f t="shared" si="23"/>
        <v>38504</v>
      </c>
      <c r="BH55" s="335">
        <f t="shared" si="24"/>
        <v>0</v>
      </c>
      <c r="BI55" s="52">
        <f>VLOOKUP(GasPosn!A55,'Pricing Summary'!$AB$12:$AD$250,3)</f>
        <v>30</v>
      </c>
      <c r="BJ55" s="50">
        <f>VLOOKUP(A55,Interest!$AF$8:$AK$367,6)</f>
        <v>0.86055528171127715</v>
      </c>
      <c r="BL55">
        <f>J55*VLOOKUP(A55,NymexData!$J$12:$K$244,2)</f>
        <v>162870.5992257582</v>
      </c>
      <c r="BO55">
        <f>Interest!AK51</f>
        <v>0.86055528171127715</v>
      </c>
      <c r="BP55">
        <f>G55*Interest!AK51</f>
        <v>3.1573773285986757</v>
      </c>
      <c r="BQ55">
        <f t="shared" si="11"/>
        <v>1</v>
      </c>
      <c r="BR55">
        <f t="shared" si="12"/>
        <v>0.86055528171127715</v>
      </c>
      <c r="BS55">
        <f t="shared" si="13"/>
        <v>3.1573773285986757</v>
      </c>
    </row>
    <row r="56" spans="1:71" ht="18" x14ac:dyDescent="0.25">
      <c r="A56" s="98">
        <f>[4]EnergyCurve!$D78</f>
        <v>38534</v>
      </c>
      <c r="B56" s="324">
        <f t="array" ref="B56">SUM(IF(MONTH(NymexData!$AI$12:$AI$250)&amp;YEAR(NymexData!$AI$12:$AI$250)=MONTH(A56)&amp;YEAR(A56),NymexData!$AJ$12:$AJ$250))</f>
        <v>-186.97680008</v>
      </c>
      <c r="C56" s="325">
        <f t="shared" si="3"/>
        <v>0</v>
      </c>
      <c r="D56" s="326">
        <f t="shared" si="19"/>
        <v>-186.97680008</v>
      </c>
      <c r="E56" s="327">
        <f t="array" ref="E56">SUM(IF(MONTH(NymexData!$S$12:$S$250)&amp;YEAR(NymexData!$S$12:$S$250)=MONTH(A56)&amp;YEAR(A56),NymexData!$T$12:$T$250))</f>
        <v>3.7710000000000004</v>
      </c>
      <c r="F56" s="327">
        <f t="shared" si="5"/>
        <v>-5.7000000000000384E-2</v>
      </c>
      <c r="G56" s="328">
        <f t="array" ref="G56">IF(NymexData!$AA$12="",GasPosn!E56,SUM(IF(MONTH(NymexData!$AA$12:$AA$250)&amp;YEAR(NymexData!$AA$12:$AA$250)=MONTH(A56)&amp;YEAR(A56),NymexData!$AB$12:$AB$250)))</f>
        <v>3.714</v>
      </c>
      <c r="H56" s="99">
        <f t="shared" si="6"/>
        <v>106576.77604560072</v>
      </c>
      <c r="I56" s="92">
        <f t="shared" si="7"/>
        <v>0</v>
      </c>
      <c r="J56" s="92">
        <f t="shared" si="20"/>
        <v>106576.77604560072</v>
      </c>
      <c r="L56" s="378"/>
      <c r="O56" s="47">
        <f t="shared" si="18"/>
        <v>38534</v>
      </c>
      <c r="BD56" s="48">
        <f t="shared" si="21"/>
        <v>0</v>
      </c>
      <c r="BE56" s="334">
        <f t="shared" si="22"/>
        <v>0</v>
      </c>
      <c r="BG56" s="51">
        <f t="shared" si="23"/>
        <v>38534</v>
      </c>
      <c r="BH56" s="335">
        <f t="shared" si="24"/>
        <v>0</v>
      </c>
      <c r="BI56" s="52">
        <f>VLOOKUP(GasPosn!A56,'Pricing Summary'!$AB$12:$AD$250,3)</f>
        <v>31</v>
      </c>
      <c r="BJ56" s="50">
        <f>VLOOKUP(A56,Interest!$AF$8:$AK$367,6)</f>
        <v>0.85648332670118255</v>
      </c>
      <c r="BL56">
        <f>J56*VLOOKUP(A56,NymexData!$J$12:$K$244,2)</f>
        <v>167530.5444097998</v>
      </c>
      <c r="BO56">
        <f>Interest!AK52</f>
        <v>0.85648332670118255</v>
      </c>
      <c r="BP56">
        <f>G56*Interest!AK52</f>
        <v>3.1809790753681919</v>
      </c>
      <c r="BQ56">
        <f t="shared" si="11"/>
        <v>1</v>
      </c>
      <c r="BR56">
        <f t="shared" si="12"/>
        <v>0.85648332670118255</v>
      </c>
      <c r="BS56">
        <f t="shared" si="13"/>
        <v>3.1809790753681919</v>
      </c>
    </row>
    <row r="57" spans="1:71" ht="18" x14ac:dyDescent="0.25">
      <c r="A57" s="100">
        <f>[4]EnergyCurve!$D79</f>
        <v>38565</v>
      </c>
      <c r="B57" s="329">
        <f t="array" ref="B57">SUM(IF(MONTH(NymexData!$AI$12:$AI$250)&amp;YEAR(NymexData!$AI$12:$AI$250)=MONTH(A57)&amp;YEAR(A57),NymexData!$AJ$12:$AJ$250))</f>
        <v>-186.09493810999999</v>
      </c>
      <c r="C57" s="330">
        <f t="shared" si="3"/>
        <v>0</v>
      </c>
      <c r="D57" s="331">
        <f t="shared" si="19"/>
        <v>-186.09493810999999</v>
      </c>
      <c r="E57" s="332">
        <f t="array" ref="E57">SUM(IF(MONTH(NymexData!$S$12:$S$250)&amp;YEAR(NymexData!$S$12:$S$250)=MONTH(A57)&amp;YEAR(A57),NymexData!$T$12:$T$250))</f>
        <v>3.8090000000000002</v>
      </c>
      <c r="F57" s="332">
        <f t="shared" si="5"/>
        <v>-5.699999999999994E-2</v>
      </c>
      <c r="G57" s="333">
        <f t="array" ref="G57">IF(NymexData!$AA$12="",GasPosn!E57,SUM(IF(MONTH(NymexData!$AA$12:$AA$250)&amp;YEAR(NymexData!$AA$12:$AA$250)=MONTH(A57)&amp;YEAR(A57),NymexData!$AB$12:$AB$250)))</f>
        <v>3.7520000000000002</v>
      </c>
      <c r="H57" s="85">
        <f t="shared" si="6"/>
        <v>106074.11472269989</v>
      </c>
      <c r="I57" s="88">
        <f t="shared" si="7"/>
        <v>0</v>
      </c>
      <c r="J57" s="88">
        <f t="shared" si="20"/>
        <v>106074.11472269989</v>
      </c>
      <c r="L57" s="378"/>
      <c r="O57" s="47">
        <f t="shared" si="18"/>
        <v>38565</v>
      </c>
      <c r="BD57" s="48">
        <f t="shared" si="21"/>
        <v>0</v>
      </c>
      <c r="BE57" s="334">
        <f t="shared" si="22"/>
        <v>0</v>
      </c>
      <c r="BG57" s="51">
        <f t="shared" si="23"/>
        <v>38565</v>
      </c>
      <c r="BH57" s="335">
        <f t="shared" si="24"/>
        <v>0</v>
      </c>
      <c r="BI57" s="52">
        <f>VLOOKUP(GasPosn!A57,'Pricing Summary'!$AB$12:$AD$250,3)</f>
        <v>31</v>
      </c>
      <c r="BJ57" s="50">
        <f>VLOOKUP(A57,Interest!$AF$8:$AK$367,6)</f>
        <v>0.85238717190807134</v>
      </c>
      <c r="BL57">
        <f>J57*VLOOKUP(A57,NymexData!$J$12:$K$244,2)</f>
        <v>166738.1983422983</v>
      </c>
      <c r="BO57">
        <f>Interest!AK53</f>
        <v>0.85238717190807134</v>
      </c>
      <c r="BP57">
        <f>G57*Interest!AK53</f>
        <v>3.1981566689990837</v>
      </c>
      <c r="BQ57">
        <f t="shared" si="11"/>
        <v>1</v>
      </c>
      <c r="BR57">
        <f t="shared" si="12"/>
        <v>0.85238717190807134</v>
      </c>
      <c r="BS57">
        <f t="shared" si="13"/>
        <v>3.1981566689990837</v>
      </c>
    </row>
    <row r="58" spans="1:71" ht="18" x14ac:dyDescent="0.25">
      <c r="A58" s="98">
        <f>[4]EnergyCurve!$D80</f>
        <v>38596</v>
      </c>
      <c r="B58" s="324">
        <f t="array" ref="B58">SUM(IF(MONTH(NymexData!$AI$12:$AI$250)&amp;YEAR(NymexData!$AI$12:$AI$250)=MONTH(A58)&amp;YEAR(A58),NymexData!$AJ$12:$AJ$250))</f>
        <v>-179.23205202</v>
      </c>
      <c r="C58" s="324">
        <f t="shared" si="3"/>
        <v>0</v>
      </c>
      <c r="D58" s="326">
        <f t="shared" si="19"/>
        <v>-179.23205202</v>
      </c>
      <c r="E58" s="327">
        <f t="array" ref="E58">SUM(IF(MONTH(NymexData!$S$12:$S$250)&amp;YEAR(NymexData!$S$12:$S$250)=MONTH(A58)&amp;YEAR(A58),NymexData!$T$12:$T$250))</f>
        <v>3.8030000000000004</v>
      </c>
      <c r="F58" s="327">
        <f t="shared" si="5"/>
        <v>-5.7000000000000384E-2</v>
      </c>
      <c r="G58" s="328">
        <f t="array" ref="G58">IF(NymexData!$AA$12="",GasPosn!E58,SUM(IF(MONTH(NymexData!$AA$12:$AA$250)&amp;YEAR(NymexData!$AA$12:$AA$250)=MONTH(A58)&amp;YEAR(A58),NymexData!$AB$12:$AB$250)))</f>
        <v>3.746</v>
      </c>
      <c r="H58" s="99">
        <f t="shared" si="6"/>
        <v>102162.26965140068</v>
      </c>
      <c r="I58" s="92">
        <f t="shared" si="7"/>
        <v>0</v>
      </c>
      <c r="J58" s="92">
        <f t="shared" si="20"/>
        <v>102162.26965140068</v>
      </c>
      <c r="L58" s="378"/>
      <c r="O58" s="47">
        <f t="shared" si="18"/>
        <v>38596</v>
      </c>
      <c r="BD58" s="48">
        <f t="shared" si="21"/>
        <v>0</v>
      </c>
      <c r="BE58" s="334">
        <f t="shared" si="22"/>
        <v>0</v>
      </c>
      <c r="BG58" s="51">
        <f t="shared" si="23"/>
        <v>38596</v>
      </c>
      <c r="BH58" s="335">
        <f t="shared" si="24"/>
        <v>0</v>
      </c>
      <c r="BI58" s="52">
        <f>VLOOKUP(GasPosn!A58,'Pricing Summary'!$AB$12:$AD$250,3)</f>
        <v>30</v>
      </c>
      <c r="BJ58" s="50">
        <f>VLOOKUP(A58,Interest!$AF$8:$AK$367,6)</f>
        <v>0.84835863810766987</v>
      </c>
      <c r="BL58">
        <f>J58*VLOOKUP(A58,NymexData!$J$12:$K$244,2)</f>
        <v>160587.05691475031</v>
      </c>
      <c r="BO58">
        <f>Interest!AK54</f>
        <v>0.84835863810766987</v>
      </c>
      <c r="BP58">
        <f>G58*Interest!AK54</f>
        <v>3.1779514583513313</v>
      </c>
      <c r="BQ58">
        <f t="shared" si="11"/>
        <v>1</v>
      </c>
      <c r="BR58">
        <f t="shared" si="12"/>
        <v>0.84835863810766987</v>
      </c>
      <c r="BS58">
        <f t="shared" si="13"/>
        <v>3.1779514583513313</v>
      </c>
    </row>
    <row r="59" spans="1:71" ht="18" x14ac:dyDescent="0.25">
      <c r="A59" s="100">
        <f>[4]EnergyCurve!$D81</f>
        <v>38626</v>
      </c>
      <c r="B59" s="329">
        <f t="array" ref="B59">SUM(IF(MONTH(NymexData!$AI$12:$AI$250)&amp;YEAR(NymexData!$AI$12:$AI$250)=MONTH(A59)&amp;YEAR(A59),NymexData!$AJ$12:$AJ$250))</f>
        <v>-184.34045448000001</v>
      </c>
      <c r="C59" s="330">
        <f t="shared" si="3"/>
        <v>0</v>
      </c>
      <c r="D59" s="331">
        <f t="shared" si="19"/>
        <v>-184.34045448000001</v>
      </c>
      <c r="E59" s="332">
        <f t="array" ref="E59">SUM(IF(MONTH(NymexData!$S$12:$S$250)&amp;YEAR(NymexData!$S$12:$S$250)=MONTH(A59)&amp;YEAR(A59),NymexData!$T$12:$T$250))</f>
        <v>3.8030000000000004</v>
      </c>
      <c r="F59" s="332">
        <f t="shared" si="5"/>
        <v>-5.7000000000000384E-2</v>
      </c>
      <c r="G59" s="333">
        <f t="array" ref="G59">IF(NymexData!$AA$12="",GasPosn!E59,SUM(IF(MONTH(NymexData!$AA$12:$AA$250)&amp;YEAR(NymexData!$AA$12:$AA$250)=MONTH(A59)&amp;YEAR(A59),NymexData!$AB$12:$AB$250)))</f>
        <v>3.746</v>
      </c>
      <c r="H59" s="85">
        <f t="shared" si="6"/>
        <v>105074.05905360071</v>
      </c>
      <c r="I59" s="88">
        <f t="shared" si="7"/>
        <v>0</v>
      </c>
      <c r="J59" s="88">
        <f t="shared" si="20"/>
        <v>105074.05905360071</v>
      </c>
      <c r="L59" s="378"/>
      <c r="O59" s="47">
        <f t="shared" si="18"/>
        <v>38626</v>
      </c>
      <c r="BD59" s="48">
        <f t="shared" si="21"/>
        <v>0</v>
      </c>
      <c r="BE59" s="334">
        <f t="shared" si="22"/>
        <v>0</v>
      </c>
      <c r="BG59" s="51">
        <f t="shared" si="23"/>
        <v>38626</v>
      </c>
      <c r="BH59" s="335">
        <f t="shared" si="24"/>
        <v>0</v>
      </c>
      <c r="BI59" s="52">
        <f>VLOOKUP(GasPosn!A59,'Pricing Summary'!$AB$12:$AD$250,3)</f>
        <v>31</v>
      </c>
      <c r="BJ59" s="50">
        <f>VLOOKUP(A59,Interest!$AF$8:$AK$367,6)</f>
        <v>0.84427166234103423</v>
      </c>
      <c r="BL59">
        <f>J59*VLOOKUP(A59,NymexData!$J$12:$K$244,2)</f>
        <v>165167.48435393535</v>
      </c>
      <c r="BO59">
        <f>Interest!AK55</f>
        <v>0.84427166234103423</v>
      </c>
      <c r="BP59">
        <f>G59*Interest!AK55</f>
        <v>3.1626416471295142</v>
      </c>
      <c r="BQ59">
        <f t="shared" si="11"/>
        <v>1</v>
      </c>
      <c r="BR59">
        <f t="shared" si="12"/>
        <v>0.84427166234103423</v>
      </c>
      <c r="BS59">
        <f t="shared" si="13"/>
        <v>3.1626416471295142</v>
      </c>
    </row>
    <row r="60" spans="1:71" ht="18" x14ac:dyDescent="0.25">
      <c r="A60" s="98">
        <f>[4]EnergyCurve!$D82</f>
        <v>38657</v>
      </c>
      <c r="B60" s="324">
        <f t="array" ref="B60">SUM(IF(MONTH(NymexData!$AI$12:$AI$250)&amp;YEAR(NymexData!$AI$12:$AI$250)=MONTH(A60)&amp;YEAR(A60),NymexData!$AJ$12:$AJ$250))</f>
        <v>-177.52194306999999</v>
      </c>
      <c r="C60" s="324">
        <f t="shared" si="3"/>
        <v>0</v>
      </c>
      <c r="D60" s="326">
        <f t="shared" si="19"/>
        <v>-177.52194306999999</v>
      </c>
      <c r="E60" s="327">
        <f t="array" ref="E60">SUM(IF(MONTH(NymexData!$S$12:$S$250)&amp;YEAR(NymexData!$S$12:$S$250)=MONTH(A60)&amp;YEAR(A60),NymexData!$T$12:$T$250))</f>
        <v>3.9510000000000001</v>
      </c>
      <c r="F60" s="327">
        <f t="shared" si="5"/>
        <v>-5.600000000000005E-2</v>
      </c>
      <c r="G60" s="328">
        <f t="array" ref="G60">IF(NymexData!$AA$12="",GasPosn!E60,SUM(IF(MONTH(NymexData!$AA$12:$AA$250)&amp;YEAR(NymexData!$AA$12:$AA$250)=MONTH(A60)&amp;YEAR(A60),NymexData!$AB$12:$AB$250)))</f>
        <v>3.895</v>
      </c>
      <c r="H60" s="99">
        <f t="shared" si="6"/>
        <v>99412.288119200079</v>
      </c>
      <c r="I60" s="92">
        <f t="shared" si="7"/>
        <v>0</v>
      </c>
      <c r="J60" s="92">
        <f t="shared" si="20"/>
        <v>99412.288119200079</v>
      </c>
      <c r="L60" s="378"/>
      <c r="O60" s="47">
        <f t="shared" si="18"/>
        <v>38657</v>
      </c>
      <c r="BD60" s="48">
        <f t="shared" si="21"/>
        <v>0</v>
      </c>
      <c r="BE60" s="334">
        <f t="shared" si="22"/>
        <v>0</v>
      </c>
      <c r="BG60" s="51">
        <f t="shared" si="23"/>
        <v>38657</v>
      </c>
      <c r="BH60" s="335">
        <f t="shared" si="24"/>
        <v>0</v>
      </c>
      <c r="BI60" s="52">
        <f>VLOOKUP(GasPosn!A60,'Pricing Summary'!$AB$12:$AD$250,3)</f>
        <v>30</v>
      </c>
      <c r="BJ60" s="50">
        <f>VLOOKUP(A60,Interest!$AF$8:$AK$367,6)</f>
        <v>0.84028450980852853</v>
      </c>
      <c r="BL60">
        <f>J60*VLOOKUP(A60,NymexData!$J$12:$K$244,2)</f>
        <v>156283.12766783702</v>
      </c>
      <c r="BO60">
        <f>Interest!AK56</f>
        <v>0.84028450980852853</v>
      </c>
      <c r="BP60">
        <f>G60*Interest!AK56</f>
        <v>3.2729081657042185</v>
      </c>
      <c r="BQ60">
        <f t="shared" si="11"/>
        <v>1</v>
      </c>
      <c r="BR60">
        <f t="shared" si="12"/>
        <v>0.84028450980852853</v>
      </c>
      <c r="BS60">
        <f t="shared" si="13"/>
        <v>3.2729081657042185</v>
      </c>
    </row>
    <row r="61" spans="1:71" ht="18" x14ac:dyDescent="0.25">
      <c r="A61" s="100">
        <f>[4]EnergyCurve!$D83</f>
        <v>38687</v>
      </c>
      <c r="B61" s="329">
        <f t="array" ref="B61">SUM(IF(MONTH(NymexData!$AI$12:$AI$250)&amp;YEAR(NymexData!$AI$12:$AI$250)=MONTH(A61)&amp;YEAR(A61),NymexData!$AJ$12:$AJ$250))</f>
        <v>-182.56137928000001</v>
      </c>
      <c r="C61" s="330">
        <f t="shared" si="3"/>
        <v>0</v>
      </c>
      <c r="D61" s="331">
        <f t="shared" si="19"/>
        <v>-182.56137928000001</v>
      </c>
      <c r="E61" s="332">
        <f t="array" ref="E61">SUM(IF(MONTH(NymexData!$S$12:$S$250)&amp;YEAR(NymexData!$S$12:$S$250)=MONTH(A61)&amp;YEAR(A61),NymexData!$T$12:$T$250))</f>
        <v>4.1029999999999998</v>
      </c>
      <c r="F61" s="332">
        <f t="shared" si="5"/>
        <v>-5.5999999999999162E-2</v>
      </c>
      <c r="G61" s="333">
        <f t="array" ref="G61">IF(NymexData!$AA$12="",GasPosn!E61,SUM(IF(MONTH(NymexData!$AA$12:$AA$250)&amp;YEAR(NymexData!$AA$12:$AA$250)=MONTH(A61)&amp;YEAR(A61),NymexData!$AB$12:$AB$250)))</f>
        <v>4.0470000000000006</v>
      </c>
      <c r="H61" s="85">
        <f t="shared" si="6"/>
        <v>102234.37239679848</v>
      </c>
      <c r="I61" s="88">
        <f t="shared" si="7"/>
        <v>0</v>
      </c>
      <c r="J61" s="88">
        <f t="shared" si="20"/>
        <v>102234.37239679848</v>
      </c>
      <c r="L61" s="378"/>
      <c r="O61" s="47">
        <f t="shared" si="18"/>
        <v>38687</v>
      </c>
      <c r="BD61" s="48">
        <f t="shared" si="21"/>
        <v>0</v>
      </c>
      <c r="BE61" s="334">
        <f t="shared" si="22"/>
        <v>0</v>
      </c>
      <c r="BG61" s="51">
        <f t="shared" si="23"/>
        <v>38687</v>
      </c>
      <c r="BH61" s="335">
        <f t="shared" si="24"/>
        <v>0</v>
      </c>
      <c r="BI61" s="52">
        <f>VLOOKUP(GasPosn!A61,'Pricing Summary'!$AB$12:$AD$250,3)</f>
        <v>31</v>
      </c>
      <c r="BJ61" s="50">
        <f>VLOOKUP(A61,Interest!$AF$8:$AK$367,6)</f>
        <v>0.83621120978527286</v>
      </c>
      <c r="BL61">
        <f>J61*VLOOKUP(A61,NymexData!$J$12:$K$244,2)</f>
        <v>160735.76630300577</v>
      </c>
      <c r="BO61">
        <f>Interest!AK57</f>
        <v>0.83621120978527286</v>
      </c>
      <c r="BP61">
        <f>G61*Interest!AK57</f>
        <v>3.3841467660009998</v>
      </c>
      <c r="BQ61">
        <f t="shared" si="11"/>
        <v>1</v>
      </c>
      <c r="BR61">
        <f t="shared" si="12"/>
        <v>0.83621120978527286</v>
      </c>
      <c r="BS61">
        <f t="shared" si="13"/>
        <v>3.3841467660009998</v>
      </c>
    </row>
    <row r="62" spans="1:71" ht="18" x14ac:dyDescent="0.25">
      <c r="A62" s="98">
        <f>[4]EnergyCurve!$D84</f>
        <v>38718</v>
      </c>
      <c r="B62" s="324">
        <f t="array" ref="B62">SUM(IF(MONTH(NymexData!$AI$12:$AI$250)&amp;YEAR(NymexData!$AI$12:$AI$250)=MONTH(A62)&amp;YEAR(A62),NymexData!$AJ$12:$AJ$250))</f>
        <v>-181.64817285999999</v>
      </c>
      <c r="C62" s="324">
        <f t="shared" si="3"/>
        <v>0</v>
      </c>
      <c r="D62" s="326">
        <f t="shared" si="19"/>
        <v>-181.64817285999999</v>
      </c>
      <c r="E62" s="327">
        <f t="array" ref="E62">SUM(IF(MONTH(NymexData!$S$12:$S$250)&amp;YEAR(NymexData!$S$12:$S$250)=MONTH(A62)&amp;YEAR(A62),NymexData!$T$12:$T$250))</f>
        <v>4.1604999999999999</v>
      </c>
      <c r="F62" s="327">
        <f t="shared" si="5"/>
        <v>-5.0999999999999268E-2</v>
      </c>
      <c r="G62" s="328">
        <f t="array" ref="G62">IF(NymexData!$AA$12="",GasPosn!E62,SUM(IF(MONTH(NymexData!$AA$12:$AA$250)&amp;YEAR(NymexData!$AA$12:$AA$250)=MONTH(A62)&amp;YEAR(A62),NymexData!$AB$12:$AB$250)))</f>
        <v>4.1095000000000006</v>
      </c>
      <c r="H62" s="99">
        <f t="shared" si="6"/>
        <v>92640.56815859866</v>
      </c>
      <c r="I62" s="92">
        <f t="shared" si="7"/>
        <v>0</v>
      </c>
      <c r="J62" s="92">
        <f t="shared" si="20"/>
        <v>92640.56815859866</v>
      </c>
      <c r="L62" s="378"/>
      <c r="O62" s="47">
        <f t="shared" si="18"/>
        <v>38718</v>
      </c>
      <c r="BD62" s="48">
        <f t="shared" si="21"/>
        <v>0</v>
      </c>
      <c r="BE62" s="334">
        <f t="shared" si="22"/>
        <v>0</v>
      </c>
      <c r="BG62" s="51">
        <f t="shared" si="23"/>
        <v>38718</v>
      </c>
      <c r="BH62" s="335">
        <f t="shared" si="24"/>
        <v>0</v>
      </c>
      <c r="BI62" s="52">
        <f>VLOOKUP(GasPosn!A62,'Pricing Summary'!$AB$12:$AD$250,3)</f>
        <v>31</v>
      </c>
      <c r="BJ62" s="50">
        <f>VLOOKUP(A62,Interest!$AF$8:$AK$367,6)</f>
        <v>0.83215062598275424</v>
      </c>
      <c r="BL62">
        <f>J62*VLOOKUP(A62,NymexData!$J$12:$K$244,2)</f>
        <v>145677.18850974427</v>
      </c>
      <c r="BO62">
        <f>Interest!AK58</f>
        <v>0.83215062598275424</v>
      </c>
      <c r="BP62">
        <f>G62*Interest!AK58</f>
        <v>3.419722997476129</v>
      </c>
      <c r="BQ62">
        <f t="shared" si="11"/>
        <v>1</v>
      </c>
      <c r="BR62">
        <f t="shared" si="12"/>
        <v>0.83215062598275424</v>
      </c>
      <c r="BS62">
        <f t="shared" si="13"/>
        <v>3.419722997476129</v>
      </c>
    </row>
    <row r="63" spans="1:71" ht="18" x14ac:dyDescent="0.25">
      <c r="A63" s="100">
        <f>[4]EnergyCurve!$D85</f>
        <v>38749</v>
      </c>
      <c r="B63" s="329">
        <f t="array" ref="B63">SUM(IF(MONTH(NymexData!$AI$12:$AI$250)&amp;YEAR(NymexData!$AI$12:$AI$250)=MONTH(A63)&amp;YEAR(A63),NymexData!$AJ$12:$AJ$250))</f>
        <v>-163.23912107999999</v>
      </c>
      <c r="C63" s="330">
        <f t="shared" si="3"/>
        <v>0</v>
      </c>
      <c r="D63" s="331">
        <f t="shared" si="19"/>
        <v>-163.23912107999999</v>
      </c>
      <c r="E63" s="332">
        <f t="array" ref="E63">SUM(IF(MONTH(NymexData!$S$12:$S$250)&amp;YEAR(NymexData!$S$12:$S$250)=MONTH(A63)&amp;YEAR(A63),NymexData!$T$12:$T$250))</f>
        <v>4.0735000000000001</v>
      </c>
      <c r="F63" s="332">
        <f t="shared" si="5"/>
        <v>-5.1999999999999602E-2</v>
      </c>
      <c r="G63" s="333">
        <f t="array" ref="G63">IF(NymexData!$AA$12="",GasPosn!E63,SUM(IF(MONTH(NymexData!$AA$12:$AA$250)&amp;YEAR(NymexData!$AA$12:$AA$250)=MONTH(A63)&amp;YEAR(A63),NymexData!$AB$12:$AB$250)))</f>
        <v>4.0215000000000005</v>
      </c>
      <c r="H63" s="85">
        <f t="shared" si="6"/>
        <v>84884.342961599352</v>
      </c>
      <c r="I63" s="88">
        <f t="shared" si="7"/>
        <v>0</v>
      </c>
      <c r="J63" s="88">
        <f t="shared" si="20"/>
        <v>84884.342961599352</v>
      </c>
      <c r="L63" s="378"/>
      <c r="O63" s="47">
        <f t="shared" si="18"/>
        <v>38749</v>
      </c>
      <c r="BD63" s="48">
        <f t="shared" si="21"/>
        <v>0</v>
      </c>
      <c r="BE63" s="334">
        <f t="shared" si="22"/>
        <v>0</v>
      </c>
      <c r="BG63" s="51">
        <f t="shared" si="23"/>
        <v>38749</v>
      </c>
      <c r="BH63" s="335">
        <f t="shared" si="24"/>
        <v>0</v>
      </c>
      <c r="BI63" s="52">
        <f>VLOOKUP(GasPosn!A63,'Pricing Summary'!$AB$12:$AD$250,3)</f>
        <v>28</v>
      </c>
      <c r="BJ63" s="50">
        <f>VLOOKUP(A63,Interest!$AF$8:$AK$367,6)</f>
        <v>0.82849418222068738</v>
      </c>
      <c r="BL63">
        <f>J63*VLOOKUP(A63,NymexData!$J$12:$K$244,2)</f>
        <v>133520.28156223492</v>
      </c>
      <c r="BO63">
        <f>Interest!AK59</f>
        <v>0.82849418222068738</v>
      </c>
      <c r="BP63">
        <f>G63*Interest!AK59</f>
        <v>3.3317893538004948</v>
      </c>
      <c r="BQ63">
        <f t="shared" si="11"/>
        <v>1</v>
      </c>
      <c r="BR63">
        <f t="shared" si="12"/>
        <v>0.82849418222068738</v>
      </c>
      <c r="BS63">
        <f t="shared" si="13"/>
        <v>3.3317893538004948</v>
      </c>
    </row>
    <row r="64" spans="1:71" ht="18" x14ac:dyDescent="0.25">
      <c r="A64" s="98">
        <f>[4]EnergyCurve!$D86</f>
        <v>38777</v>
      </c>
      <c r="B64" s="324">
        <f t="array" ref="B64">SUM(IF(MONTH(NymexData!$AI$12:$AI$250)&amp;YEAR(NymexData!$AI$12:$AI$250)=MONTH(A64)&amp;YEAR(A64),NymexData!$AJ$12:$AJ$250))</f>
        <v>-179.89384140000001</v>
      </c>
      <c r="C64" s="324">
        <f t="shared" si="3"/>
        <v>0</v>
      </c>
      <c r="D64" s="326">
        <f t="shared" si="19"/>
        <v>-179.89384140000001</v>
      </c>
      <c r="E64" s="327">
        <f t="array" ref="E64">SUM(IF(MONTH(NymexData!$S$12:$S$250)&amp;YEAR(NymexData!$S$12:$S$250)=MONTH(A64)&amp;YEAR(A64),NymexData!$T$12:$T$250))</f>
        <v>3.9345000000000003</v>
      </c>
      <c r="F64" s="327">
        <f t="shared" si="5"/>
        <v>-5.200000000000049E-2</v>
      </c>
      <c r="G64" s="328">
        <f t="array" ref="G64">IF(NymexData!$AA$12="",GasPosn!E64,SUM(IF(MONTH(NymexData!$AA$12:$AA$250)&amp;YEAR(NymexData!$AA$12:$AA$250)=MONTH(A64)&amp;YEAR(A64),NymexData!$AB$12:$AB$250)))</f>
        <v>3.8824999999999998</v>
      </c>
      <c r="H64" s="99">
        <f t="shared" si="6"/>
        <v>93544.797528000883</v>
      </c>
      <c r="I64" s="92">
        <f t="shared" si="7"/>
        <v>0</v>
      </c>
      <c r="J64" s="92">
        <f t="shared" si="20"/>
        <v>93544.797528000883</v>
      </c>
      <c r="L64" s="378"/>
      <c r="O64" s="47">
        <f t="shared" si="18"/>
        <v>38777</v>
      </c>
      <c r="BD64" s="48">
        <f t="shared" si="21"/>
        <v>0</v>
      </c>
      <c r="BE64" s="334">
        <f t="shared" si="22"/>
        <v>0</v>
      </c>
      <c r="BG64" s="51">
        <f t="shared" si="23"/>
        <v>38777</v>
      </c>
      <c r="BH64" s="335">
        <f t="shared" si="24"/>
        <v>0</v>
      </c>
      <c r="BI64" s="52">
        <f>VLOOKUP(GasPosn!A64,'Pricing Summary'!$AB$12:$AD$250,3)</f>
        <v>31</v>
      </c>
      <c r="BJ64" s="50">
        <f>VLOOKUP(A64,Interest!$AF$8:$AK$367,6)</f>
        <v>0.82461810287948745</v>
      </c>
      <c r="BL64">
        <f>J64*VLOOKUP(A64,NymexData!$J$12:$K$244,2)</f>
        <v>147183.98513534662</v>
      </c>
      <c r="BO64">
        <f>Interest!AK60</f>
        <v>0.82461810287948745</v>
      </c>
      <c r="BP64">
        <f>G64*Interest!AK60</f>
        <v>3.2015797844296099</v>
      </c>
      <c r="BQ64">
        <f t="shared" si="11"/>
        <v>1</v>
      </c>
      <c r="BR64">
        <f t="shared" si="12"/>
        <v>0.82461810287948745</v>
      </c>
      <c r="BS64">
        <f t="shared" si="13"/>
        <v>3.2015797844296099</v>
      </c>
    </row>
    <row r="65" spans="1:71" ht="18" x14ac:dyDescent="0.25">
      <c r="A65" s="100">
        <f>[4]EnergyCurve!$D87</f>
        <v>38808</v>
      </c>
      <c r="B65" s="329">
        <f t="array" ref="B65">SUM(IF(MONTH(NymexData!$AI$12:$AI$250)&amp;YEAR(NymexData!$AI$12:$AI$250)=MONTH(A65)&amp;YEAR(A65),NymexData!$AJ$12:$AJ$250))</f>
        <v>-173.19075129999999</v>
      </c>
      <c r="C65" s="330">
        <f t="shared" si="3"/>
        <v>0</v>
      </c>
      <c r="D65" s="331">
        <f t="shared" si="19"/>
        <v>-173.19075129999999</v>
      </c>
      <c r="E65" s="332">
        <f t="array" ref="E65">SUM(IF(MONTH(NymexData!$S$12:$S$250)&amp;YEAR(NymexData!$S$12:$S$250)=MONTH(A65)&amp;YEAR(A65),NymexData!$T$12:$T$250))</f>
        <v>3.7805</v>
      </c>
      <c r="F65" s="332">
        <f t="shared" si="5"/>
        <v>-5.1999999999999602E-2</v>
      </c>
      <c r="G65" s="333">
        <f t="array" ref="G65">IF(NymexData!$AA$12="",GasPosn!E65,SUM(IF(MONTH(NymexData!$AA$12:$AA$250)&amp;YEAR(NymexData!$AA$12:$AA$250)=MONTH(A65)&amp;YEAR(A65),NymexData!$AB$12:$AB$250)))</f>
        <v>3.7285000000000004</v>
      </c>
      <c r="H65" s="85">
        <f t="shared" si="6"/>
        <v>90059.1906759993</v>
      </c>
      <c r="I65" s="88">
        <f t="shared" si="7"/>
        <v>0</v>
      </c>
      <c r="J65" s="88">
        <f t="shared" si="20"/>
        <v>90059.1906759993</v>
      </c>
      <c r="L65" s="378"/>
      <c r="O65" s="47">
        <f t="shared" si="18"/>
        <v>38808</v>
      </c>
      <c r="BD65" s="48">
        <f t="shared" si="21"/>
        <v>0</v>
      </c>
      <c r="BE65" s="334">
        <f t="shared" si="22"/>
        <v>0</v>
      </c>
      <c r="BG65" s="51">
        <f t="shared" si="23"/>
        <v>38808</v>
      </c>
      <c r="BH65" s="335">
        <f t="shared" si="24"/>
        <v>0</v>
      </c>
      <c r="BI65" s="52">
        <f>VLOOKUP(GasPosn!A65,'Pricing Summary'!$AB$12:$AD$250,3)</f>
        <v>30</v>
      </c>
      <c r="BJ65" s="50">
        <f>VLOOKUP(A65,Interest!$AF$8:$AK$367,6)</f>
        <v>0.82073427178337155</v>
      </c>
      <c r="BL65">
        <f>J65*VLOOKUP(A65,NymexData!$J$12:$K$244,2)</f>
        <v>141745.13962893988</v>
      </c>
      <c r="BO65">
        <f>Interest!AK61</f>
        <v>0.82073427178337155</v>
      </c>
      <c r="BP65">
        <f>G65*Interest!AK61</f>
        <v>3.0601077323443011</v>
      </c>
      <c r="BQ65">
        <f t="shared" si="11"/>
        <v>1</v>
      </c>
      <c r="BR65">
        <f t="shared" si="12"/>
        <v>0.82073427178337155</v>
      </c>
      <c r="BS65">
        <f t="shared" si="13"/>
        <v>3.0601077323443011</v>
      </c>
    </row>
    <row r="66" spans="1:71" ht="18" x14ac:dyDescent="0.25">
      <c r="A66" s="98">
        <f>[4]EnergyCurve!$D88</f>
        <v>38838</v>
      </c>
      <c r="B66" s="324">
        <f t="array" ref="B66">SUM(IF(MONTH(NymexData!$AI$12:$AI$250)&amp;YEAR(NymexData!$AI$12:$AI$250)=MONTH(A66)&amp;YEAR(A66),NymexData!$AJ$12:$AJ$250))</f>
        <v>-178.05844266</v>
      </c>
      <c r="C66" s="324">
        <f t="shared" si="3"/>
        <v>0</v>
      </c>
      <c r="D66" s="326">
        <f t="shared" si="19"/>
        <v>-178.05844266</v>
      </c>
      <c r="E66" s="327">
        <f t="array" ref="E66">SUM(IF(MONTH(NymexData!$S$12:$S$250)&amp;YEAR(NymexData!$S$12:$S$250)=MONTH(A66)&amp;YEAR(A66),NymexData!$T$12:$T$250))</f>
        <v>3.7855000000000003</v>
      </c>
      <c r="F66" s="327">
        <f t="shared" si="5"/>
        <v>-5.2000000000000046E-2</v>
      </c>
      <c r="G66" s="328">
        <f t="array" ref="G66">IF(NymexData!$AA$12="",GasPosn!E66,SUM(IF(MONTH(NymexData!$AA$12:$AA$250)&amp;YEAR(NymexData!$AA$12:$AA$250)=MONTH(A66)&amp;YEAR(A66),NymexData!$AB$12:$AB$250)))</f>
        <v>3.7335000000000003</v>
      </c>
      <c r="H66" s="99">
        <f t="shared" si="6"/>
        <v>92590.39018320007</v>
      </c>
      <c r="I66" s="92">
        <f t="shared" si="7"/>
        <v>0</v>
      </c>
      <c r="J66" s="92">
        <f t="shared" si="20"/>
        <v>92590.39018320007</v>
      </c>
      <c r="L66" s="378"/>
      <c r="O66" s="47">
        <f t="shared" si="18"/>
        <v>38838</v>
      </c>
      <c r="BD66" s="48">
        <f t="shared" si="21"/>
        <v>0</v>
      </c>
      <c r="BE66" s="334">
        <f t="shared" si="22"/>
        <v>0</v>
      </c>
      <c r="BG66" s="51">
        <f t="shared" si="23"/>
        <v>38838</v>
      </c>
      <c r="BH66" s="335">
        <f t="shared" si="24"/>
        <v>0</v>
      </c>
      <c r="BI66" s="52">
        <f>VLOOKUP(GasPosn!A66,'Pricing Summary'!$AB$12:$AD$250,3)</f>
        <v>31</v>
      </c>
      <c r="BJ66" s="50">
        <f>VLOOKUP(A66,Interest!$AF$8:$AK$367,6)</f>
        <v>0.81676741294028066</v>
      </c>
      <c r="BL66">
        <f>J66*VLOOKUP(A66,NymexData!$J$12:$K$244,2)</f>
        <v>145775.90036927557</v>
      </c>
      <c r="BO66">
        <f>Interest!AK62</f>
        <v>0.81676741294028066</v>
      </c>
      <c r="BP66">
        <f>G66*Interest!AK62</f>
        <v>3.0494011362125382</v>
      </c>
      <c r="BQ66">
        <f t="shared" si="11"/>
        <v>1</v>
      </c>
      <c r="BR66">
        <f t="shared" si="12"/>
        <v>0.81676741294028066</v>
      </c>
      <c r="BS66">
        <f t="shared" si="13"/>
        <v>3.0494011362125382</v>
      </c>
    </row>
    <row r="67" spans="1:71" ht="18" x14ac:dyDescent="0.25">
      <c r="A67" s="100">
        <f>[4]EnergyCurve!$D89</f>
        <v>38869</v>
      </c>
      <c r="B67" s="329">
        <f t="array" ref="B67">SUM(IF(MONTH(NymexData!$AI$12:$AI$250)&amp;YEAR(NymexData!$AI$12:$AI$250)=MONTH(A67)&amp;YEAR(A67),NymexData!$AJ$12:$AJ$250))</f>
        <v>-171.40414928000001</v>
      </c>
      <c r="C67" s="330">
        <f t="shared" si="3"/>
        <v>0</v>
      </c>
      <c r="D67" s="331">
        <f t="shared" si="19"/>
        <v>-171.40414928000001</v>
      </c>
      <c r="E67" s="332">
        <f t="array" ref="E67">SUM(IF(MONTH(NymexData!$S$12:$S$250)&amp;YEAR(NymexData!$S$12:$S$250)=MONTH(A67)&amp;YEAR(A67),NymexData!$T$12:$T$250))</f>
        <v>3.8235000000000001</v>
      </c>
      <c r="F67" s="332">
        <f t="shared" si="5"/>
        <v>-5.2000000000000046E-2</v>
      </c>
      <c r="G67" s="333">
        <f t="array" ref="G67">IF(NymexData!$AA$12="",GasPosn!E67,SUM(IF(MONTH(NymexData!$AA$12:$AA$250)&amp;YEAR(NymexData!$AA$12:$AA$250)=MONTH(A67)&amp;YEAR(A67),NymexData!$AB$12:$AB$250)))</f>
        <v>3.7715000000000001</v>
      </c>
      <c r="H67" s="85">
        <f t="shared" si="6"/>
        <v>89130.157625600084</v>
      </c>
      <c r="I67" s="88">
        <f t="shared" si="7"/>
        <v>0</v>
      </c>
      <c r="J67" s="88">
        <f t="shared" si="20"/>
        <v>89130.157625600084</v>
      </c>
      <c r="L67" s="378"/>
      <c r="O67" s="47">
        <f t="shared" si="18"/>
        <v>38869</v>
      </c>
      <c r="BD67" s="48">
        <f t="shared" si="21"/>
        <v>0</v>
      </c>
      <c r="BE67" s="334">
        <f t="shared" si="22"/>
        <v>0</v>
      </c>
      <c r="BG67" s="51">
        <f t="shared" si="23"/>
        <v>38869</v>
      </c>
      <c r="BH67" s="335">
        <f t="shared" si="24"/>
        <v>0</v>
      </c>
      <c r="BI67" s="52">
        <f>VLOOKUP(GasPosn!A67,'Pricing Summary'!$AB$12:$AD$250,3)</f>
        <v>30</v>
      </c>
      <c r="BJ67" s="50">
        <f>VLOOKUP(A67,Interest!$AF$8:$AK$367,6)</f>
        <v>0.81285253518446399</v>
      </c>
      <c r="BL67">
        <f>J67*VLOOKUP(A67,NymexData!$J$12:$K$244,2)</f>
        <v>140376.35086345044</v>
      </c>
      <c r="BO67">
        <f>Interest!AK63</f>
        <v>0.81285253518446399</v>
      </c>
      <c r="BP67">
        <f>G67*Interest!AK63</f>
        <v>3.0656733364482061</v>
      </c>
      <c r="BQ67">
        <f t="shared" si="11"/>
        <v>1</v>
      </c>
      <c r="BR67">
        <f t="shared" si="12"/>
        <v>0.81285253518446399</v>
      </c>
      <c r="BS67">
        <f t="shared" si="13"/>
        <v>3.0656733364482061</v>
      </c>
    </row>
    <row r="68" spans="1:71" ht="18" x14ac:dyDescent="0.25">
      <c r="A68" s="98">
        <f>[4]EnergyCurve!$D90</f>
        <v>38899</v>
      </c>
      <c r="B68" s="324">
        <f t="array" ref="B68">SUM(IF(MONTH(NymexData!$AI$12:$AI$250)&amp;YEAR(NymexData!$AI$12:$AI$250)=MONTH(A68)&amp;YEAR(A68),NymexData!$AJ$12:$AJ$250))</f>
        <v>-176.20213996000001</v>
      </c>
      <c r="C68" s="324">
        <f t="shared" si="3"/>
        <v>0</v>
      </c>
      <c r="D68" s="326">
        <f t="shared" si="19"/>
        <v>-176.20213996000001</v>
      </c>
      <c r="E68" s="327">
        <f t="array" ref="E68">SUM(IF(MONTH(NymexData!$S$12:$S$250)&amp;YEAR(NymexData!$S$12:$S$250)=MONTH(A68)&amp;YEAR(A68),NymexData!$T$12:$T$250))</f>
        <v>3.8685</v>
      </c>
      <c r="F68" s="327">
        <f t="shared" si="5"/>
        <v>-5.2000000000000046E-2</v>
      </c>
      <c r="G68" s="328">
        <f t="array" ref="G68">IF(NymexData!$AA$12="",GasPosn!E68,SUM(IF(MONTH(NymexData!$AA$12:$AA$250)&amp;YEAR(NymexData!$AA$12:$AA$250)=MONTH(A68)&amp;YEAR(A68),NymexData!$AB$12:$AB$250)))</f>
        <v>3.8165</v>
      </c>
      <c r="H68" s="99">
        <f t="shared" si="6"/>
        <v>91625.112779200092</v>
      </c>
      <c r="I68" s="92">
        <f t="shared" si="7"/>
        <v>0</v>
      </c>
      <c r="J68" s="92">
        <f t="shared" si="20"/>
        <v>91625.112779200092</v>
      </c>
      <c r="L68" s="378"/>
      <c r="O68" s="47">
        <f t="shared" si="18"/>
        <v>38899</v>
      </c>
      <c r="BD68" s="48">
        <f t="shared" si="21"/>
        <v>0</v>
      </c>
      <c r="BE68" s="334">
        <f t="shared" si="22"/>
        <v>0</v>
      </c>
      <c r="BG68" s="51">
        <f t="shared" si="23"/>
        <v>38899</v>
      </c>
      <c r="BH68" s="335">
        <f t="shared" si="24"/>
        <v>0</v>
      </c>
      <c r="BI68" s="52">
        <f>VLOOKUP(GasPosn!A68,'Pricing Summary'!$AB$12:$AD$250,3)</f>
        <v>31</v>
      </c>
      <c r="BJ68" s="50">
        <f>VLOOKUP(A68,Interest!$AF$8:$AK$367,6)</f>
        <v>0.80885608836446599</v>
      </c>
      <c r="BL68">
        <f>J68*VLOOKUP(A68,NymexData!$J$12:$K$244,2)</f>
        <v>144355.51526392438</v>
      </c>
      <c r="BO68">
        <f>Interest!AK64</f>
        <v>0.80885608836446599</v>
      </c>
      <c r="BP68">
        <f>G68*Interest!AK64</f>
        <v>3.0869992612429846</v>
      </c>
      <c r="BQ68">
        <f t="shared" si="11"/>
        <v>1</v>
      </c>
      <c r="BR68">
        <f t="shared" si="12"/>
        <v>0.80885608836446599</v>
      </c>
      <c r="BS68">
        <f t="shared" si="13"/>
        <v>3.0869992612429846</v>
      </c>
    </row>
    <row r="69" spans="1:71" ht="18" x14ac:dyDescent="0.25">
      <c r="A69" s="100">
        <f>[4]EnergyCurve!$D91</f>
        <v>38930</v>
      </c>
      <c r="B69" s="329">
        <f t="array" ref="B69">SUM(IF(MONTH(NymexData!$AI$12:$AI$250)&amp;YEAR(NymexData!$AI$12:$AI$250)=MONTH(A69)&amp;YEAR(A69),NymexData!$AJ$12:$AJ$250))</f>
        <v>-175.25110414</v>
      </c>
      <c r="C69" s="330">
        <f t="shared" si="3"/>
        <v>0</v>
      </c>
      <c r="D69" s="331">
        <f t="shared" si="19"/>
        <v>-175.25110414</v>
      </c>
      <c r="E69" s="332">
        <f t="array" ref="E69">SUM(IF(MONTH(NymexData!$S$12:$S$250)&amp;YEAR(NymexData!$S$12:$S$250)=MONTH(A69)&amp;YEAR(A69),NymexData!$T$12:$T$250))</f>
        <v>3.9065000000000003</v>
      </c>
      <c r="F69" s="332">
        <f t="shared" si="5"/>
        <v>-5.2000000000000046E-2</v>
      </c>
      <c r="G69" s="333">
        <f t="array" ref="G69">IF(NymexData!$AA$12="",GasPosn!E69,SUM(IF(MONTH(NymexData!$AA$12:$AA$250)&amp;YEAR(NymexData!$AA$12:$AA$250)=MONTH(A69)&amp;YEAR(A69),NymexData!$AB$12:$AB$250)))</f>
        <v>3.8545000000000003</v>
      </c>
      <c r="H69" s="85">
        <f t="shared" si="6"/>
        <v>91130.57415280008</v>
      </c>
      <c r="I69" s="88">
        <f t="shared" si="7"/>
        <v>0</v>
      </c>
      <c r="J69" s="88">
        <f t="shared" si="20"/>
        <v>91130.57415280008</v>
      </c>
      <c r="L69" s="378"/>
      <c r="O69" s="47">
        <f t="shared" si="18"/>
        <v>38930</v>
      </c>
      <c r="BD69" s="48">
        <f t="shared" si="21"/>
        <v>0</v>
      </c>
      <c r="BE69" s="334">
        <f t="shared" si="22"/>
        <v>0</v>
      </c>
      <c r="BG69" s="51">
        <f t="shared" si="23"/>
        <v>38930</v>
      </c>
      <c r="BH69" s="335">
        <f t="shared" si="24"/>
        <v>0</v>
      </c>
      <c r="BI69" s="52">
        <f>VLOOKUP(GasPosn!A69,'Pricing Summary'!$AB$12:$AD$250,3)</f>
        <v>31</v>
      </c>
      <c r="BJ69" s="50">
        <f>VLOOKUP(A69,Interest!$AF$8:$AK$367,6)</f>
        <v>0.80481339087351089</v>
      </c>
      <c r="BL69">
        <f>J69*VLOOKUP(A69,NymexData!$J$12:$K$244,2)</f>
        <v>143629.16965333303</v>
      </c>
      <c r="BO69">
        <f>Interest!AK65</f>
        <v>0.80481339087351089</v>
      </c>
      <c r="BP69">
        <f>G69*Interest!AK65</f>
        <v>3.1021532151219477</v>
      </c>
      <c r="BQ69">
        <f t="shared" si="11"/>
        <v>1</v>
      </c>
      <c r="BR69">
        <f t="shared" si="12"/>
        <v>0.80481339087351089</v>
      </c>
      <c r="BS69">
        <f t="shared" si="13"/>
        <v>3.1021532151219477</v>
      </c>
    </row>
    <row r="70" spans="1:71" ht="18" x14ac:dyDescent="0.25">
      <c r="A70" s="98">
        <f>[4]EnergyCurve!$D92</f>
        <v>38961</v>
      </c>
      <c r="B70" s="324">
        <f t="array" ref="B70">SUM(IF(MONTH(NymexData!$AI$12:$AI$250)&amp;YEAR(NymexData!$AI$12:$AI$250)=MONTH(A70)&amp;YEAR(A70),NymexData!$AJ$12:$AJ$250))</f>
        <v>-168.67266359999999</v>
      </c>
      <c r="C70" s="324">
        <f t="shared" si="3"/>
        <v>0</v>
      </c>
      <c r="D70" s="326">
        <f t="shared" si="19"/>
        <v>-168.67266359999999</v>
      </c>
      <c r="E70" s="327">
        <f t="array" ref="E70">SUM(IF(MONTH(NymexData!$S$12:$S$250)&amp;YEAR(NymexData!$S$12:$S$250)=MONTH(A70)&amp;YEAR(A70),NymexData!$T$12:$T$250))</f>
        <v>3.9005000000000001</v>
      </c>
      <c r="F70" s="327">
        <f t="shared" si="5"/>
        <v>-5.2000000000000046E-2</v>
      </c>
      <c r="G70" s="328">
        <f t="array" ref="G70">IF(NymexData!$AA$12="",GasPosn!E70,SUM(IF(MONTH(NymexData!$AA$12:$AA$250)&amp;YEAR(NymexData!$AA$12:$AA$250)=MONTH(A70)&amp;YEAR(A70),NymexData!$AB$12:$AB$250)))</f>
        <v>3.8485</v>
      </c>
      <c r="H70" s="99">
        <f t="shared" si="6"/>
        <v>87709.785072000072</v>
      </c>
      <c r="I70" s="92">
        <f t="shared" si="7"/>
        <v>0</v>
      </c>
      <c r="J70" s="92">
        <f t="shared" si="20"/>
        <v>87709.785072000072</v>
      </c>
      <c r="L70" s="378"/>
      <c r="O70" s="47">
        <f t="shared" si="18"/>
        <v>38961</v>
      </c>
      <c r="BD70" s="48">
        <f t="shared" si="21"/>
        <v>0</v>
      </c>
      <c r="BE70" s="334">
        <f t="shared" si="22"/>
        <v>0</v>
      </c>
      <c r="BG70" s="51">
        <f t="shared" si="23"/>
        <v>38961</v>
      </c>
      <c r="BH70" s="335">
        <f t="shared" si="24"/>
        <v>0</v>
      </c>
      <c r="BI70" s="52">
        <f>VLOOKUP(GasPosn!A70,'Pricing Summary'!$AB$12:$AD$250,3)</f>
        <v>30</v>
      </c>
      <c r="BJ70" s="50">
        <f>VLOOKUP(A70,Interest!$AF$8:$AK$367,6)</f>
        <v>0.80085477947823691</v>
      </c>
      <c r="BL70">
        <f>J70*VLOOKUP(A70,NymexData!$J$12:$K$244,2)</f>
        <v>138290.22039413135</v>
      </c>
      <c r="BO70">
        <f>Interest!AK66</f>
        <v>0.80085477947823691</v>
      </c>
      <c r="BP70">
        <f>G70*Interest!AK66</f>
        <v>3.0820896188219948</v>
      </c>
      <c r="BQ70">
        <f t="shared" si="11"/>
        <v>1</v>
      </c>
      <c r="BR70">
        <f t="shared" si="12"/>
        <v>0.80085477947823691</v>
      </c>
      <c r="BS70">
        <f t="shared" si="13"/>
        <v>3.0820896188219948</v>
      </c>
    </row>
    <row r="71" spans="1:71" ht="18" x14ac:dyDescent="0.25">
      <c r="A71" s="100">
        <f>[4]EnergyCurve!$D93</f>
        <v>38991</v>
      </c>
      <c r="B71" s="329">
        <f t="array" ref="B71">SUM(IF(MONTH(NymexData!$AI$12:$AI$250)&amp;YEAR(NymexData!$AI$12:$AI$250)=MONTH(A71)&amp;YEAR(A71),NymexData!$AJ$12:$AJ$250))</f>
        <v>-173.36529490000001</v>
      </c>
      <c r="C71" s="330">
        <f t="shared" si="3"/>
        <v>0</v>
      </c>
      <c r="D71" s="331">
        <f t="shared" si="19"/>
        <v>-173.36529490000001</v>
      </c>
      <c r="E71" s="332">
        <f t="array" ref="E71">SUM(IF(MONTH(NymexData!$S$12:$S$250)&amp;YEAR(NymexData!$S$12:$S$250)=MONTH(A71)&amp;YEAR(A71),NymexData!$T$12:$T$250))</f>
        <v>3.9005000000000001</v>
      </c>
      <c r="F71" s="332">
        <f t="shared" si="5"/>
        <v>-5.2000000000000046E-2</v>
      </c>
      <c r="G71" s="333">
        <f t="array" ref="G71">IF(NymexData!$AA$12="",GasPosn!E71,SUM(IF(MONTH(NymexData!$AA$12:$AA$250)&amp;YEAR(NymexData!$AA$12:$AA$250)=MONTH(A71)&amp;YEAR(A71),NymexData!$AB$12:$AB$250)))</f>
        <v>3.8485</v>
      </c>
      <c r="H71" s="85">
        <f t="shared" si="6"/>
        <v>90149.953348000083</v>
      </c>
      <c r="I71" s="88">
        <f t="shared" si="7"/>
        <v>0</v>
      </c>
      <c r="J71" s="88">
        <f t="shared" si="20"/>
        <v>90149.953348000083</v>
      </c>
      <c r="L71" s="378"/>
      <c r="O71" s="47">
        <f t="shared" si="18"/>
        <v>38991</v>
      </c>
      <c r="BD71" s="48">
        <f t="shared" si="21"/>
        <v>0</v>
      </c>
      <c r="BE71" s="334">
        <f t="shared" si="22"/>
        <v>0</v>
      </c>
      <c r="BG71" s="51">
        <f t="shared" si="23"/>
        <v>38991</v>
      </c>
      <c r="BH71" s="335">
        <f t="shared" si="24"/>
        <v>0</v>
      </c>
      <c r="BI71" s="52">
        <f>VLOOKUP(GasPosn!A71,'Pricing Summary'!$AB$12:$AD$250,3)</f>
        <v>31</v>
      </c>
      <c r="BJ71" s="50">
        <f>VLOOKUP(A71,Interest!$AF$8:$AK$367,6)</f>
        <v>0.79681680590159942</v>
      </c>
      <c r="BL71">
        <f>J71*VLOOKUP(A71,NymexData!$J$12:$K$244,2)</f>
        <v>142191.4332677325</v>
      </c>
      <c r="BO71">
        <f>Interest!AK67</f>
        <v>0.79681680590159942</v>
      </c>
      <c r="BP71">
        <f>G71*Interest!AK67</f>
        <v>3.0665494775123054</v>
      </c>
      <c r="BQ71">
        <f t="shared" si="11"/>
        <v>1</v>
      </c>
      <c r="BR71">
        <f t="shared" si="12"/>
        <v>0.79681680590159942</v>
      </c>
      <c r="BS71">
        <f t="shared" si="13"/>
        <v>3.0665494775123054</v>
      </c>
    </row>
    <row r="72" spans="1:71" ht="18" x14ac:dyDescent="0.25">
      <c r="A72" s="98">
        <f>[4]EnergyCurve!$D94</f>
        <v>39022</v>
      </c>
      <c r="B72" s="324">
        <f t="array" ref="B72">SUM(IF(MONTH(NymexData!$AI$12:$AI$250)&amp;YEAR(NymexData!$AI$12:$AI$250)=MONTH(A72)&amp;YEAR(A72),NymexData!$AJ$12:$AJ$250))</f>
        <v>-166.87365366</v>
      </c>
      <c r="C72" s="324">
        <f t="shared" si="3"/>
        <v>0</v>
      </c>
      <c r="D72" s="326">
        <f t="shared" si="19"/>
        <v>-166.87365366</v>
      </c>
      <c r="E72" s="327">
        <f t="array" ref="E72">SUM(IF(MONTH(NymexData!$S$12:$S$250)&amp;YEAR(NymexData!$S$12:$S$250)=MONTH(A72)&amp;YEAR(A72),NymexData!$T$12:$T$250))</f>
        <v>4.0484999999999998</v>
      </c>
      <c r="F72" s="327">
        <f t="shared" si="5"/>
        <v>-5.0999999999999712E-2</v>
      </c>
      <c r="G72" s="328">
        <f t="array" ref="G72">IF(NymexData!$AA$12="",GasPosn!E72,SUM(IF(MONTH(NymexData!$AA$12:$AA$250)&amp;YEAR(NymexData!$AA$12:$AA$250)=MONTH(A72)&amp;YEAR(A72),NymexData!$AB$12:$AB$250)))</f>
        <v>3.9975000000000001</v>
      </c>
      <c r="H72" s="99">
        <f t="shared" si="6"/>
        <v>85105.563366599526</v>
      </c>
      <c r="I72" s="92">
        <f t="shared" si="7"/>
        <v>0</v>
      </c>
      <c r="J72" s="92">
        <f t="shared" si="20"/>
        <v>85105.563366599526</v>
      </c>
      <c r="L72" s="378"/>
      <c r="O72" s="47">
        <f t="shared" si="18"/>
        <v>39022</v>
      </c>
      <c r="BD72" s="48">
        <f t="shared" si="21"/>
        <v>0</v>
      </c>
      <c r="BE72" s="334">
        <f t="shared" si="22"/>
        <v>0</v>
      </c>
      <c r="BG72" s="51">
        <f t="shared" si="23"/>
        <v>39022</v>
      </c>
      <c r="BH72" s="335">
        <f t="shared" si="24"/>
        <v>0</v>
      </c>
      <c r="BI72" s="52">
        <f>VLOOKUP(GasPosn!A72,'Pricing Summary'!$AB$12:$AD$250,3)</f>
        <v>30</v>
      </c>
      <c r="BJ72" s="50">
        <f>VLOOKUP(A72,Interest!$AF$8:$AK$367,6)</f>
        <v>0.79288469694292008</v>
      </c>
      <c r="BL72">
        <f>J72*VLOOKUP(A72,NymexData!$J$12:$K$244,2)</f>
        <v>134267.08134518153</v>
      </c>
      <c r="BO72">
        <f>Interest!AK68</f>
        <v>0.79288469694292008</v>
      </c>
      <c r="BP72">
        <f>G72*Interest!AK68</f>
        <v>3.1695565760293229</v>
      </c>
      <c r="BQ72">
        <f t="shared" si="11"/>
        <v>1</v>
      </c>
      <c r="BR72">
        <f t="shared" si="12"/>
        <v>0.79288469694292008</v>
      </c>
      <c r="BS72">
        <f t="shared" si="13"/>
        <v>3.1695565760293229</v>
      </c>
    </row>
    <row r="73" spans="1:71" ht="18" x14ac:dyDescent="0.25">
      <c r="A73" s="100">
        <f>[4]EnergyCurve!$D95</f>
        <v>39052</v>
      </c>
      <c r="B73" s="329">
        <f t="array" ref="B73">SUM(IF(MONTH(NymexData!$AI$12:$AI$250)&amp;YEAR(NymexData!$AI$12:$AI$250)=MONTH(A73)&amp;YEAR(A73),NymexData!$AJ$12:$AJ$250))</f>
        <v>-171.63525007999999</v>
      </c>
      <c r="C73" s="330">
        <f t="shared" si="3"/>
        <v>0</v>
      </c>
      <c r="D73" s="331">
        <f t="shared" si="19"/>
        <v>-171.63525007999999</v>
      </c>
      <c r="E73" s="332">
        <f t="array" ref="E73">SUM(IF(MONTH(NymexData!$S$12:$S$250)&amp;YEAR(NymexData!$S$12:$S$250)=MONTH(A73)&amp;YEAR(A73),NymexData!$T$12:$T$250))</f>
        <v>4.2004999999999999</v>
      </c>
      <c r="F73" s="332">
        <f t="shared" si="5"/>
        <v>-5.0999999999999268E-2</v>
      </c>
      <c r="G73" s="333">
        <f t="array" ref="G73">IF(NymexData!$AA$12="",GasPosn!E73,SUM(IF(MONTH(NymexData!$AA$12:$AA$250)&amp;YEAR(NymexData!$AA$12:$AA$250)=MONTH(A73)&amp;YEAR(A73),NymexData!$AB$12:$AB$250)))</f>
        <v>4.1495000000000006</v>
      </c>
      <c r="H73" s="85">
        <f t="shared" si="6"/>
        <v>87533.977540798733</v>
      </c>
      <c r="I73" s="88">
        <f t="shared" si="7"/>
        <v>0</v>
      </c>
      <c r="J73" s="88">
        <f t="shared" si="20"/>
        <v>87533.977540798733</v>
      </c>
      <c r="L73" s="378"/>
      <c r="O73" s="47">
        <f t="shared" si="18"/>
        <v>39052</v>
      </c>
      <c r="BD73" s="48">
        <f t="shared" si="21"/>
        <v>0</v>
      </c>
      <c r="BE73" s="334">
        <f t="shared" si="22"/>
        <v>0</v>
      </c>
      <c r="BG73" s="51">
        <f t="shared" si="23"/>
        <v>39052</v>
      </c>
      <c r="BH73" s="335">
        <f t="shared" si="24"/>
        <v>0</v>
      </c>
      <c r="BI73" s="52">
        <f>VLOOKUP(GasPosn!A73,'Pricing Summary'!$AB$12:$AD$250,3)</f>
        <v>31</v>
      </c>
      <c r="BJ73" s="50">
        <f>VLOOKUP(A73,Interest!$AF$8:$AK$367,6)</f>
        <v>0.78909218281962379</v>
      </c>
      <c r="BL73">
        <f>J73*VLOOKUP(A73,NymexData!$J$12:$K$244,2)</f>
        <v>138098.05296464617</v>
      </c>
      <c r="BO73">
        <f>Interest!AK69</f>
        <v>0.78909218281962379</v>
      </c>
      <c r="BP73">
        <f>G73*Interest!AK69</f>
        <v>3.2743380126100292</v>
      </c>
      <c r="BQ73">
        <f t="shared" si="11"/>
        <v>1</v>
      </c>
      <c r="BR73">
        <f t="shared" si="12"/>
        <v>0.78909218281962379</v>
      </c>
      <c r="BS73">
        <f t="shared" si="13"/>
        <v>3.2743380126100292</v>
      </c>
    </row>
    <row r="74" spans="1:71" ht="18" x14ac:dyDescent="0.25">
      <c r="A74" s="98">
        <f>[4]EnergyCurve!$D96</f>
        <v>39083</v>
      </c>
      <c r="B74" s="324">
        <f t="array" ref="B74">SUM(IF(MONTH(NymexData!$AI$12:$AI$250)&amp;YEAR(NymexData!$AI$12:$AI$250)=MONTH(A74)&amp;YEAR(A74),NymexData!$AJ$12:$AJ$250))</f>
        <v>-170.80644784</v>
      </c>
      <c r="C74" s="324">
        <f t="shared" si="3"/>
        <v>0</v>
      </c>
      <c r="D74" s="326">
        <f t="shared" si="19"/>
        <v>-170.80644784</v>
      </c>
      <c r="E74" s="327">
        <f t="array" ref="E74">SUM(IF(MONTH(NymexData!$S$12:$S$250)&amp;YEAR(NymexData!$S$12:$S$250)=MONTH(A74)&amp;YEAR(A74),NymexData!$T$12:$T$250))</f>
        <v>4.2605000000000004</v>
      </c>
      <c r="F74" s="327">
        <f t="shared" si="5"/>
        <v>-4.6000000000000263E-2</v>
      </c>
      <c r="G74" s="328">
        <f t="array" ref="G74">IF(NymexData!$AA$12="",GasPosn!E74,SUM(IF(MONTH(NymexData!$AA$12:$AA$250)&amp;YEAR(NymexData!$AA$12:$AA$250)=MONTH(A74)&amp;YEAR(A74),NymexData!$AB$12:$AB$250)))</f>
        <v>4.2145000000000001</v>
      </c>
      <c r="H74" s="99">
        <f t="shared" si="6"/>
        <v>78570.966006400457</v>
      </c>
      <c r="I74" s="92">
        <f t="shared" si="7"/>
        <v>0</v>
      </c>
      <c r="J74" s="92">
        <f t="shared" si="20"/>
        <v>78570.966006400457</v>
      </c>
      <c r="L74" s="378"/>
      <c r="O74" s="47">
        <f t="shared" si="18"/>
        <v>39083</v>
      </c>
      <c r="BD74" s="48">
        <f t="shared" si="21"/>
        <v>0</v>
      </c>
      <c r="BE74" s="334">
        <f t="shared" si="22"/>
        <v>0</v>
      </c>
      <c r="BG74" s="51">
        <f t="shared" si="23"/>
        <v>39083</v>
      </c>
      <c r="BH74" s="335">
        <f t="shared" si="24"/>
        <v>0</v>
      </c>
      <c r="BI74" s="52">
        <f>VLOOKUP(GasPosn!A74,'Pricing Summary'!$AB$12:$AD$250,3)</f>
        <v>31</v>
      </c>
      <c r="BJ74" s="50">
        <f>VLOOKUP(A74,Interest!$AF$8:$AK$367,6)</f>
        <v>0.78526869645536734</v>
      </c>
      <c r="BL74">
        <f>J74*VLOOKUP(A74,NymexData!$J$12:$K$244,2)</f>
        <v>123957.13389361968</v>
      </c>
      <c r="BO74">
        <f>Interest!AK70</f>
        <v>0.78526869645536734</v>
      </c>
      <c r="BP74">
        <f>G74*Interest!AK70</f>
        <v>3.3095149212111457</v>
      </c>
      <c r="BQ74">
        <f t="shared" si="11"/>
        <v>1</v>
      </c>
      <c r="BR74">
        <f t="shared" si="12"/>
        <v>0.78526869645536734</v>
      </c>
      <c r="BS74">
        <f t="shared" si="13"/>
        <v>3.3095149212111457</v>
      </c>
    </row>
    <row r="75" spans="1:71" ht="18" x14ac:dyDescent="0.25">
      <c r="A75" s="100">
        <f>[4]EnergyCurve!$D97</f>
        <v>39114</v>
      </c>
      <c r="B75" s="329">
        <f t="array" ref="B75">SUM(IF(MONTH(NymexData!$AI$12:$AI$250)&amp;YEAR(NymexData!$AI$12:$AI$250)=MONTH(A75)&amp;YEAR(A75),NymexData!$AJ$12:$AJ$250))</f>
        <v>-153.52710156000001</v>
      </c>
      <c r="C75" s="330">
        <f t="shared" si="3"/>
        <v>0</v>
      </c>
      <c r="D75" s="331">
        <f t="shared" si="19"/>
        <v>-153.52710156000001</v>
      </c>
      <c r="E75" s="332">
        <f t="array" ref="E75">SUM(IF(MONTH(NymexData!$S$12:$S$250)&amp;YEAR(NymexData!$S$12:$S$250)=MONTH(A75)&amp;YEAR(A75),NymexData!$T$12:$T$250))</f>
        <v>4.1734999999999998</v>
      </c>
      <c r="F75" s="332">
        <f t="shared" si="5"/>
        <v>-4.6999999999999709E-2</v>
      </c>
      <c r="G75" s="333">
        <f t="array" ref="G75">IF(NymexData!$AA$12="",GasPosn!E75,SUM(IF(MONTH(NymexData!$AA$12:$AA$250)&amp;YEAR(NymexData!$AA$12:$AA$250)=MONTH(A75)&amp;YEAR(A75),NymexData!$AB$12:$AB$250)))</f>
        <v>4.1265000000000001</v>
      </c>
      <c r="H75" s="85">
        <f t="shared" si="6"/>
        <v>72157.737733199552</v>
      </c>
      <c r="I75" s="88">
        <f t="shared" si="7"/>
        <v>0</v>
      </c>
      <c r="J75" s="88">
        <f t="shared" si="20"/>
        <v>72157.737733199552</v>
      </c>
      <c r="L75" s="378"/>
      <c r="O75" s="47">
        <f t="shared" si="18"/>
        <v>39114</v>
      </c>
      <c r="BD75" s="48">
        <f t="shared" si="21"/>
        <v>0</v>
      </c>
      <c r="BE75" s="334">
        <f t="shared" si="22"/>
        <v>0</v>
      </c>
      <c r="BG75" s="51">
        <f t="shared" si="23"/>
        <v>39114</v>
      </c>
      <c r="BH75" s="335">
        <f t="shared" si="24"/>
        <v>0</v>
      </c>
      <c r="BI75" s="52">
        <f>VLOOKUP(GasPosn!A75,'Pricing Summary'!$AB$12:$AD$250,3)</f>
        <v>28</v>
      </c>
      <c r="BJ75" s="50">
        <f>VLOOKUP(A75,Interest!$AF$8:$AK$367,6)</f>
        <v>0.78173401608120174</v>
      </c>
      <c r="BL75">
        <f>J75*VLOOKUP(A75,NymexData!$J$12:$K$244,2)</f>
        <v>113838.7560125267</v>
      </c>
      <c r="BO75">
        <f>Interest!AK71</f>
        <v>0.78173401608120174</v>
      </c>
      <c r="BP75">
        <f>G75*Interest!AK71</f>
        <v>3.2258254173590792</v>
      </c>
      <c r="BQ75">
        <f t="shared" si="11"/>
        <v>1</v>
      </c>
      <c r="BR75">
        <f t="shared" si="12"/>
        <v>0.78173401608120174</v>
      </c>
      <c r="BS75">
        <f t="shared" si="13"/>
        <v>3.2258254173590792</v>
      </c>
    </row>
    <row r="76" spans="1:71" ht="18" x14ac:dyDescent="0.25">
      <c r="A76" s="98">
        <f>[4]EnergyCurve!$D98</f>
        <v>39142</v>
      </c>
      <c r="B76" s="324">
        <f t="array" ref="B76">SUM(IF(MONTH(NymexData!$AI$12:$AI$250)&amp;YEAR(NymexData!$AI$12:$AI$250)=MONTH(A76)&amp;YEAR(A76),NymexData!$AJ$12:$AJ$250))</f>
        <v>-169.22574997999999</v>
      </c>
      <c r="C76" s="324">
        <f t="shared" si="3"/>
        <v>0</v>
      </c>
      <c r="D76" s="326">
        <f t="shared" si="19"/>
        <v>-169.22574997999999</v>
      </c>
      <c r="E76" s="327">
        <f t="array" ref="E76">SUM(IF(MONTH(NymexData!$S$12:$S$250)&amp;YEAR(NymexData!$S$12:$S$250)=MONTH(A76)&amp;YEAR(A76),NymexData!$T$12:$T$250))</f>
        <v>4.0345000000000004</v>
      </c>
      <c r="F76" s="327">
        <f t="shared" si="5"/>
        <v>-4.7000000000000597E-2</v>
      </c>
      <c r="G76" s="328">
        <f t="array" ref="G76">IF(NymexData!$AA$12="",GasPosn!E76,SUM(IF(MONTH(NymexData!$AA$12:$AA$250)&amp;YEAR(NymexData!$AA$12:$AA$250)=MONTH(A76)&amp;YEAR(A76),NymexData!$AB$12:$AB$250)))</f>
        <v>3.9874999999999998</v>
      </c>
      <c r="H76" s="99">
        <f t="shared" si="6"/>
        <v>79536.102490600999</v>
      </c>
      <c r="I76" s="92">
        <f t="shared" si="7"/>
        <v>0</v>
      </c>
      <c r="J76" s="92">
        <f t="shared" si="20"/>
        <v>79536.102490600999</v>
      </c>
      <c r="L76" s="378"/>
      <c r="O76" s="47">
        <f t="shared" si="18"/>
        <v>39142</v>
      </c>
      <c r="BD76" s="48">
        <f t="shared" si="21"/>
        <v>0</v>
      </c>
      <c r="BE76" s="334">
        <f t="shared" si="22"/>
        <v>0</v>
      </c>
      <c r="BG76" s="51">
        <f t="shared" si="23"/>
        <v>39142</v>
      </c>
      <c r="BH76" s="335">
        <f t="shared" si="24"/>
        <v>0</v>
      </c>
      <c r="BI76" s="52">
        <f>VLOOKUP(GasPosn!A76,'Pricing Summary'!$AB$12:$AD$250,3)</f>
        <v>31</v>
      </c>
      <c r="BJ76" s="50">
        <f>VLOOKUP(A76,Interest!$AF$8:$AK$367,6)</f>
        <v>0.777974770387315</v>
      </c>
      <c r="BL76">
        <f>J76*VLOOKUP(A76,NymexData!$J$12:$K$244,2)</f>
        <v>125478.38267992619</v>
      </c>
      <c r="BO76">
        <f>Interest!AK72</f>
        <v>0.777974770387315</v>
      </c>
      <c r="BP76">
        <f>G76*Interest!AK72</f>
        <v>3.1021743969194184</v>
      </c>
      <c r="BQ76">
        <f t="shared" si="11"/>
        <v>1</v>
      </c>
      <c r="BR76">
        <f t="shared" si="12"/>
        <v>0.777974770387315</v>
      </c>
      <c r="BS76">
        <f t="shared" si="13"/>
        <v>3.1021743969194184</v>
      </c>
    </row>
    <row r="77" spans="1:71" ht="18" x14ac:dyDescent="0.25">
      <c r="A77" s="100">
        <f>[4]EnergyCurve!$D99</f>
        <v>39173</v>
      </c>
      <c r="B77" s="329">
        <f t="array" ref="B77">SUM(IF(MONTH(NymexData!$AI$12:$AI$250)&amp;YEAR(NymexData!$AI$12:$AI$250)=MONTH(A77)&amp;YEAR(A77),NymexData!$AJ$12:$AJ$250))</f>
        <v>-162.96153691999999</v>
      </c>
      <c r="C77" s="330">
        <f t="shared" ref="C77:C128" si="25">BD77*BJ77*BI77</f>
        <v>0</v>
      </c>
      <c r="D77" s="331">
        <f t="shared" si="19"/>
        <v>-162.96153691999999</v>
      </c>
      <c r="E77" s="332">
        <f t="array" ref="E77">SUM(IF(MONTH(NymexData!$S$12:$S$250)&amp;YEAR(NymexData!$S$12:$S$250)=MONTH(A77)&amp;YEAR(A77),NymexData!$T$12:$T$250))</f>
        <v>3.8805000000000001</v>
      </c>
      <c r="F77" s="332">
        <f t="shared" si="5"/>
        <v>-4.6999999999999709E-2</v>
      </c>
      <c r="G77" s="333">
        <f t="array" ref="G77">IF(NymexData!$AA$12="",GasPosn!E77,SUM(IF(MONTH(NymexData!$AA$12:$AA$250)&amp;YEAR(NymexData!$AA$12:$AA$250)=MONTH(A77)&amp;YEAR(A77),NymexData!$AB$12:$AB$250)))</f>
        <v>3.8335000000000004</v>
      </c>
      <c r="H77" s="85">
        <f t="shared" ref="H77:H128" si="26">B77*10000*F77</f>
        <v>76591.922352399517</v>
      </c>
      <c r="I77" s="88">
        <f t="shared" ref="I77:I128" si="27">(((G77-Q77)*P77+(G77-S77)*R77+(G77-U77)*T77+(G77-W77)*V77+(G77-Y77)*X77+(G77-AA77)*Z77+(G77-AC77)*AB77+(G77-AE77)*AD77+(G77-AG77)*AF77+(G77-AI77)*AH77+(G77-AK77)*AJ77+(G77-AM77)*AL77+(G77-AO77)*AN77+(G77-AQ77)*AP77+(G77-AS77)*AR77+(G77-AU77)*AT77+(G77-AW77)*AV77+(G77-AY77)*AX77+(G77-BA77)*AZ77+(G77-BC77)*BB77)*BJ77*BI77)*10000</f>
        <v>0</v>
      </c>
      <c r="J77" s="88">
        <f t="shared" si="20"/>
        <v>76591.922352399517</v>
      </c>
      <c r="L77" s="378"/>
      <c r="O77" s="47">
        <f t="shared" si="18"/>
        <v>39173</v>
      </c>
      <c r="BD77" s="48">
        <f t="shared" si="21"/>
        <v>0</v>
      </c>
      <c r="BE77" s="334">
        <f t="shared" si="22"/>
        <v>0</v>
      </c>
      <c r="BG77" s="51">
        <f t="shared" si="23"/>
        <v>39173</v>
      </c>
      <c r="BH77" s="335">
        <f t="shared" si="24"/>
        <v>0</v>
      </c>
      <c r="BI77" s="52">
        <f>VLOOKUP(GasPosn!A77,'Pricing Summary'!$AB$12:$AD$250,3)</f>
        <v>30</v>
      </c>
      <c r="BJ77" s="50">
        <f>VLOOKUP(A77,Interest!$AF$8:$AK$367,6)</f>
        <v>0.77423214013431108</v>
      </c>
      <c r="BL77">
        <f>J77*VLOOKUP(A77,NymexData!$J$12:$K$244,2)</f>
        <v>120832.55654247264</v>
      </c>
      <c r="BO77">
        <f>Interest!AK73</f>
        <v>0.77423214013431108</v>
      </c>
      <c r="BP77">
        <f>G77*Interest!AK73</f>
        <v>2.9680189092048819</v>
      </c>
      <c r="BQ77">
        <f t="shared" ref="BQ77:BQ140" si="28">IF(AND(A77&gt;=$B$3,A77&lt;=$B$4),1,0)</f>
        <v>1</v>
      </c>
      <c r="BR77">
        <f t="shared" ref="BR77:BR140" si="29">BO77*BQ77</f>
        <v>0.77423214013431108</v>
      </c>
      <c r="BS77">
        <f t="shared" ref="BS77:BS140" si="30">BP77*BQ77</f>
        <v>2.9680189092048819</v>
      </c>
    </row>
    <row r="78" spans="1:71" ht="18" x14ac:dyDescent="0.25">
      <c r="A78" s="98">
        <f>[4]EnergyCurve!$D100</f>
        <v>39203</v>
      </c>
      <c r="B78" s="324">
        <f t="array" ref="B78">SUM(IF(MONTH(NymexData!$AI$12:$AI$250)&amp;YEAR(NymexData!$AI$12:$AI$250)=MONTH(A78)&amp;YEAR(A78),NymexData!$AJ$12:$AJ$250))</f>
        <v>-167.58727397999999</v>
      </c>
      <c r="C78" s="325">
        <f t="shared" si="25"/>
        <v>0</v>
      </c>
      <c r="D78" s="326">
        <f t="shared" si="19"/>
        <v>-167.58727397999999</v>
      </c>
      <c r="E78" s="327">
        <f t="array" ref="E78">SUM(IF(MONTH(NymexData!$S$12:$S$250)&amp;YEAR(NymexData!$S$12:$S$250)=MONTH(A78)&amp;YEAR(A78),NymexData!$T$12:$T$250))</f>
        <v>3.8855000000000004</v>
      </c>
      <c r="F78" s="327">
        <f t="shared" si="5"/>
        <v>-4.7000000000000153E-2</v>
      </c>
      <c r="G78" s="328">
        <f t="array" ref="G78">IF(NymexData!$AA$12="",GasPosn!E78,SUM(IF(MONTH(NymexData!$AA$12:$AA$250)&amp;YEAR(NymexData!$AA$12:$AA$250)=MONTH(A78)&amp;YEAR(A78),NymexData!$AB$12:$AB$250)))</f>
        <v>3.8385000000000002</v>
      </c>
      <c r="H78" s="99">
        <f t="shared" si="26"/>
        <v>78766.018770600247</v>
      </c>
      <c r="I78" s="92">
        <f t="shared" si="27"/>
        <v>0</v>
      </c>
      <c r="J78" s="92">
        <f t="shared" si="20"/>
        <v>78766.018770600247</v>
      </c>
      <c r="L78" s="378"/>
      <c r="O78" s="47">
        <f t="shared" si="18"/>
        <v>39203</v>
      </c>
      <c r="BD78" s="48">
        <f t="shared" si="21"/>
        <v>0</v>
      </c>
      <c r="BE78" s="334">
        <f t="shared" si="22"/>
        <v>0</v>
      </c>
      <c r="BG78" s="51">
        <f t="shared" si="23"/>
        <v>39203</v>
      </c>
      <c r="BH78" s="335">
        <f t="shared" si="24"/>
        <v>0</v>
      </c>
      <c r="BI78" s="52">
        <f>VLOOKUP(GasPosn!A78,'Pricing Summary'!$AB$12:$AD$250,3)</f>
        <v>31</v>
      </c>
      <c r="BJ78" s="50">
        <f>VLOOKUP(A78,Interest!$AF$8:$AK$367,6)</f>
        <v>0.77041190341346999</v>
      </c>
      <c r="BL78">
        <f>J78*VLOOKUP(A78,NymexData!$J$12:$K$244,2)</f>
        <v>124261.24115404008</v>
      </c>
      <c r="BO78">
        <f>Interest!AK74</f>
        <v>0.77041190341346999</v>
      </c>
      <c r="BP78">
        <f>G78*Interest!AK74</f>
        <v>2.9572260912526049</v>
      </c>
      <c r="BQ78">
        <f t="shared" si="28"/>
        <v>1</v>
      </c>
      <c r="BR78">
        <f t="shared" si="29"/>
        <v>0.77041190341346999</v>
      </c>
      <c r="BS78">
        <f t="shared" si="30"/>
        <v>2.9572260912526049</v>
      </c>
    </row>
    <row r="79" spans="1:71" ht="18" x14ac:dyDescent="0.25">
      <c r="A79" s="100">
        <f>[4]EnergyCurve!$D101</f>
        <v>39234</v>
      </c>
      <c r="B79" s="329">
        <f t="array" ref="B79">SUM(IF(MONTH(NymexData!$AI$12:$AI$250)&amp;YEAR(NymexData!$AI$12:$AI$250)=MONTH(A79)&amp;YEAR(A79),NymexData!$AJ$12:$AJ$250))</f>
        <v>-161.37397612000001</v>
      </c>
      <c r="C79" s="330">
        <f t="shared" si="25"/>
        <v>0</v>
      </c>
      <c r="D79" s="331">
        <f t="shared" si="19"/>
        <v>-161.37397612000001</v>
      </c>
      <c r="E79" s="332">
        <f t="array" ref="E79">SUM(IF(MONTH(NymexData!$S$12:$S$250)&amp;YEAR(NymexData!$S$12:$S$250)=MONTH(A79)&amp;YEAR(A79),NymexData!$T$12:$T$250))</f>
        <v>3.9235000000000002</v>
      </c>
      <c r="F79" s="332">
        <f t="shared" si="5"/>
        <v>-4.7000000000000153E-2</v>
      </c>
      <c r="G79" s="333">
        <f t="array" ref="G79">IF(NymexData!$AA$12="",GasPosn!E79,SUM(IF(MONTH(NymexData!$AA$12:$AA$250)&amp;YEAR(NymexData!$AA$12:$AA$250)=MONTH(A79)&amp;YEAR(A79),NymexData!$AB$12:$AB$250)))</f>
        <v>3.8765000000000001</v>
      </c>
      <c r="H79" s="85">
        <f t="shared" si="26"/>
        <v>75845.768776400248</v>
      </c>
      <c r="I79" s="88">
        <f t="shared" si="27"/>
        <v>0</v>
      </c>
      <c r="J79" s="88">
        <f t="shared" si="20"/>
        <v>75845.768776400248</v>
      </c>
      <c r="L79" s="378"/>
      <c r="O79" s="47">
        <f t="shared" si="18"/>
        <v>39234</v>
      </c>
      <c r="BD79" s="48">
        <f t="shared" si="21"/>
        <v>0</v>
      </c>
      <c r="BE79" s="334">
        <f t="shared" si="22"/>
        <v>0</v>
      </c>
      <c r="BG79" s="51">
        <f t="shared" si="23"/>
        <v>39234</v>
      </c>
      <c r="BH79" s="335">
        <f t="shared" si="24"/>
        <v>0</v>
      </c>
      <c r="BI79" s="52">
        <f>VLOOKUP(GasPosn!A79,'Pricing Summary'!$AB$12:$AD$250,3)</f>
        <v>30</v>
      </c>
      <c r="BJ79" s="50">
        <f>VLOOKUP(A79,Interest!$AF$8:$AK$367,6)</f>
        <v>0.76665866791014758</v>
      </c>
      <c r="BL79">
        <f>J79*VLOOKUP(A79,NymexData!$J$12:$K$244,2)</f>
        <v>119652.85870936411</v>
      </c>
      <c r="BO79">
        <f>Interest!AK75</f>
        <v>0.76665866791014758</v>
      </c>
      <c r="BP79">
        <f>G79*Interest!AK75</f>
        <v>2.9719523261536871</v>
      </c>
      <c r="BQ79">
        <f t="shared" si="28"/>
        <v>1</v>
      </c>
      <c r="BR79">
        <f t="shared" si="29"/>
        <v>0.76665866791014758</v>
      </c>
      <c r="BS79">
        <f t="shared" si="30"/>
        <v>2.9719523261536871</v>
      </c>
    </row>
    <row r="80" spans="1:71" ht="18" x14ac:dyDescent="0.25">
      <c r="A80" s="98">
        <f>[4]EnergyCurve!$D102</f>
        <v>39264</v>
      </c>
      <c r="B80" s="324">
        <f t="array" ref="B80">SUM(IF(MONTH(NymexData!$AI$12:$AI$250)&amp;YEAR(NymexData!$AI$12:$AI$250)=MONTH(A80)&amp;YEAR(A80),NymexData!$AJ$12:$AJ$250))</f>
        <v>-165.94496197999999</v>
      </c>
      <c r="C80" s="324">
        <f t="shared" si="25"/>
        <v>0</v>
      </c>
      <c r="D80" s="326">
        <f t="shared" si="19"/>
        <v>-165.94496197999999</v>
      </c>
      <c r="E80" s="327">
        <f t="array" ref="E80">SUM(IF(MONTH(NymexData!$S$12:$S$250)&amp;YEAR(NymexData!$S$12:$S$250)=MONTH(A80)&amp;YEAR(A80),NymexData!$T$12:$T$250))</f>
        <v>3.9685000000000001</v>
      </c>
      <c r="F80" s="327">
        <f t="shared" si="5"/>
        <v>-4.7000000000000153E-2</v>
      </c>
      <c r="G80" s="328">
        <f t="array" ref="G80">IF(NymexData!$AA$12="",GasPosn!E80,SUM(IF(MONTH(NymexData!$AA$12:$AA$250)&amp;YEAR(NymexData!$AA$12:$AA$250)=MONTH(A80)&amp;YEAR(A80),NymexData!$AB$12:$AB$250)))</f>
        <v>3.9215</v>
      </c>
      <c r="H80" s="99">
        <f t="shared" si="26"/>
        <v>77994.13213060025</v>
      </c>
      <c r="I80" s="92">
        <f t="shared" si="27"/>
        <v>0</v>
      </c>
      <c r="J80" s="92">
        <f t="shared" si="20"/>
        <v>77994.13213060025</v>
      </c>
      <c r="L80" s="378"/>
      <c r="O80" s="47">
        <f t="shared" si="18"/>
        <v>39264</v>
      </c>
      <c r="BD80" s="48">
        <f>(P80+R80+T80+V80+X80+Z80+AB80+AD80+AF80+AH80+AJ80+AL80+AN80+AP80+AR80+AT80+AV80+AX80+AZ80+BB80)</f>
        <v>0</v>
      </c>
      <c r="BE80" s="334">
        <f>IF(AND(BD80=0,BH80=0),0,(ABS(P80)*Q80+ABS(R80)*S80+ABS(T80)*U80+ABS(V80)*W80+ABS(X80)*Y80+ABS(Z80)*AA80+ABS(AB80)*AC80+ABS(AD80)*AE80+ABS(AF80)*AG80+ABS(AH80)*AI80+ABS(AJ80)*AK80+ABS(AL80)*AM80+ABS(AN80)*AO80+ABS(AP80)*AQ80+ABS(AR80)*AS80+ABS(AT80)*AU80+ABS(AV80)*AW80+ABS(AX80)*AY80+ABS(AZ80)*BA80+ABS(BB80)*BC80)/BH80)</f>
        <v>0</v>
      </c>
      <c r="BG80" s="51">
        <f t="shared" si="23"/>
        <v>39264</v>
      </c>
      <c r="BH80" s="335">
        <f t="shared" si="24"/>
        <v>0</v>
      </c>
      <c r="BI80" s="52">
        <f>VLOOKUP(GasPosn!A80,'Pricing Summary'!$AB$12:$AD$250,3)</f>
        <v>31</v>
      </c>
      <c r="BJ80" s="50">
        <f>VLOOKUP(A80,Interest!$AF$8:$AK$367,6)</f>
        <v>0.76282904862850043</v>
      </c>
      <c r="BL80">
        <f>J80*VLOOKUP(A80,NymexData!$J$12:$K$244,2)</f>
        <v>123040.48607843443</v>
      </c>
      <c r="BO80">
        <f>Interest!AK76</f>
        <v>0.76282904862850043</v>
      </c>
      <c r="BP80">
        <f>G80*Interest!AK76</f>
        <v>2.9914341141966645</v>
      </c>
      <c r="BQ80">
        <f t="shared" si="28"/>
        <v>1</v>
      </c>
      <c r="BR80">
        <f t="shared" si="29"/>
        <v>0.76282904862850043</v>
      </c>
      <c r="BS80">
        <f t="shared" si="30"/>
        <v>2.9914341141966645</v>
      </c>
    </row>
    <row r="81" spans="1:71" ht="18" x14ac:dyDescent="0.25">
      <c r="A81" s="100">
        <f>[4]EnergyCurve!$D103</f>
        <v>39295</v>
      </c>
      <c r="B81" s="329">
        <f t="array" ref="B81">SUM(IF(MONTH(NymexData!$AI$12:$AI$250)&amp;YEAR(NymexData!$AI$12:$AI$250)=MONTH(A81)&amp;YEAR(A81),NymexData!$AJ$12:$AJ$250))</f>
        <v>-165.10901246</v>
      </c>
      <c r="C81" s="330">
        <f t="shared" si="25"/>
        <v>0</v>
      </c>
      <c r="D81" s="331">
        <f t="shared" si="19"/>
        <v>-165.10901246</v>
      </c>
      <c r="E81" s="332">
        <f t="array" ref="E81">SUM(IF(MONTH(NymexData!$S$12:$S$250)&amp;YEAR(NymexData!$S$12:$S$250)=MONTH(A81)&amp;YEAR(A81),NymexData!$T$12:$T$250))</f>
        <v>4.0065</v>
      </c>
      <c r="F81" s="332">
        <f t="shared" si="5"/>
        <v>-4.6999999999999709E-2</v>
      </c>
      <c r="G81" s="333">
        <f t="array" ref="G81">IF(NymexData!$AA$12="",GasPosn!E81,SUM(IF(MONTH(NymexData!$AA$12:$AA$250)&amp;YEAR(NymexData!$AA$12:$AA$250)=MONTH(A81)&amp;YEAR(A81),NymexData!$AB$12:$AB$250)))</f>
        <v>3.9595000000000002</v>
      </c>
      <c r="H81" s="85">
        <f t="shared" si="26"/>
        <v>77601.235856199521</v>
      </c>
      <c r="I81" s="88">
        <f t="shared" si="27"/>
        <v>0</v>
      </c>
      <c r="J81" s="88">
        <f t="shared" si="20"/>
        <v>77601.235856199521</v>
      </c>
      <c r="L81" s="378"/>
      <c r="O81" s="47">
        <f t="shared" ref="O81:O104" si="31">A81</f>
        <v>39295</v>
      </c>
      <c r="BD81" s="48">
        <f t="shared" ref="BD81:BD103" si="32">(P81+R81+T81+V81+X81+Z81+AB81+AD81+AF81+AH81+AJ81+AL81+AN81+AP81+AR81+AT81+AV81+AX81+AZ81+BB81)</f>
        <v>0</v>
      </c>
      <c r="BE81" s="334">
        <f t="shared" ref="BE81:BE103" si="33">IF(AND(BD81=0,BH81=0),0,(ABS(P81)*Q81+ABS(R81)*S81+ABS(T81)*U81+ABS(V81)*W81+ABS(X81)*Y81+ABS(Z81)*AA81+ABS(AB81)*AC81+ABS(AD81)*AE81+ABS(AF81)*AG81+ABS(AH81)*AI81+ABS(AJ81)*AK81+ABS(AL81)*AM81+ABS(AN81)*AO81+ABS(AP81)*AQ81+ABS(AR81)*AS81+ABS(AT81)*AU81+ABS(AV81)*AW81+ABS(AX81)*AY81+ABS(AZ81)*BA81+ABS(BB81)*BC81)/BH81)</f>
        <v>0</v>
      </c>
      <c r="BG81" s="51">
        <f t="shared" si="23"/>
        <v>39295</v>
      </c>
      <c r="BH81" s="335">
        <f t="shared" si="24"/>
        <v>0</v>
      </c>
      <c r="BI81" s="52">
        <f>VLOOKUP(GasPosn!A81,'Pricing Summary'!$AB$12:$AD$250,3)</f>
        <v>31</v>
      </c>
      <c r="BJ81" s="50">
        <f>VLOOKUP(A81,Interest!$AF$8:$AK$367,6)</f>
        <v>0.75896847116825872</v>
      </c>
      <c r="BL81">
        <f>J81*VLOOKUP(A81,NymexData!$J$12:$K$244,2)</f>
        <v>122418.82789565831</v>
      </c>
      <c r="BO81">
        <f>Interest!AK77</f>
        <v>0.75896847116825872</v>
      </c>
      <c r="BP81">
        <f>G81*Interest!AK77</f>
        <v>3.0051356615907205</v>
      </c>
      <c r="BQ81">
        <f t="shared" si="28"/>
        <v>1</v>
      </c>
      <c r="BR81">
        <f t="shared" si="29"/>
        <v>0.75896847116825872</v>
      </c>
      <c r="BS81">
        <f t="shared" si="30"/>
        <v>3.0051356615907205</v>
      </c>
    </row>
    <row r="82" spans="1:71" ht="18" x14ac:dyDescent="0.25">
      <c r="A82" s="98">
        <f>[4]EnergyCurve!$D104</f>
        <v>39326</v>
      </c>
      <c r="B82" s="324">
        <f t="array" ref="B82">SUM(IF(MONTH(NymexData!$AI$12:$AI$250)&amp;YEAR(NymexData!$AI$12:$AI$250)=MONTH(A82)&amp;YEAR(A82),NymexData!$AJ$12:$AJ$250))</f>
        <v>-158.97313516</v>
      </c>
      <c r="C82" s="324">
        <f t="shared" si="25"/>
        <v>0</v>
      </c>
      <c r="D82" s="326">
        <f t="shared" si="19"/>
        <v>-158.97313516</v>
      </c>
      <c r="E82" s="327">
        <f t="array" ref="E82">SUM(IF(MONTH(NymexData!$S$12:$S$250)&amp;YEAR(NymexData!$S$12:$S$250)=MONTH(A82)&amp;YEAR(A82),NymexData!$T$12:$T$250))</f>
        <v>4.0005000000000006</v>
      </c>
      <c r="F82" s="327">
        <f t="shared" si="5"/>
        <v>-4.7000000000000597E-2</v>
      </c>
      <c r="G82" s="328">
        <f t="array" ref="G82">IF(NymexData!$AA$12="",GasPosn!E82,SUM(IF(MONTH(NymexData!$AA$12:$AA$250)&amp;YEAR(NymexData!$AA$12:$AA$250)=MONTH(A82)&amp;YEAR(A82),NymexData!$AB$12:$AB$250)))</f>
        <v>3.9535</v>
      </c>
      <c r="H82" s="99">
        <f t="shared" si="26"/>
        <v>74717.37352520095</v>
      </c>
      <c r="I82" s="92">
        <f t="shared" si="27"/>
        <v>0</v>
      </c>
      <c r="J82" s="92">
        <f t="shared" si="20"/>
        <v>74717.37352520095</v>
      </c>
      <c r="L82" s="378"/>
      <c r="O82" s="47">
        <f t="shared" si="31"/>
        <v>39326</v>
      </c>
      <c r="BD82" s="48">
        <f t="shared" si="32"/>
        <v>0</v>
      </c>
      <c r="BE82" s="334">
        <f t="shared" si="33"/>
        <v>0</v>
      </c>
      <c r="BG82" s="51">
        <f t="shared" si="23"/>
        <v>39326</v>
      </c>
      <c r="BH82" s="335">
        <f t="shared" si="24"/>
        <v>0</v>
      </c>
      <c r="BI82" s="52">
        <f>VLOOKUP(GasPosn!A82,'Pricing Summary'!$AB$12:$AD$250,3)</f>
        <v>30</v>
      </c>
      <c r="BJ82" s="50">
        <f>VLOOKUP(A82,Interest!$AF$8:$AK$367,6)</f>
        <v>0.75520119974249211</v>
      </c>
      <c r="BL82">
        <f>J82*VLOOKUP(A82,NymexData!$J$12:$K$244,2)</f>
        <v>117867.4551080103</v>
      </c>
      <c r="BO82">
        <f>Interest!AK78</f>
        <v>0.75520119974249211</v>
      </c>
      <c r="BP82">
        <f>G82*Interest!AK78</f>
        <v>2.9856879431819427</v>
      </c>
      <c r="BQ82">
        <f t="shared" si="28"/>
        <v>1</v>
      </c>
      <c r="BR82">
        <f t="shared" si="29"/>
        <v>0.75520119974249211</v>
      </c>
      <c r="BS82">
        <f t="shared" si="30"/>
        <v>2.9856879431819427</v>
      </c>
    </row>
    <row r="83" spans="1:71" ht="18" x14ac:dyDescent="0.25">
      <c r="A83" s="100">
        <f>[4]EnergyCurve!$D105</f>
        <v>39356</v>
      </c>
      <c r="B83" s="329">
        <f t="array" ref="B83">SUM(IF(MONTH(NymexData!$AI$12:$AI$250)&amp;YEAR(NymexData!$AI$12:$AI$250)=MONTH(A83)&amp;YEAR(A83),NymexData!$AJ$12:$AJ$250))</f>
        <v>-163.46172863999999</v>
      </c>
      <c r="C83" s="330">
        <f t="shared" si="25"/>
        <v>0</v>
      </c>
      <c r="D83" s="331">
        <f t="shared" si="19"/>
        <v>-163.46172863999999</v>
      </c>
      <c r="E83" s="332">
        <f t="array" ref="E83">SUM(IF(MONTH(NymexData!$S$12:$S$250)&amp;YEAR(NymexData!$S$12:$S$250)=MONTH(A83)&amp;YEAR(A83),NymexData!$T$12:$T$250))</f>
        <v>4.0005000000000006</v>
      </c>
      <c r="F83" s="332">
        <f t="shared" si="5"/>
        <v>-4.7000000000000597E-2</v>
      </c>
      <c r="G83" s="333">
        <f t="array" ref="G83">IF(NymexData!$AA$12="",GasPosn!E83,SUM(IF(MONTH(NymexData!$AA$12:$AA$250)&amp;YEAR(NymexData!$AA$12:$AA$250)=MONTH(A83)&amp;YEAR(A83),NymexData!$AB$12:$AB$250)))</f>
        <v>3.9535</v>
      </c>
      <c r="H83" s="85">
        <f t="shared" si="26"/>
        <v>76827.012460800965</v>
      </c>
      <c r="I83" s="88">
        <f t="shared" si="27"/>
        <v>0</v>
      </c>
      <c r="J83" s="88">
        <f t="shared" si="20"/>
        <v>76827.012460800965</v>
      </c>
      <c r="L83" s="378"/>
      <c r="O83" s="47">
        <f t="shared" si="31"/>
        <v>39356</v>
      </c>
      <c r="BD83" s="48">
        <f t="shared" si="32"/>
        <v>0</v>
      </c>
      <c r="BE83" s="334">
        <f t="shared" si="33"/>
        <v>0</v>
      </c>
      <c r="BG83" s="51">
        <f t="shared" si="23"/>
        <v>39356</v>
      </c>
      <c r="BH83" s="335">
        <f t="shared" si="24"/>
        <v>0</v>
      </c>
      <c r="BI83" s="52">
        <f>VLOOKUP(GasPosn!A83,'Pricing Summary'!$AB$12:$AD$250,3)</f>
        <v>31</v>
      </c>
      <c r="BJ83" s="50">
        <f>VLOOKUP(A83,Interest!$AF$8:$AK$367,6)</f>
        <v>0.75135938496499521</v>
      </c>
      <c r="BL83">
        <f>J83*VLOOKUP(A83,NymexData!$J$12:$K$244,2)</f>
        <v>121193.27312078753</v>
      </c>
      <c r="BO83">
        <f>Interest!AK79</f>
        <v>0.75135938496499521</v>
      </c>
      <c r="BP83">
        <f>G83*Interest!AK79</f>
        <v>2.9704993284591086</v>
      </c>
      <c r="BQ83">
        <f t="shared" si="28"/>
        <v>1</v>
      </c>
      <c r="BR83">
        <f t="shared" si="29"/>
        <v>0.75135938496499521</v>
      </c>
      <c r="BS83">
        <f t="shared" si="30"/>
        <v>2.9704993284591086</v>
      </c>
    </row>
    <row r="84" spans="1:71" ht="18" x14ac:dyDescent="0.25">
      <c r="A84" s="98">
        <f>[4]EnergyCurve!$D106</f>
        <v>39387</v>
      </c>
      <c r="B84" s="324">
        <f t="array" ref="B84">SUM(IF(MONTH(NymexData!$AI$12:$AI$250)&amp;YEAR(NymexData!$AI$12:$AI$250)=MONTH(A84)&amp;YEAR(A84),NymexData!$AJ$12:$AJ$250))</f>
        <v>-157.37758008</v>
      </c>
      <c r="C84" s="324">
        <f t="shared" si="25"/>
        <v>0</v>
      </c>
      <c r="D84" s="326">
        <f t="shared" si="19"/>
        <v>-157.37758008</v>
      </c>
      <c r="E84" s="327">
        <f t="array" ref="E84">SUM(IF(MONTH(NymexData!$S$12:$S$250)&amp;YEAR(NymexData!$S$12:$S$250)=MONTH(A84)&amp;YEAR(A84),NymexData!$T$12:$T$250))</f>
        <v>4.1485000000000003</v>
      </c>
      <c r="F84" s="327">
        <f t="shared" si="5"/>
        <v>-4.6000000000000263E-2</v>
      </c>
      <c r="G84" s="328">
        <f t="array" ref="G84">IF(NymexData!$AA$12="",GasPosn!E84,SUM(IF(MONTH(NymexData!$AA$12:$AA$250)&amp;YEAR(NymexData!$AA$12:$AA$250)=MONTH(A84)&amp;YEAR(A84),NymexData!$AB$12:$AB$250)))</f>
        <v>4.1025</v>
      </c>
      <c r="H84" s="99">
        <f t="shared" si="26"/>
        <v>72393.686836800422</v>
      </c>
      <c r="I84" s="92">
        <f t="shared" si="27"/>
        <v>0</v>
      </c>
      <c r="J84" s="92">
        <f t="shared" si="20"/>
        <v>72393.686836800422</v>
      </c>
      <c r="L84" s="378"/>
      <c r="O84" s="47">
        <f t="shared" si="31"/>
        <v>39387</v>
      </c>
      <c r="BD84" s="48">
        <f t="shared" si="32"/>
        <v>0</v>
      </c>
      <c r="BE84" s="334">
        <f t="shared" si="33"/>
        <v>0</v>
      </c>
      <c r="BG84" s="51">
        <f t="shared" si="23"/>
        <v>39387</v>
      </c>
      <c r="BH84" s="335">
        <f t="shared" si="24"/>
        <v>0</v>
      </c>
      <c r="BI84" s="52">
        <f>VLOOKUP(GasPosn!A84,'Pricing Summary'!$AB$12:$AD$250,3)</f>
        <v>30</v>
      </c>
      <c r="BJ84" s="50">
        <f>VLOOKUP(A84,Interest!$AF$8:$AK$367,6)</f>
        <v>0.74758409526132508</v>
      </c>
      <c r="BL84">
        <f>J84*VLOOKUP(A84,NymexData!$J$12:$K$244,2)</f>
        <v>114197.48460863451</v>
      </c>
      <c r="BO84">
        <f>Interest!AK80</f>
        <v>0.74758409526132508</v>
      </c>
      <c r="BP84">
        <f>G84*Interest!AK80</f>
        <v>3.0669637508095859</v>
      </c>
      <c r="BQ84">
        <f t="shared" si="28"/>
        <v>1</v>
      </c>
      <c r="BR84">
        <f t="shared" si="29"/>
        <v>0.74758409526132508</v>
      </c>
      <c r="BS84">
        <f t="shared" si="30"/>
        <v>3.0669637508095859</v>
      </c>
    </row>
    <row r="85" spans="1:71" ht="18" x14ac:dyDescent="0.25">
      <c r="A85" s="100">
        <f>[4]EnergyCurve!$D107</f>
        <v>39417</v>
      </c>
      <c r="B85" s="329">
        <f t="array" ref="B85">SUM(IF(MONTH(NymexData!$AI$12:$AI$250)&amp;YEAR(NymexData!$AI$12:$AI$250)=MONTH(A85)&amp;YEAR(A85),NymexData!$AJ$12:$AJ$250))</f>
        <v>-161.81168317999999</v>
      </c>
      <c r="C85" s="330">
        <f t="shared" si="25"/>
        <v>0</v>
      </c>
      <c r="D85" s="331">
        <f t="shared" si="19"/>
        <v>-161.81168317999999</v>
      </c>
      <c r="E85" s="332">
        <f t="array" ref="E85">SUM(IF(MONTH(NymexData!$S$12:$S$250)&amp;YEAR(NymexData!$S$12:$S$250)=MONTH(A85)&amp;YEAR(A85),NymexData!$T$12:$T$250))</f>
        <v>4.3005000000000004</v>
      </c>
      <c r="F85" s="332">
        <f t="shared" si="5"/>
        <v>-4.6000000000000263E-2</v>
      </c>
      <c r="G85" s="333">
        <f t="array" ref="G85">IF(NymexData!$AA$12="",GasPosn!E85,SUM(IF(MONTH(NymexData!$AA$12:$AA$250)&amp;YEAR(NymexData!$AA$12:$AA$250)=MONTH(A85)&amp;YEAR(A85),NymexData!$AB$12:$AB$250)))</f>
        <v>4.2545000000000002</v>
      </c>
      <c r="H85" s="85">
        <f t="shared" si="26"/>
        <v>74433.374262800411</v>
      </c>
      <c r="I85" s="88">
        <f t="shared" si="27"/>
        <v>0</v>
      </c>
      <c r="J85" s="88">
        <f t="shared" si="20"/>
        <v>74433.374262800411</v>
      </c>
      <c r="L85" s="378"/>
      <c r="O85" s="47">
        <f t="shared" si="31"/>
        <v>39417</v>
      </c>
      <c r="BD85" s="48">
        <f t="shared" si="32"/>
        <v>0</v>
      </c>
      <c r="BE85" s="334">
        <f t="shared" si="33"/>
        <v>0</v>
      </c>
      <c r="BG85" s="51">
        <f t="shared" si="23"/>
        <v>39417</v>
      </c>
      <c r="BH85" s="335">
        <f t="shared" si="24"/>
        <v>0</v>
      </c>
      <c r="BI85" s="52">
        <f>VLOOKUP(GasPosn!A85,'Pricing Summary'!$AB$12:$AD$250,3)</f>
        <v>31</v>
      </c>
      <c r="BJ85" s="50">
        <f>VLOOKUP(A85,Interest!$AF$8:$AK$367,6)</f>
        <v>0.74373547948976915</v>
      </c>
      <c r="BL85">
        <f>J85*VLOOKUP(A85,NymexData!$J$12:$K$244,2)</f>
        <v>117412.51772837558</v>
      </c>
      <c r="BO85">
        <f>Interest!AK81</f>
        <v>0.74373547948976915</v>
      </c>
      <c r="BP85">
        <f>G85*Interest!AK81</f>
        <v>3.1642225974892231</v>
      </c>
      <c r="BQ85">
        <f t="shared" si="28"/>
        <v>1</v>
      </c>
      <c r="BR85">
        <f t="shared" si="29"/>
        <v>0.74373547948976915</v>
      </c>
      <c r="BS85">
        <f t="shared" si="30"/>
        <v>3.1642225974892231</v>
      </c>
    </row>
    <row r="86" spans="1:71" ht="18" x14ac:dyDescent="0.25">
      <c r="A86" s="98">
        <f>[4]EnergyCurve!$D108</f>
        <v>39448</v>
      </c>
      <c r="B86" s="324">
        <f t="array" ref="B86">SUM(IF(MONTH(NymexData!$AI$12:$AI$250)&amp;YEAR(NymexData!$AI$12:$AI$250)=MONTH(A86)&amp;YEAR(A86),NymexData!$AJ$12:$AJ$250))</f>
        <v>-160.97221252</v>
      </c>
      <c r="C86" s="324">
        <f t="shared" si="25"/>
        <v>0</v>
      </c>
      <c r="D86" s="326">
        <f t="shared" si="19"/>
        <v>-160.97221252</v>
      </c>
      <c r="E86" s="327">
        <f t="array" ref="E86">SUM(IF(MONTH(NymexData!$S$12:$S$250)&amp;YEAR(NymexData!$S$12:$S$250)=MONTH(A86)&amp;YEAR(A86),NymexData!$T$12:$T$250))</f>
        <v>4.3630000000000004</v>
      </c>
      <c r="F86" s="327">
        <f t="shared" si="5"/>
        <v>-4.1000000000000369E-2</v>
      </c>
      <c r="G86" s="328">
        <f t="array" ref="G86">IF(NymexData!$AA$12="",GasPosn!E86,SUM(IF(MONTH(NymexData!$AA$12:$AA$250)&amp;YEAR(NymexData!$AA$12:$AA$250)=MONTH(A86)&amp;YEAR(A86),NymexData!$AB$12:$AB$250)))</f>
        <v>4.3220000000000001</v>
      </c>
      <c r="H86" s="99">
        <f t="shared" si="26"/>
        <v>65998.607133200596</v>
      </c>
      <c r="I86" s="92">
        <f t="shared" si="27"/>
        <v>0</v>
      </c>
      <c r="J86" s="92">
        <f t="shared" si="20"/>
        <v>65998.607133200596</v>
      </c>
      <c r="L86" s="378"/>
      <c r="O86" s="47">
        <f t="shared" si="31"/>
        <v>39448</v>
      </c>
      <c r="BD86" s="48">
        <f t="shared" si="32"/>
        <v>0</v>
      </c>
      <c r="BE86" s="334">
        <f t="shared" si="33"/>
        <v>0</v>
      </c>
      <c r="BG86" s="51">
        <f t="shared" si="23"/>
        <v>39448</v>
      </c>
      <c r="BH86" s="335">
        <f t="shared" si="24"/>
        <v>0</v>
      </c>
      <c r="BI86" s="52">
        <f>VLOOKUP(GasPosn!A86,'Pricing Summary'!$AB$12:$AD$250,3)</f>
        <v>31</v>
      </c>
      <c r="BJ86" s="50">
        <f>VLOOKUP(A86,Interest!$AF$8:$AK$367,6)</f>
        <v>0.73985600866200218</v>
      </c>
      <c r="BL86">
        <f>J86*VLOOKUP(A86,NymexData!$J$12:$K$244,2)</f>
        <v>104104.9264247628</v>
      </c>
      <c r="BO86">
        <f>Interest!AK82</f>
        <v>0.73985600866200218</v>
      </c>
      <c r="BP86">
        <f>G86*Interest!AK82</f>
        <v>3.1976576694371737</v>
      </c>
      <c r="BQ86">
        <f t="shared" si="28"/>
        <v>1</v>
      </c>
      <c r="BR86">
        <f t="shared" si="29"/>
        <v>0.73985600866200218</v>
      </c>
      <c r="BS86">
        <f t="shared" si="30"/>
        <v>3.1976576694371737</v>
      </c>
    </row>
    <row r="87" spans="1:71" ht="18" x14ac:dyDescent="0.25">
      <c r="A87" s="100">
        <f>[4]EnergyCurve!$D109</f>
        <v>39479</v>
      </c>
      <c r="B87" s="329">
        <f t="array" ref="B87">SUM(IF(MONTH(NymexData!$AI$12:$AI$250)&amp;YEAR(NymexData!$AI$12:$AI$250)=MONTH(A87)&amp;YEAR(A87),NymexData!$AJ$12:$AJ$250))</f>
        <v>-149.80108374</v>
      </c>
      <c r="C87" s="330">
        <f t="shared" si="25"/>
        <v>0</v>
      </c>
      <c r="D87" s="331">
        <f t="shared" si="19"/>
        <v>-149.80108374</v>
      </c>
      <c r="E87" s="332">
        <f t="array" ref="E87">SUM(IF(MONTH(NymexData!$S$12:$S$250)&amp;YEAR(NymexData!$S$12:$S$250)=MONTH(A87)&amp;YEAR(A87),NymexData!$T$12:$T$250))</f>
        <v>4.2759999999999998</v>
      </c>
      <c r="F87" s="332">
        <f t="shared" si="5"/>
        <v>-4.1999999999999815E-2</v>
      </c>
      <c r="G87" s="333">
        <f t="array" ref="G87">IF(NymexData!$AA$12="",GasPosn!E87,SUM(IF(MONTH(NymexData!$AA$12:$AA$250)&amp;YEAR(NymexData!$AA$12:$AA$250)=MONTH(A87)&amp;YEAR(A87),NymexData!$AB$12:$AB$250)))</f>
        <v>4.234</v>
      </c>
      <c r="H87" s="85">
        <f t="shared" si="26"/>
        <v>62916.455170799716</v>
      </c>
      <c r="I87" s="88">
        <f t="shared" si="27"/>
        <v>0</v>
      </c>
      <c r="J87" s="88">
        <f t="shared" si="20"/>
        <v>62916.455170799716</v>
      </c>
      <c r="L87" s="378"/>
      <c r="O87" s="47">
        <f t="shared" si="31"/>
        <v>39479</v>
      </c>
      <c r="BD87" s="48">
        <f t="shared" si="32"/>
        <v>0</v>
      </c>
      <c r="BE87" s="334">
        <f t="shared" si="33"/>
        <v>0</v>
      </c>
      <c r="BG87" s="51">
        <f t="shared" si="23"/>
        <v>39479</v>
      </c>
      <c r="BH87" s="335">
        <f t="shared" si="24"/>
        <v>0</v>
      </c>
      <c r="BI87" s="52">
        <f>VLOOKUP(GasPosn!A87,'Pricing Summary'!$AB$12:$AD$250,3)</f>
        <v>29</v>
      </c>
      <c r="BJ87" s="50">
        <f>VLOOKUP(A87,Interest!$AF$8:$AK$367,6)</f>
        <v>0.73616760924634772</v>
      </c>
      <c r="BL87">
        <f>J87*VLOOKUP(A87,NymexData!$J$12:$K$244,2)</f>
        <v>99240.703740038633</v>
      </c>
      <c r="BO87">
        <f>Interest!AK83</f>
        <v>0.73616760924634772</v>
      </c>
      <c r="BP87">
        <f>G87*Interest!AK83</f>
        <v>3.1169336575490361</v>
      </c>
      <c r="BQ87">
        <f t="shared" si="28"/>
        <v>1</v>
      </c>
      <c r="BR87">
        <f t="shared" si="29"/>
        <v>0.73616760924634772</v>
      </c>
      <c r="BS87">
        <f t="shared" si="30"/>
        <v>3.1169336575490361</v>
      </c>
    </row>
    <row r="88" spans="1:71" ht="18" x14ac:dyDescent="0.25">
      <c r="A88" s="98">
        <f>[4]EnergyCurve!$D110</f>
        <v>39508</v>
      </c>
      <c r="B88" s="324">
        <f t="array" ref="B88">SUM(IF(MONTH(NymexData!$AI$12:$AI$250)&amp;YEAR(NymexData!$AI$12:$AI$250)=MONTH(A88)&amp;YEAR(A88),NymexData!$AJ$12:$AJ$250))</f>
        <v>-159.34591974</v>
      </c>
      <c r="C88" s="324">
        <f t="shared" si="25"/>
        <v>0</v>
      </c>
      <c r="D88" s="326">
        <f t="shared" si="19"/>
        <v>-159.34591974</v>
      </c>
      <c r="E88" s="327">
        <f t="array" ref="E88">SUM(IF(MONTH(NymexData!$S$12:$S$250)&amp;YEAR(NymexData!$S$12:$S$250)=MONTH(A88)&amp;YEAR(A88),NymexData!$T$12:$T$250))</f>
        <v>4.1370000000000005</v>
      </c>
      <c r="F88" s="327">
        <f t="shared" si="5"/>
        <v>-4.2000000000000703E-2</v>
      </c>
      <c r="G88" s="328">
        <f t="array" ref="G88">IF(NymexData!$AA$12="",GasPosn!E88,SUM(IF(MONTH(NymexData!$AA$12:$AA$250)&amp;YEAR(NymexData!$AA$12:$AA$250)=MONTH(A88)&amp;YEAR(A88),NymexData!$AB$12:$AB$250)))</f>
        <v>4.0949999999999998</v>
      </c>
      <c r="H88" s="99">
        <f t="shared" si="26"/>
        <v>66925.286290801116</v>
      </c>
      <c r="I88" s="92">
        <f t="shared" si="27"/>
        <v>0</v>
      </c>
      <c r="J88" s="92">
        <f t="shared" si="20"/>
        <v>66925.286290801116</v>
      </c>
      <c r="L88" s="378"/>
      <c r="O88" s="47">
        <f t="shared" si="31"/>
        <v>39508</v>
      </c>
      <c r="BD88" s="48">
        <f t="shared" si="32"/>
        <v>0</v>
      </c>
      <c r="BE88" s="334">
        <f t="shared" si="33"/>
        <v>0</v>
      </c>
      <c r="BG88" s="51">
        <f t="shared" si="23"/>
        <v>39508</v>
      </c>
      <c r="BH88" s="335">
        <f t="shared" si="24"/>
        <v>0</v>
      </c>
      <c r="BI88" s="52">
        <f>VLOOKUP(GasPosn!A88,'Pricing Summary'!$AB$12:$AD$250,3)</f>
        <v>31</v>
      </c>
      <c r="BJ88" s="50">
        <f>VLOOKUP(A88,Interest!$AF$8:$AK$367,6)</f>
        <v>0.73233896283891031</v>
      </c>
      <c r="BL88">
        <f>J88*VLOOKUP(A88,NymexData!$J$12:$K$244,2)</f>
        <v>105561.35121123808</v>
      </c>
      <c r="BO88">
        <f>Interest!AK84</f>
        <v>0.73233896283891031</v>
      </c>
      <c r="BP88">
        <f>G88*Interest!AK84</f>
        <v>2.9989280528253377</v>
      </c>
      <c r="BQ88">
        <f t="shared" si="28"/>
        <v>1</v>
      </c>
      <c r="BR88">
        <f t="shared" si="29"/>
        <v>0.73233896283891031</v>
      </c>
      <c r="BS88">
        <f t="shared" si="30"/>
        <v>2.9989280528253377</v>
      </c>
    </row>
    <row r="89" spans="1:71" ht="18" x14ac:dyDescent="0.25">
      <c r="A89" s="100">
        <f>[4]EnergyCurve!$D111</f>
        <v>39539</v>
      </c>
      <c r="B89" s="329">
        <f t="array" ref="B89">SUM(IF(MONTH(NymexData!$AI$12:$AI$250)&amp;YEAR(NymexData!$AI$12:$AI$250)=MONTH(A89)&amp;YEAR(A89),NymexData!$AJ$12:$AJ$250))</f>
        <v>-153.39192890000001</v>
      </c>
      <c r="C89" s="330">
        <f t="shared" si="25"/>
        <v>0</v>
      </c>
      <c r="D89" s="331">
        <f t="shared" si="19"/>
        <v>-153.39192890000001</v>
      </c>
      <c r="E89" s="332">
        <f t="array" ref="E89">SUM(IF(MONTH(NymexData!$S$12:$S$250)&amp;YEAR(NymexData!$S$12:$S$250)=MONTH(A89)&amp;YEAR(A89),NymexData!$T$12:$T$250))</f>
        <v>3.9830000000000001</v>
      </c>
      <c r="F89" s="332">
        <f t="shared" si="5"/>
        <v>-4.1999999999999815E-2</v>
      </c>
      <c r="G89" s="333">
        <f t="array" ref="G89">IF(NymexData!$AA$12="",GasPosn!E89,SUM(IF(MONTH(NymexData!$AA$12:$AA$250)&amp;YEAR(NymexData!$AA$12:$AA$250)=MONTH(A89)&amp;YEAR(A89),NymexData!$AB$12:$AB$250)))</f>
        <v>3.9410000000000003</v>
      </c>
      <c r="H89" s="85">
        <f t="shared" si="26"/>
        <v>64424.61013799972</v>
      </c>
      <c r="I89" s="88">
        <f t="shared" si="27"/>
        <v>0</v>
      </c>
      <c r="J89" s="88">
        <f t="shared" si="20"/>
        <v>64424.61013799972</v>
      </c>
      <c r="L89" s="378"/>
      <c r="O89" s="47">
        <f t="shared" si="31"/>
        <v>39539</v>
      </c>
      <c r="BD89" s="48">
        <f t="shared" si="32"/>
        <v>0</v>
      </c>
      <c r="BE89" s="334">
        <f t="shared" si="33"/>
        <v>0</v>
      </c>
      <c r="BG89" s="51">
        <f t="shared" si="23"/>
        <v>39539</v>
      </c>
      <c r="BH89" s="335">
        <f t="shared" si="24"/>
        <v>0</v>
      </c>
      <c r="BI89" s="52">
        <f>VLOOKUP(GasPosn!A89,'Pricing Summary'!$AB$12:$AD$250,3)</f>
        <v>30</v>
      </c>
      <c r="BJ89" s="50">
        <f>VLOOKUP(A89,Interest!$AF$8:$AK$367,6)</f>
        <v>0.72854810430901051</v>
      </c>
      <c r="BL89">
        <f>J89*VLOOKUP(A89,NymexData!$J$12:$K$244,2)</f>
        <v>101614.1407978288</v>
      </c>
      <c r="BO89">
        <f>Interest!AK85</f>
        <v>0.72854810430901051</v>
      </c>
      <c r="BP89">
        <f>G89*Interest!AK85</f>
        <v>2.8712080790818106</v>
      </c>
      <c r="BQ89">
        <f t="shared" si="28"/>
        <v>1</v>
      </c>
      <c r="BR89">
        <f t="shared" si="29"/>
        <v>0.72854810430901051</v>
      </c>
      <c r="BS89">
        <f t="shared" si="30"/>
        <v>2.8712080790818106</v>
      </c>
    </row>
    <row r="90" spans="1:71" ht="18" x14ac:dyDescent="0.25">
      <c r="A90" s="98">
        <f>[4]EnergyCurve!$D112</f>
        <v>39569</v>
      </c>
      <c r="B90" s="324">
        <f t="array" ref="B90">SUM(IF(MONTH(NymexData!$AI$12:$AI$250)&amp;YEAR(NymexData!$AI$12:$AI$250)=MONTH(A90)&amp;YEAR(A90),NymexData!$AJ$12:$AJ$250))</f>
        <v>-157.69082252000001</v>
      </c>
      <c r="C90" s="324">
        <f t="shared" si="25"/>
        <v>0</v>
      </c>
      <c r="D90" s="326">
        <f t="shared" si="19"/>
        <v>-157.69082252000001</v>
      </c>
      <c r="E90" s="327">
        <f t="array" ref="E90">SUM(IF(MONTH(NymexData!$S$12:$S$250)&amp;YEAR(NymexData!$S$12:$S$250)=MONTH(A90)&amp;YEAR(A90),NymexData!$T$12:$T$250))</f>
        <v>3.988</v>
      </c>
      <c r="F90" s="327">
        <f t="shared" si="5"/>
        <v>-4.1999999999999815E-2</v>
      </c>
      <c r="G90" s="328">
        <f t="array" ref="G90">IF(NymexData!$AA$12="",GasPosn!E90,SUM(IF(MONTH(NymexData!$AA$12:$AA$250)&amp;YEAR(NymexData!$AA$12:$AA$250)=MONTH(A90)&amp;YEAR(A90),NymexData!$AB$12:$AB$250)))</f>
        <v>3.9460000000000002</v>
      </c>
      <c r="H90" s="99">
        <f t="shared" si="26"/>
        <v>66230.145458399711</v>
      </c>
      <c r="I90" s="92">
        <f t="shared" si="27"/>
        <v>0</v>
      </c>
      <c r="J90" s="92">
        <f t="shared" si="20"/>
        <v>66230.145458399711</v>
      </c>
      <c r="L90" s="378"/>
      <c r="O90" s="47">
        <f t="shared" si="31"/>
        <v>39569</v>
      </c>
      <c r="BD90" s="48">
        <f t="shared" si="32"/>
        <v>0</v>
      </c>
      <c r="BE90" s="334">
        <f t="shared" si="33"/>
        <v>0</v>
      </c>
      <c r="BG90" s="51">
        <f t="shared" si="23"/>
        <v>39569</v>
      </c>
      <c r="BH90" s="335">
        <f t="shared" si="24"/>
        <v>0</v>
      </c>
      <c r="BI90" s="52">
        <f>VLOOKUP(GasPosn!A90,'Pricing Summary'!$AB$12:$AD$250,3)</f>
        <v>31</v>
      </c>
      <c r="BJ90" s="50">
        <f>VLOOKUP(A90,Interest!$AF$8:$AK$367,6)</f>
        <v>0.72468693967770559</v>
      </c>
      <c r="BL90">
        <f>J90*VLOOKUP(A90,NymexData!$J$12:$K$244,2)</f>
        <v>104458.88867283061</v>
      </c>
      <c r="BO90">
        <f>Interest!AK86</f>
        <v>0.72468693967770559</v>
      </c>
      <c r="BP90">
        <f>G90*Interest!AK86</f>
        <v>2.8596146639682263</v>
      </c>
      <c r="BQ90">
        <f t="shared" si="28"/>
        <v>1</v>
      </c>
      <c r="BR90">
        <f t="shared" si="29"/>
        <v>0.72468693967770559</v>
      </c>
      <c r="BS90">
        <f t="shared" si="30"/>
        <v>2.8596146639682263</v>
      </c>
    </row>
    <row r="91" spans="1:71" ht="18" x14ac:dyDescent="0.25">
      <c r="A91" s="100">
        <f>[4]EnergyCurve!$D113</f>
        <v>39600</v>
      </c>
      <c r="B91" s="329">
        <f t="array" ref="B91">SUM(IF(MONTH(NymexData!$AI$12:$AI$250)&amp;YEAR(NymexData!$AI$12:$AI$250)=MONTH(A91)&amp;YEAR(A91),NymexData!$AJ$12:$AJ$250))</f>
        <v>-151.78953146000001</v>
      </c>
      <c r="C91" s="330">
        <f t="shared" si="25"/>
        <v>0</v>
      </c>
      <c r="D91" s="331">
        <f t="shared" si="19"/>
        <v>-151.78953146000001</v>
      </c>
      <c r="E91" s="332">
        <f t="array" ref="E91">SUM(IF(MONTH(NymexData!$S$12:$S$250)&amp;YEAR(NymexData!$S$12:$S$250)=MONTH(A91)&amp;YEAR(A91),NymexData!$T$12:$T$250))</f>
        <v>4.0259999999999998</v>
      </c>
      <c r="F91" s="332">
        <f t="shared" si="5"/>
        <v>-4.1999999999999815E-2</v>
      </c>
      <c r="G91" s="333">
        <f t="array" ref="G91">IF(NymexData!$AA$12="",GasPosn!E91,SUM(IF(MONTH(NymexData!$AA$12:$AA$250)&amp;YEAR(NymexData!$AA$12:$AA$250)=MONTH(A91)&amp;YEAR(A91),NymexData!$AB$12:$AB$250)))</f>
        <v>3.984</v>
      </c>
      <c r="H91" s="85">
        <f t="shared" si="26"/>
        <v>63751.603213199727</v>
      </c>
      <c r="I91" s="88">
        <f t="shared" si="27"/>
        <v>0</v>
      </c>
      <c r="J91" s="88">
        <f t="shared" si="20"/>
        <v>63751.603213199727</v>
      </c>
      <c r="L91" s="378"/>
      <c r="O91" s="47">
        <f t="shared" si="31"/>
        <v>39600</v>
      </c>
      <c r="BD91" s="48">
        <f t="shared" si="32"/>
        <v>0</v>
      </c>
      <c r="BE91" s="334">
        <f t="shared" si="33"/>
        <v>0</v>
      </c>
      <c r="BG91" s="51">
        <f t="shared" si="23"/>
        <v>39600</v>
      </c>
      <c r="BH91" s="335">
        <f t="shared" si="24"/>
        <v>0</v>
      </c>
      <c r="BI91" s="52">
        <f>VLOOKUP(GasPosn!A91,'Pricing Summary'!$AB$12:$AD$250,3)</f>
        <v>30</v>
      </c>
      <c r="BJ91" s="50">
        <f>VLOOKUP(A91,Interest!$AF$8:$AK$367,6)</f>
        <v>0.72089158107105944</v>
      </c>
      <c r="BL91">
        <f>J91*VLOOKUP(A91,NymexData!$J$12:$K$244,2)</f>
        <v>100546.5089707078</v>
      </c>
      <c r="BO91">
        <f>Interest!AK87</f>
        <v>0.72089158107105944</v>
      </c>
      <c r="BP91">
        <f>G91*Interest!AK87</f>
        <v>2.8720320589871009</v>
      </c>
      <c r="BQ91">
        <f t="shared" si="28"/>
        <v>1</v>
      </c>
      <c r="BR91">
        <f t="shared" si="29"/>
        <v>0.72089158107105944</v>
      </c>
      <c r="BS91">
        <f t="shared" si="30"/>
        <v>2.8720320589871009</v>
      </c>
    </row>
    <row r="92" spans="1:71" ht="18" x14ac:dyDescent="0.25">
      <c r="A92" s="98">
        <f>[4]EnergyCurve!$D114</f>
        <v>39630</v>
      </c>
      <c r="B92" s="324">
        <f t="array" ref="B92">SUM(IF(MONTH(NymexData!$AI$12:$AI$250)&amp;YEAR(NymexData!$AI$12:$AI$250)=MONTH(A92)&amp;YEAR(A92),NymexData!$AJ$12:$AJ$250))</f>
        <v>-156.0344226</v>
      </c>
      <c r="C92" s="324">
        <f t="shared" si="25"/>
        <v>0</v>
      </c>
      <c r="D92" s="326">
        <f t="shared" si="19"/>
        <v>-156.0344226</v>
      </c>
      <c r="E92" s="327">
        <f t="array" ref="E92">SUM(IF(MONTH(NymexData!$S$12:$S$250)&amp;YEAR(NymexData!$S$12:$S$250)=MONTH(A92)&amp;YEAR(A92),NymexData!$T$12:$T$250))</f>
        <v>4.0710000000000006</v>
      </c>
      <c r="F92" s="327">
        <f t="shared" si="5"/>
        <v>-4.2000000000000703E-2</v>
      </c>
      <c r="G92" s="328">
        <f t="array" ref="G92">IF(NymexData!$AA$12="",GasPosn!E92,SUM(IF(MONTH(NymexData!$AA$12:$AA$250)&amp;YEAR(NymexData!$AA$12:$AA$250)=MONTH(A92)&amp;YEAR(A92),NymexData!$AB$12:$AB$250)))</f>
        <v>4.0289999999999999</v>
      </c>
      <c r="H92" s="99">
        <f t="shared" si="26"/>
        <v>65534.4574920011</v>
      </c>
      <c r="I92" s="92">
        <f t="shared" si="27"/>
        <v>0</v>
      </c>
      <c r="J92" s="92">
        <f t="shared" si="20"/>
        <v>65534.4574920011</v>
      </c>
      <c r="L92" s="378"/>
      <c r="O92" s="47">
        <f t="shared" si="31"/>
        <v>39630</v>
      </c>
      <c r="BD92" s="48">
        <f t="shared" si="32"/>
        <v>0</v>
      </c>
      <c r="BE92" s="334">
        <f t="shared" si="33"/>
        <v>0</v>
      </c>
      <c r="BG92" s="51">
        <f t="shared" si="23"/>
        <v>39630</v>
      </c>
      <c r="BH92" s="335">
        <f t="shared" si="24"/>
        <v>0</v>
      </c>
      <c r="BI92" s="52">
        <f>VLOOKUP(GasPosn!A92,'Pricing Summary'!$AB$12:$AD$250,3)</f>
        <v>31</v>
      </c>
      <c r="BJ92" s="50">
        <f>VLOOKUP(A92,Interest!$AF$8:$AK$367,6)</f>
        <v>0.7170271219928841</v>
      </c>
      <c r="BL92">
        <f>J92*VLOOKUP(A92,NymexData!$J$12:$K$244,2)</f>
        <v>103355.00905992635</v>
      </c>
      <c r="BO92">
        <f>Interest!AK88</f>
        <v>0.7170271219928841</v>
      </c>
      <c r="BP92">
        <f>G92*Interest!AK88</f>
        <v>2.8889022745093298</v>
      </c>
      <c r="BQ92">
        <f t="shared" si="28"/>
        <v>1</v>
      </c>
      <c r="BR92">
        <f t="shared" si="29"/>
        <v>0.7170271219928841</v>
      </c>
      <c r="BS92">
        <f t="shared" si="30"/>
        <v>2.8889022745093298</v>
      </c>
    </row>
    <row r="93" spans="1:71" ht="18" x14ac:dyDescent="0.25">
      <c r="A93" s="100">
        <f>[4]EnergyCurve!$D115</f>
        <v>39661</v>
      </c>
      <c r="B93" s="329">
        <f t="array" ref="B93">SUM(IF(MONTH(NymexData!$AI$12:$AI$250)&amp;YEAR(NymexData!$AI$12:$AI$250)=MONTH(A93)&amp;YEAR(A93),NymexData!$AJ$12:$AJ$250))</f>
        <v>-155.19227752</v>
      </c>
      <c r="C93" s="330">
        <f t="shared" si="25"/>
        <v>0</v>
      </c>
      <c r="D93" s="331">
        <f t="shared" si="19"/>
        <v>-155.19227752</v>
      </c>
      <c r="E93" s="332">
        <f t="array" ref="E93">SUM(IF(MONTH(NymexData!$S$12:$S$250)&amp;YEAR(NymexData!$S$12:$S$250)=MONTH(A93)&amp;YEAR(A93),NymexData!$T$12:$T$250))</f>
        <v>4.109</v>
      </c>
      <c r="F93" s="332">
        <f t="shared" si="5"/>
        <v>-4.1999999999999815E-2</v>
      </c>
      <c r="G93" s="333">
        <f t="array" ref="G93">IF(NymexData!$AA$12="",GasPosn!E93,SUM(IF(MONTH(NymexData!$AA$12:$AA$250)&amp;YEAR(NymexData!$AA$12:$AA$250)=MONTH(A93)&amp;YEAR(A93),NymexData!$AB$12:$AB$250)))</f>
        <v>4.0670000000000002</v>
      </c>
      <c r="H93" s="85">
        <f t="shared" si="26"/>
        <v>65180.756558399713</v>
      </c>
      <c r="I93" s="88">
        <f t="shared" si="27"/>
        <v>0</v>
      </c>
      <c r="J93" s="88">
        <f t="shared" si="20"/>
        <v>65180.756558399713</v>
      </c>
      <c r="L93" s="378"/>
      <c r="O93" s="47">
        <f t="shared" si="31"/>
        <v>39661</v>
      </c>
      <c r="BD93" s="48">
        <f t="shared" si="32"/>
        <v>0</v>
      </c>
      <c r="BE93" s="334">
        <f t="shared" si="33"/>
        <v>0</v>
      </c>
      <c r="BG93" s="51">
        <f t="shared" ref="BG93:BG128" si="34">O93</f>
        <v>39661</v>
      </c>
      <c r="BH93" s="335">
        <f t="shared" ref="BH93:BH128" si="35">(ABS(P93)+ABS(R93)+ABS(T93)+ABS(V93)+ABS(X93)+ABS(Z93)+ABS(AB93)+ABS(AD93)+ABS(AF93)+ABS(AH93)+ABS(AJ93)+ABS(AL93)+ABS(AN93)+ABS(AP93)+ABS(AR93)+ABS(AT93)+ABS(AV93)+ABS(AX93)+ABS(AZ93)+ABS(BB93))</f>
        <v>0</v>
      </c>
      <c r="BI93" s="52">
        <f>VLOOKUP(GasPosn!A93,'Pricing Summary'!$AB$12:$AD$250,3)</f>
        <v>31</v>
      </c>
      <c r="BJ93" s="50">
        <f>VLOOKUP(A93,Interest!$AF$8:$AK$367,6)</f>
        <v>0.71313207292218828</v>
      </c>
      <c r="BL93">
        <f>J93*VLOOKUP(A93,NymexData!$J$12:$K$244,2)</f>
        <v>102793.57202348046</v>
      </c>
      <c r="BO93">
        <f>Interest!AK89</f>
        <v>0.71313207292218828</v>
      </c>
      <c r="BP93">
        <f>G93*Interest!AK89</f>
        <v>2.9003081405745399</v>
      </c>
      <c r="BQ93">
        <f t="shared" si="28"/>
        <v>1</v>
      </c>
      <c r="BR93">
        <f t="shared" si="29"/>
        <v>0.71313207292218828</v>
      </c>
      <c r="BS93">
        <f t="shared" si="30"/>
        <v>2.9003081405745399</v>
      </c>
    </row>
    <row r="94" spans="1:71" ht="18" x14ac:dyDescent="0.25">
      <c r="A94" s="98">
        <f>[4]EnergyCurve!$D116</f>
        <v>39692</v>
      </c>
      <c r="B94" s="324">
        <f t="array" ref="B94">SUM(IF(MONTH(NymexData!$AI$12:$AI$250)&amp;YEAR(NymexData!$AI$12:$AI$250)=MONTH(A94)&amp;YEAR(A94),NymexData!$AJ$12:$AJ$250))</f>
        <v>-149.37092422000001</v>
      </c>
      <c r="C94" s="324">
        <f t="shared" si="25"/>
        <v>0</v>
      </c>
      <c r="D94" s="326">
        <f t="shared" si="19"/>
        <v>-149.37092422000001</v>
      </c>
      <c r="E94" s="327">
        <f t="array" ref="E94">SUM(IF(MONTH(NymexData!$S$12:$S$250)&amp;YEAR(NymexData!$S$12:$S$250)=MONTH(A94)&amp;YEAR(A94),NymexData!$T$12:$T$250))</f>
        <v>4.1029999999999998</v>
      </c>
      <c r="F94" s="327">
        <f t="shared" si="5"/>
        <v>-4.1999999999999815E-2</v>
      </c>
      <c r="G94" s="328">
        <f t="array" ref="G94">IF(NymexData!$AA$12="",GasPosn!E94,SUM(IF(MONTH(NymexData!$AA$12:$AA$250)&amp;YEAR(NymexData!$AA$12:$AA$250)=MONTH(A94)&amp;YEAR(A94),NymexData!$AB$12:$AB$250)))</f>
        <v>4.0609999999999999</v>
      </c>
      <c r="H94" s="99">
        <f t="shared" si="26"/>
        <v>62735.78817239972</v>
      </c>
      <c r="I94" s="92">
        <f t="shared" si="27"/>
        <v>0</v>
      </c>
      <c r="J94" s="92">
        <f t="shared" si="20"/>
        <v>62735.78817239972</v>
      </c>
      <c r="L94" s="378"/>
      <c r="O94" s="47">
        <f t="shared" si="31"/>
        <v>39692</v>
      </c>
      <c r="BD94" s="48">
        <f t="shared" si="32"/>
        <v>0</v>
      </c>
      <c r="BE94" s="334">
        <f t="shared" si="33"/>
        <v>0</v>
      </c>
      <c r="BG94" s="51">
        <f t="shared" si="34"/>
        <v>39692</v>
      </c>
      <c r="BH94" s="335">
        <f t="shared" si="35"/>
        <v>0</v>
      </c>
      <c r="BI94" s="52">
        <f>VLOOKUP(GasPosn!A94,'Pricing Summary'!$AB$12:$AD$250,3)</f>
        <v>30</v>
      </c>
      <c r="BJ94" s="50">
        <f>VLOOKUP(A94,Interest!$AF$8:$AK$367,6)</f>
        <v>0.70933179214243081</v>
      </c>
      <c r="BL94">
        <f>J94*VLOOKUP(A94,NymexData!$J$12:$K$244,2)</f>
        <v>98934.080351474011</v>
      </c>
      <c r="BO94">
        <f>Interest!AK90</f>
        <v>0.70933179214243081</v>
      </c>
      <c r="BP94">
        <f>G94*Interest!AK90</f>
        <v>2.8805964078904114</v>
      </c>
      <c r="BQ94">
        <f t="shared" si="28"/>
        <v>1</v>
      </c>
      <c r="BR94">
        <f t="shared" si="29"/>
        <v>0.70933179214243081</v>
      </c>
      <c r="BS94">
        <f t="shared" si="30"/>
        <v>2.8805964078904114</v>
      </c>
    </row>
    <row r="95" spans="1:71" ht="18" x14ac:dyDescent="0.25">
      <c r="A95" s="100">
        <f>[4]EnergyCurve!$D117</f>
        <v>39722</v>
      </c>
      <c r="B95" s="329">
        <f t="array" ref="B95">SUM(IF(MONTH(NymexData!$AI$12:$AI$250)&amp;YEAR(NymexData!$AI$12:$AI$250)=MONTH(A95)&amp;YEAR(A95),NymexData!$AJ$12:$AJ$250))</f>
        <v>-153.53468522</v>
      </c>
      <c r="C95" s="330">
        <f t="shared" si="25"/>
        <v>0</v>
      </c>
      <c r="D95" s="331">
        <f t="shared" si="19"/>
        <v>-153.53468522</v>
      </c>
      <c r="E95" s="332">
        <f t="array" ref="E95">SUM(IF(MONTH(NymexData!$S$12:$S$250)&amp;YEAR(NymexData!$S$12:$S$250)=MONTH(A95)&amp;YEAR(A95),NymexData!$T$12:$T$250))</f>
        <v>4.1029999999999998</v>
      </c>
      <c r="F95" s="332">
        <f t="shared" si="5"/>
        <v>-4.1999999999999815E-2</v>
      </c>
      <c r="G95" s="333">
        <f t="array" ref="G95">IF(NymexData!$AA$12="",GasPosn!E95,SUM(IF(MONTH(NymexData!$AA$12:$AA$250)&amp;YEAR(NymexData!$AA$12:$AA$250)=MONTH(A95)&amp;YEAR(A95),NymexData!$AB$12:$AB$250)))</f>
        <v>4.0609999999999999</v>
      </c>
      <c r="H95" s="85">
        <f t="shared" si="26"/>
        <v>64484.567792399721</v>
      </c>
      <c r="I95" s="88">
        <f t="shared" si="27"/>
        <v>0</v>
      </c>
      <c r="J95" s="88">
        <f t="shared" si="20"/>
        <v>64484.567792399721</v>
      </c>
      <c r="L95" s="378"/>
      <c r="O95" s="47">
        <f t="shared" si="31"/>
        <v>39722</v>
      </c>
      <c r="BD95" s="48">
        <f t="shared" si="32"/>
        <v>0</v>
      </c>
      <c r="BE95" s="334">
        <f t="shared" si="33"/>
        <v>0</v>
      </c>
      <c r="BG95" s="51">
        <f t="shared" si="34"/>
        <v>39722</v>
      </c>
      <c r="BH95" s="335">
        <f t="shared" si="35"/>
        <v>0</v>
      </c>
      <c r="BI95" s="52">
        <f>VLOOKUP(GasPosn!A95,'Pricing Summary'!$AB$12:$AD$250,3)</f>
        <v>31</v>
      </c>
      <c r="BJ95" s="50">
        <f>VLOOKUP(A95,Interest!$AF$8:$AK$367,6)</f>
        <v>0.70546422117749141</v>
      </c>
      <c r="BL95">
        <f>J95*VLOOKUP(A95,NymexData!$J$12:$K$244,2)</f>
        <v>101688.10894905069</v>
      </c>
      <c r="BO95">
        <f>Interest!AK91</f>
        <v>0.70546422117749141</v>
      </c>
      <c r="BP95">
        <f>G95*Interest!AK91</f>
        <v>2.8648902022017926</v>
      </c>
      <c r="BQ95">
        <f t="shared" si="28"/>
        <v>1</v>
      </c>
      <c r="BR95">
        <f t="shared" si="29"/>
        <v>0.70546422117749141</v>
      </c>
      <c r="BS95">
        <f t="shared" si="30"/>
        <v>2.8648902022017926</v>
      </c>
    </row>
    <row r="96" spans="1:71" ht="18" x14ac:dyDescent="0.25">
      <c r="A96" s="98">
        <f>[4]EnergyCurve!$D118</f>
        <v>39753</v>
      </c>
      <c r="B96" s="324">
        <f t="array" ref="B96">SUM(IF(MONTH(NymexData!$AI$12:$AI$250)&amp;YEAR(NymexData!$AI$12:$AI$250)=MONTH(A96)&amp;YEAR(A96),NymexData!$AJ$12:$AJ$250))</f>
        <v>-147.76661424</v>
      </c>
      <c r="C96" s="324">
        <f t="shared" si="25"/>
        <v>0</v>
      </c>
      <c r="D96" s="326">
        <f t="shared" si="19"/>
        <v>-147.76661424</v>
      </c>
      <c r="E96" s="327">
        <f t="array" ref="E96">SUM(IF(MONTH(NymexData!$S$12:$S$250)&amp;YEAR(NymexData!$S$12:$S$250)=MONTH(A96)&amp;YEAR(A96),NymexData!$T$12:$T$250))</f>
        <v>4.2510000000000003</v>
      </c>
      <c r="F96" s="327">
        <f t="shared" si="5"/>
        <v>-4.1000000000000369E-2</v>
      </c>
      <c r="G96" s="328">
        <f t="array" ref="G96">IF(NymexData!$AA$12="",GasPosn!E96,SUM(IF(MONTH(NymexData!$AA$12:$AA$250)&amp;YEAR(NymexData!$AA$12:$AA$250)=MONTH(A96)&amp;YEAR(A96),NymexData!$AB$12:$AB$250)))</f>
        <v>4.21</v>
      </c>
      <c r="H96" s="99">
        <f t="shared" si="26"/>
        <v>60584.311838400543</v>
      </c>
      <c r="I96" s="92">
        <f t="shared" si="27"/>
        <v>0</v>
      </c>
      <c r="J96" s="92">
        <f t="shared" si="20"/>
        <v>60584.311838400543</v>
      </c>
      <c r="L96" s="378"/>
      <c r="O96" s="47">
        <f t="shared" si="31"/>
        <v>39753</v>
      </c>
      <c r="BD96" s="48">
        <f t="shared" si="32"/>
        <v>0</v>
      </c>
      <c r="BE96" s="334">
        <f t="shared" si="33"/>
        <v>0</v>
      </c>
      <c r="BG96" s="51">
        <f t="shared" si="34"/>
        <v>39753</v>
      </c>
      <c r="BH96" s="335">
        <f t="shared" si="35"/>
        <v>0</v>
      </c>
      <c r="BI96" s="52">
        <f>VLOOKUP(GasPosn!A96,'Pricing Summary'!$AB$12:$AD$250,3)</f>
        <v>30</v>
      </c>
      <c r="BJ96" s="50">
        <f>VLOOKUP(A96,Interest!$AF$8:$AK$367,6)</f>
        <v>0.70172711217841266</v>
      </c>
      <c r="BL96">
        <f>J96*VLOOKUP(A96,NymexData!$J$12:$K$244,2)</f>
        <v>95538.919247632031</v>
      </c>
      <c r="BO96">
        <f>Interest!AK92</f>
        <v>0.70172711217841266</v>
      </c>
      <c r="BP96">
        <f>G96*Interest!AK92</f>
        <v>2.9542711422711174</v>
      </c>
      <c r="BQ96">
        <f t="shared" si="28"/>
        <v>1</v>
      </c>
      <c r="BR96">
        <f t="shared" si="29"/>
        <v>0.70172711217841266</v>
      </c>
      <c r="BS96">
        <f t="shared" si="30"/>
        <v>2.9542711422711174</v>
      </c>
    </row>
    <row r="97" spans="1:71" ht="18" x14ac:dyDescent="0.25">
      <c r="A97" s="100">
        <f>[4]EnergyCurve!$D119</f>
        <v>39783</v>
      </c>
      <c r="B97" s="329">
        <f t="array" ref="B97">SUM(IF(MONTH(NymexData!$AI$12:$AI$250)&amp;YEAR(NymexData!$AI$12:$AI$250)=MONTH(A97)&amp;YEAR(A97),NymexData!$AJ$12:$AJ$250))</f>
        <v>-151.87680843999999</v>
      </c>
      <c r="C97" s="330">
        <f t="shared" si="25"/>
        <v>0</v>
      </c>
      <c r="D97" s="331">
        <f t="shared" si="19"/>
        <v>-151.87680843999999</v>
      </c>
      <c r="E97" s="332">
        <f t="array" ref="E97">SUM(IF(MONTH(NymexData!$S$12:$S$250)&amp;YEAR(NymexData!$S$12:$S$250)=MONTH(A97)&amp;YEAR(A97),NymexData!$T$12:$T$250))</f>
        <v>4.4030000000000005</v>
      </c>
      <c r="F97" s="332">
        <f t="shared" si="5"/>
        <v>-4.1000000000000369E-2</v>
      </c>
      <c r="G97" s="333">
        <f t="array" ref="G97">IF(NymexData!$AA$12="",GasPosn!E97,SUM(IF(MONTH(NymexData!$AA$12:$AA$250)&amp;YEAR(NymexData!$AA$12:$AA$250)=MONTH(A97)&amp;YEAR(A97),NymexData!$AB$12:$AB$250)))</f>
        <v>4.3620000000000001</v>
      </c>
      <c r="H97" s="85">
        <f t="shared" si="26"/>
        <v>62269.491460400553</v>
      </c>
      <c r="I97" s="88">
        <f t="shared" si="27"/>
        <v>0</v>
      </c>
      <c r="J97" s="88">
        <f t="shared" si="20"/>
        <v>62269.491460400553</v>
      </c>
      <c r="L97" s="378"/>
      <c r="O97" s="47">
        <f t="shared" si="31"/>
        <v>39783</v>
      </c>
      <c r="BD97" s="48">
        <f t="shared" si="32"/>
        <v>0</v>
      </c>
      <c r="BE97" s="334">
        <f t="shared" si="33"/>
        <v>0</v>
      </c>
      <c r="BG97" s="51">
        <f t="shared" si="34"/>
        <v>39783</v>
      </c>
      <c r="BH97" s="335">
        <f t="shared" si="35"/>
        <v>0</v>
      </c>
      <c r="BI97" s="52">
        <f>VLOOKUP(GasPosn!A97,'Pricing Summary'!$AB$12:$AD$250,3)</f>
        <v>31</v>
      </c>
      <c r="BJ97" s="50">
        <f>VLOOKUP(A97,Interest!$AF$8:$AK$367,6)</f>
        <v>0.69825297092911909</v>
      </c>
      <c r="BL97">
        <f>J97*VLOOKUP(A97,NymexData!$J$12:$K$244,2)</f>
        <v>98245.579686962708</v>
      </c>
      <c r="BO97">
        <f>Interest!AK93</f>
        <v>0.69825297092911909</v>
      </c>
      <c r="BP97">
        <f>G97*Interest!AK93</f>
        <v>3.0457794591928176</v>
      </c>
      <c r="BQ97">
        <f t="shared" si="28"/>
        <v>1</v>
      </c>
      <c r="BR97">
        <f t="shared" si="29"/>
        <v>0.69825297092911909</v>
      </c>
      <c r="BS97">
        <f t="shared" si="30"/>
        <v>3.0457794591928176</v>
      </c>
    </row>
    <row r="98" spans="1:71" ht="18" x14ac:dyDescent="0.25">
      <c r="A98" s="98">
        <f>[4]EnergyCurve!$D120</f>
        <v>39814</v>
      </c>
      <c r="B98" s="324">
        <f t="array" ref="B98">SUM(IF(MONTH(NymexData!$AI$12:$AI$250)&amp;YEAR(NymexData!$AI$12:$AI$250)=MONTH(A98)&amp;YEAR(A98),NymexData!$AJ$12:$AJ$250))</f>
        <v>-151.03429964</v>
      </c>
      <c r="C98" s="324">
        <f t="shared" si="25"/>
        <v>0</v>
      </c>
      <c r="D98" s="326">
        <f t="shared" si="19"/>
        <v>-151.03429964</v>
      </c>
      <c r="E98" s="327">
        <f t="array" ref="E98">SUM(IF(MONTH(NymexData!$S$12:$S$250)&amp;YEAR(NymexData!$S$12:$S$250)=MONTH(A98)&amp;YEAR(A98),NymexData!$T$12:$T$250))</f>
        <v>4.468</v>
      </c>
      <c r="F98" s="327">
        <f t="shared" si="5"/>
        <v>-3.5999999999999588E-2</v>
      </c>
      <c r="G98" s="328">
        <f t="array" ref="G98">IF(NymexData!$AA$12="",GasPosn!E98,SUM(IF(MONTH(NymexData!$AA$12:$AA$250)&amp;YEAR(NymexData!$AA$12:$AA$250)=MONTH(A98)&amp;YEAR(A98),NymexData!$AB$12:$AB$250)))</f>
        <v>4.4320000000000004</v>
      </c>
      <c r="H98" s="99">
        <f t="shared" si="26"/>
        <v>54372.347870399382</v>
      </c>
      <c r="I98" s="92">
        <f t="shared" si="27"/>
        <v>0</v>
      </c>
      <c r="J98" s="92">
        <f t="shared" si="20"/>
        <v>54372.347870399382</v>
      </c>
      <c r="L98" s="378"/>
      <c r="O98" s="47">
        <f t="shared" si="31"/>
        <v>39814</v>
      </c>
      <c r="BD98" s="48">
        <f t="shared" si="32"/>
        <v>0</v>
      </c>
      <c r="BE98" s="334">
        <f t="shared" si="33"/>
        <v>0</v>
      </c>
      <c r="BG98" s="51">
        <f t="shared" si="34"/>
        <v>39814</v>
      </c>
      <c r="BH98" s="335">
        <f t="shared" si="35"/>
        <v>0</v>
      </c>
      <c r="BI98" s="52">
        <f>VLOOKUP(GasPosn!A98,'Pricing Summary'!$AB$12:$AD$250,3)</f>
        <v>31</v>
      </c>
      <c r="BJ98" s="50">
        <f>VLOOKUP(A98,Interest!$AF$8:$AK$367,6)</f>
        <v>0.6947667275091165</v>
      </c>
      <c r="BL98">
        <f>J98*VLOOKUP(A98,NymexData!$J$12:$K$244,2)</f>
        <v>85831.270522584789</v>
      </c>
      <c r="BO98">
        <f>Interest!AK94</f>
        <v>0.6947667275091165</v>
      </c>
      <c r="BP98">
        <f>G98*Interest!AK94</f>
        <v>3.0792061363204044</v>
      </c>
      <c r="BQ98">
        <f t="shared" si="28"/>
        <v>1</v>
      </c>
      <c r="BR98">
        <f t="shared" si="29"/>
        <v>0.6947667275091165</v>
      </c>
      <c r="BS98">
        <f t="shared" si="30"/>
        <v>3.0792061363204044</v>
      </c>
    </row>
    <row r="99" spans="1:71" ht="18" x14ac:dyDescent="0.25">
      <c r="A99" s="100">
        <f>[4]EnergyCurve!$D121</f>
        <v>39845</v>
      </c>
      <c r="B99" s="329">
        <f t="array" ref="B99">SUM(IF(MONTH(NymexData!$AI$12:$AI$250)&amp;YEAR(NymexData!$AI$12:$AI$250)=MONTH(A99)&amp;YEAR(A99),NymexData!$AJ$12:$AJ$250))</f>
        <v>-135.65717480000001</v>
      </c>
      <c r="C99" s="330">
        <f t="shared" si="25"/>
        <v>0</v>
      </c>
      <c r="D99" s="331">
        <f t="shared" si="19"/>
        <v>-135.65717480000001</v>
      </c>
      <c r="E99" s="332">
        <f t="array" ref="E99">SUM(IF(MONTH(NymexData!$S$12:$S$250)&amp;YEAR(NymexData!$S$12:$S$250)=MONTH(A99)&amp;YEAR(A99),NymexData!$T$12:$T$250))</f>
        <v>4.3810000000000002</v>
      </c>
      <c r="F99" s="332">
        <f t="shared" si="5"/>
        <v>-3.6999999999999922E-2</v>
      </c>
      <c r="G99" s="333">
        <f t="array" ref="G99">IF(NymexData!$AA$12="",GasPosn!E99,SUM(IF(MONTH(NymexData!$AA$12:$AA$250)&amp;YEAR(NymexData!$AA$12:$AA$250)=MONTH(A99)&amp;YEAR(A99),NymexData!$AB$12:$AB$250)))</f>
        <v>4.3440000000000003</v>
      </c>
      <c r="H99" s="85">
        <f t="shared" si="26"/>
        <v>50193.154675999896</v>
      </c>
      <c r="I99" s="88">
        <f t="shared" si="27"/>
        <v>0</v>
      </c>
      <c r="J99" s="88">
        <f t="shared" si="20"/>
        <v>50193.154675999896</v>
      </c>
      <c r="L99" s="378"/>
      <c r="O99" s="47">
        <f t="shared" si="31"/>
        <v>39845</v>
      </c>
      <c r="BD99" s="48">
        <f t="shared" si="32"/>
        <v>0</v>
      </c>
      <c r="BE99" s="334">
        <f t="shared" si="33"/>
        <v>0</v>
      </c>
      <c r="BG99" s="51">
        <f t="shared" si="34"/>
        <v>39845</v>
      </c>
      <c r="BH99" s="335">
        <f t="shared" si="35"/>
        <v>0</v>
      </c>
      <c r="BI99" s="52">
        <f>VLOOKUP(GasPosn!A99,'Pricing Summary'!$AB$12:$AD$250,3)</f>
        <v>28</v>
      </c>
      <c r="BJ99" s="50">
        <f>VLOOKUP(A99,Interest!$AF$8:$AK$367,6)</f>
        <v>0.69157009976106687</v>
      </c>
      <c r="BL99">
        <f>J99*VLOOKUP(A99,NymexData!$J$12:$K$244,2)</f>
        <v>79276.912348154015</v>
      </c>
      <c r="BO99">
        <f>Interest!AK95</f>
        <v>0.69157009976106687</v>
      </c>
      <c r="BP99">
        <f>G99*Interest!AK95</f>
        <v>3.0041805133620745</v>
      </c>
      <c r="BQ99">
        <f t="shared" si="28"/>
        <v>1</v>
      </c>
      <c r="BR99">
        <f t="shared" si="29"/>
        <v>0.69157009976106687</v>
      </c>
      <c r="BS99">
        <f t="shared" si="30"/>
        <v>3.0041805133620745</v>
      </c>
    </row>
    <row r="100" spans="1:71" ht="18" x14ac:dyDescent="0.25">
      <c r="A100" s="98">
        <f>[4]EnergyCurve!$D122</f>
        <v>39873</v>
      </c>
      <c r="B100" s="324">
        <f t="array" ref="B100">SUM(IF(MONTH(NymexData!$AI$12:$AI$250)&amp;YEAR(NymexData!$AI$12:$AI$250)=MONTH(A100)&amp;YEAR(A100),NymexData!$AJ$12:$AJ$250))</f>
        <v>-149.4310825</v>
      </c>
      <c r="C100" s="324">
        <f t="shared" si="25"/>
        <v>0</v>
      </c>
      <c r="D100" s="326">
        <f t="shared" si="19"/>
        <v>-149.4310825</v>
      </c>
      <c r="E100" s="327">
        <f t="array" ref="E100">SUM(IF(MONTH(NymexData!$S$12:$S$250)&amp;YEAR(NymexData!$S$12:$S$250)=MONTH(A100)&amp;YEAR(A100),NymexData!$T$12:$T$250))</f>
        <v>4.242</v>
      </c>
      <c r="F100" s="327">
        <f t="shared" si="5"/>
        <v>-3.6999999999999922E-2</v>
      </c>
      <c r="G100" s="328">
        <f t="array" ref="G100">IF(NymexData!$AA$12="",GasPosn!E100,SUM(IF(MONTH(NymexData!$AA$12:$AA$250)&amp;YEAR(NymexData!$AA$12:$AA$250)=MONTH(A100)&amp;YEAR(A100),NymexData!$AB$12:$AB$250)))</f>
        <v>4.2050000000000001</v>
      </c>
      <c r="H100" s="99">
        <f t="shared" si="26"/>
        <v>55289.500524999879</v>
      </c>
      <c r="I100" s="92">
        <f t="shared" si="27"/>
        <v>0</v>
      </c>
      <c r="J100" s="92">
        <f t="shared" si="20"/>
        <v>55289.500524999879</v>
      </c>
      <c r="L100" s="378"/>
      <c r="O100" s="47">
        <f t="shared" si="31"/>
        <v>39873</v>
      </c>
      <c r="BD100" s="48">
        <f t="shared" si="32"/>
        <v>0</v>
      </c>
      <c r="BE100" s="334">
        <f t="shared" si="33"/>
        <v>0</v>
      </c>
      <c r="BG100" s="51">
        <f t="shared" si="34"/>
        <v>39873</v>
      </c>
      <c r="BH100" s="335">
        <f t="shared" si="35"/>
        <v>0</v>
      </c>
      <c r="BI100" s="52">
        <f>VLOOKUP(GasPosn!A100,'Pricing Summary'!$AB$12:$AD$250,3)</f>
        <v>31</v>
      </c>
      <c r="BJ100" s="50">
        <f>VLOOKUP(A100,Interest!$AF$8:$AK$367,6)</f>
        <v>0.6881455884701001</v>
      </c>
      <c r="BL100">
        <f>J100*VLOOKUP(A100,NymexData!$J$12:$K$244,2)</f>
        <v>87369.787728435258</v>
      </c>
      <c r="BO100">
        <f>Interest!AK96</f>
        <v>0.6881455884701001</v>
      </c>
      <c r="BP100">
        <f>G100*Interest!AK96</f>
        <v>2.893652199516771</v>
      </c>
      <c r="BQ100">
        <f t="shared" si="28"/>
        <v>1</v>
      </c>
      <c r="BR100">
        <f t="shared" si="29"/>
        <v>0.6881455884701001</v>
      </c>
      <c r="BS100">
        <f t="shared" si="30"/>
        <v>2.893652199516771</v>
      </c>
    </row>
    <row r="101" spans="1:71" ht="18" x14ac:dyDescent="0.25">
      <c r="A101" s="100">
        <f>[4]EnergyCurve!$D123</f>
        <v>39904</v>
      </c>
      <c r="B101" s="329">
        <f t="array" ref="B101">SUM(IF(MONTH(NymexData!$AI$12:$AI$250)&amp;YEAR(NymexData!$AI$12:$AI$250)=MONTH(A101)&amp;YEAR(A101),NymexData!$AJ$12:$AJ$250))</f>
        <v>-143.79575994000001</v>
      </c>
      <c r="C101" s="330">
        <f t="shared" si="25"/>
        <v>0</v>
      </c>
      <c r="D101" s="331">
        <f t="shared" si="19"/>
        <v>-143.79575994000001</v>
      </c>
      <c r="E101" s="332">
        <f t="array" ref="E101">SUM(IF(MONTH(NymexData!$S$12:$S$250)&amp;YEAR(NymexData!$S$12:$S$250)=MONTH(A101)&amp;YEAR(A101),NymexData!$T$12:$T$250))</f>
        <v>4.0880000000000001</v>
      </c>
      <c r="F101" s="332">
        <f t="shared" si="5"/>
        <v>-3.6999999999999922E-2</v>
      </c>
      <c r="G101" s="333">
        <f t="array" ref="G101">IF(NymexData!$AA$12="",GasPosn!E101,SUM(IF(MONTH(NymexData!$AA$12:$AA$250)&amp;YEAR(NymexData!$AA$12:$AA$250)=MONTH(A101)&amp;YEAR(A101),NymexData!$AB$12:$AB$250)))</f>
        <v>4.0510000000000002</v>
      </c>
      <c r="H101" s="85">
        <f t="shared" si="26"/>
        <v>53204.431177799896</v>
      </c>
      <c r="I101" s="88">
        <f t="shared" si="27"/>
        <v>0</v>
      </c>
      <c r="J101" s="88">
        <f t="shared" si="20"/>
        <v>53204.431177799896</v>
      </c>
      <c r="L101" s="378"/>
      <c r="O101" s="47">
        <f t="shared" si="31"/>
        <v>39904</v>
      </c>
      <c r="BD101" s="48">
        <f t="shared" si="32"/>
        <v>0</v>
      </c>
      <c r="BE101" s="334">
        <f t="shared" si="33"/>
        <v>0</v>
      </c>
      <c r="BG101" s="51">
        <f t="shared" si="34"/>
        <v>39904</v>
      </c>
      <c r="BH101" s="335">
        <f t="shared" si="35"/>
        <v>0</v>
      </c>
      <c r="BI101" s="52">
        <f>VLOOKUP(GasPosn!A101,'Pricing Summary'!$AB$12:$AD$250,3)</f>
        <v>30</v>
      </c>
      <c r="BJ101" s="50">
        <f>VLOOKUP(A101,Interest!$AF$8:$AK$367,6)</f>
        <v>0.68476853354713207</v>
      </c>
      <c r="BL101">
        <f>J101*VLOOKUP(A101,NymexData!$J$12:$K$244,2)</f>
        <v>84122.227167485398</v>
      </c>
      <c r="BO101">
        <f>Interest!AK97</f>
        <v>0.68476853354713207</v>
      </c>
      <c r="BP101">
        <f>G101*Interest!AK97</f>
        <v>2.7739973293994322</v>
      </c>
      <c r="BQ101">
        <f t="shared" si="28"/>
        <v>1</v>
      </c>
      <c r="BR101">
        <f t="shared" si="29"/>
        <v>0.68476853354713207</v>
      </c>
      <c r="BS101">
        <f t="shared" si="30"/>
        <v>2.7739973293994322</v>
      </c>
    </row>
    <row r="102" spans="1:71" ht="18" x14ac:dyDescent="0.25">
      <c r="A102" s="98">
        <f>[4]EnergyCurve!$D124</f>
        <v>39934</v>
      </c>
      <c r="B102" s="324">
        <f t="array" ref="B102">SUM(IF(MONTH(NymexData!$AI$12:$AI$250)&amp;YEAR(NymexData!$AI$12:$AI$250)=MONTH(A102)&amp;YEAR(A102),NymexData!$AJ$12:$AJ$250))</f>
        <v>-147.77420531999999</v>
      </c>
      <c r="C102" s="324">
        <f t="shared" si="25"/>
        <v>0</v>
      </c>
      <c r="D102" s="326">
        <f t="shared" si="19"/>
        <v>-147.77420531999999</v>
      </c>
      <c r="E102" s="327">
        <f t="array" ref="E102">SUM(IF(MONTH(NymexData!$S$12:$S$250)&amp;YEAR(NymexData!$S$12:$S$250)=MONTH(A102)&amp;YEAR(A102),NymexData!$T$12:$T$250))</f>
        <v>4.093</v>
      </c>
      <c r="F102" s="327">
        <f t="shared" si="5"/>
        <v>-3.6999999999999922E-2</v>
      </c>
      <c r="G102" s="328">
        <f t="array" ref="G102">IF(NymexData!$AA$12="",GasPosn!E102,SUM(IF(MONTH(NymexData!$AA$12:$AA$250)&amp;YEAR(NymexData!$AA$12:$AA$250)=MONTH(A102)&amp;YEAR(A102),NymexData!$AB$12:$AB$250)))</f>
        <v>4.056</v>
      </c>
      <c r="H102" s="99">
        <f t="shared" si="26"/>
        <v>54676.455968399881</v>
      </c>
      <c r="I102" s="92">
        <f t="shared" si="27"/>
        <v>0</v>
      </c>
      <c r="J102" s="92">
        <f t="shared" si="20"/>
        <v>54676.455968399881</v>
      </c>
      <c r="L102" s="378"/>
      <c r="O102" s="47">
        <f t="shared" si="31"/>
        <v>39934</v>
      </c>
      <c r="BD102" s="48">
        <f t="shared" si="32"/>
        <v>0</v>
      </c>
      <c r="BE102" s="334">
        <f t="shared" si="33"/>
        <v>0</v>
      </c>
      <c r="BG102" s="51">
        <f t="shared" si="34"/>
        <v>39934</v>
      </c>
      <c r="BH102" s="335">
        <f t="shared" si="35"/>
        <v>0</v>
      </c>
      <c r="BI102" s="52">
        <f>VLOOKUP(GasPosn!A102,'Pricing Summary'!$AB$12:$AD$250,3)</f>
        <v>31</v>
      </c>
      <c r="BJ102" s="50">
        <f>VLOOKUP(A102,Interest!$AF$8:$AK$367,6)</f>
        <v>0.68131987728758214</v>
      </c>
      <c r="BL102">
        <f>J102*VLOOKUP(A102,NymexData!$J$12:$K$244,2)</f>
        <v>86497.699940333012</v>
      </c>
      <c r="BO102">
        <f>Interest!AK98</f>
        <v>0.68131987728758214</v>
      </c>
      <c r="BP102">
        <f>G102*Interest!AK98</f>
        <v>2.7634334222784331</v>
      </c>
      <c r="BQ102">
        <f t="shared" si="28"/>
        <v>1</v>
      </c>
      <c r="BR102">
        <f t="shared" si="29"/>
        <v>0.68131987728758214</v>
      </c>
      <c r="BS102">
        <f t="shared" si="30"/>
        <v>2.7634334222784331</v>
      </c>
    </row>
    <row r="103" spans="1:71" ht="18" x14ac:dyDescent="0.25">
      <c r="A103" s="100">
        <f>[4]EnergyCurve!$D125</f>
        <v>39965</v>
      </c>
      <c r="B103" s="329">
        <f t="array" ref="B103">SUM(IF(MONTH(NymexData!$AI$12:$AI$250)&amp;YEAR(NymexData!$AI$12:$AI$250)=MONTH(A103)&amp;YEAR(A103),NymexData!$AJ$12:$AJ$250))</f>
        <v>-142.19281509999999</v>
      </c>
      <c r="C103" s="330">
        <f t="shared" si="25"/>
        <v>0</v>
      </c>
      <c r="D103" s="331">
        <f t="shared" si="19"/>
        <v>-142.19281509999999</v>
      </c>
      <c r="E103" s="332">
        <f t="array" ref="E103">SUM(IF(MONTH(NymexData!$S$12:$S$250)&amp;YEAR(NymexData!$S$12:$S$250)=MONTH(A103)&amp;YEAR(A103),NymexData!$T$12:$T$250))</f>
        <v>4.1310000000000002</v>
      </c>
      <c r="F103" s="332">
        <f t="shared" si="5"/>
        <v>-3.6999999999999922E-2</v>
      </c>
      <c r="G103" s="333">
        <f t="array" ref="G103">IF(NymexData!$AA$12="",GasPosn!E103,SUM(IF(MONTH(NymexData!$AA$12:$AA$250)&amp;YEAR(NymexData!$AA$12:$AA$250)=MONTH(A103)&amp;YEAR(A103),NymexData!$AB$12:$AB$250)))</f>
        <v>4.0940000000000003</v>
      </c>
      <c r="H103" s="85">
        <f t="shared" si="26"/>
        <v>52611.341586999886</v>
      </c>
      <c r="I103" s="88">
        <f t="shared" si="27"/>
        <v>0</v>
      </c>
      <c r="J103" s="88">
        <f t="shared" si="20"/>
        <v>52611.341586999886</v>
      </c>
      <c r="L103" s="378"/>
      <c r="O103" s="47">
        <f t="shared" si="31"/>
        <v>39965</v>
      </c>
      <c r="BD103" s="48">
        <f t="shared" si="32"/>
        <v>0</v>
      </c>
      <c r="BE103" s="334">
        <f t="shared" si="33"/>
        <v>0</v>
      </c>
      <c r="BG103" s="51">
        <f t="shared" si="34"/>
        <v>39965</v>
      </c>
      <c r="BH103" s="335">
        <f t="shared" si="35"/>
        <v>0</v>
      </c>
      <c r="BI103" s="52">
        <f>VLOOKUP(GasPosn!A103,'Pricing Summary'!$AB$12:$AD$250,3)</f>
        <v>30</v>
      </c>
      <c r="BJ103" s="50">
        <f>VLOOKUP(A103,Interest!$AF$8:$AK$367,6)</f>
        <v>0.67795282095455944</v>
      </c>
      <c r="BL103">
        <f>J103*VLOOKUP(A103,NymexData!$J$12:$K$244,2)</f>
        <v>83279.442033473897</v>
      </c>
      <c r="BO103">
        <f>Interest!AK99</f>
        <v>0.67795282095455944</v>
      </c>
      <c r="BP103">
        <f>G103*Interest!AK99</f>
        <v>2.7755388489879667</v>
      </c>
      <c r="BQ103">
        <f t="shared" si="28"/>
        <v>1</v>
      </c>
      <c r="BR103">
        <f t="shared" si="29"/>
        <v>0.67795282095455944</v>
      </c>
      <c r="BS103">
        <f t="shared" si="30"/>
        <v>2.7755388489879667</v>
      </c>
    </row>
    <row r="104" spans="1:71" ht="18" x14ac:dyDescent="0.25">
      <c r="A104" s="98">
        <f>[4]EnergyCurve!$D126</f>
        <v>39995</v>
      </c>
      <c r="B104" s="324">
        <f t="array" ref="B104">SUM(IF(MONTH(NymexData!$AI$12:$AI$250)&amp;YEAR(NymexData!$AI$12:$AI$250)=MONTH(A104)&amp;YEAR(A104),NymexData!$AJ$12:$AJ$250))</f>
        <v>-146.11840838000001</v>
      </c>
      <c r="C104" s="324">
        <f t="shared" si="25"/>
        <v>0</v>
      </c>
      <c r="D104" s="326">
        <f t="shared" si="19"/>
        <v>-146.11840838000001</v>
      </c>
      <c r="E104" s="327">
        <f t="array" ref="E104">SUM(IF(MONTH(NymexData!$S$12:$S$250)&amp;YEAR(NymexData!$S$12:$S$250)=MONTH(A104)&amp;YEAR(A104),NymexData!$T$12:$T$250))</f>
        <v>4.1760000000000002</v>
      </c>
      <c r="F104" s="327">
        <f t="shared" si="5"/>
        <v>-3.6999999999999922E-2</v>
      </c>
      <c r="G104" s="328">
        <f t="array" ref="G104">IF(NymexData!$AA$12="",GasPosn!E104,SUM(IF(MONTH(NymexData!$AA$12:$AA$250)&amp;YEAR(NymexData!$AA$12:$AA$250)=MONTH(A104)&amp;YEAR(A104),NymexData!$AB$12:$AB$250)))</f>
        <v>4.1390000000000002</v>
      </c>
      <c r="H104" s="99">
        <f t="shared" si="26"/>
        <v>54063.811100599894</v>
      </c>
      <c r="I104" s="92">
        <f t="shared" si="27"/>
        <v>0</v>
      </c>
      <c r="J104" s="92">
        <f t="shared" si="20"/>
        <v>54063.811100599894</v>
      </c>
      <c r="L104" s="378"/>
      <c r="O104" s="47">
        <f t="shared" si="31"/>
        <v>39995</v>
      </c>
      <c r="BD104" s="48">
        <f>(P104+R104+T104+V104+X104+Z104+AB104+AD104+AF104+AH104+AJ104+AL104+AN104+AP104+AR104+AT104+AV104+AX104+AZ104+BB104)</f>
        <v>0</v>
      </c>
      <c r="BE104" s="334">
        <f>IF(AND(BD104=0,BH104=0),0,(ABS(P104)*Q104+ABS(R104)*S104+ABS(T104)*U104+ABS(V104)*W104+ABS(X104)*Y104+ABS(Z104)*AA104+ABS(AB104)*AC104+ABS(AD104)*AE104+ABS(AF104)*AG104+ABS(AH104)*AI104+ABS(AJ104)*AK104+ABS(AL104)*AM104+ABS(AN104)*AO104+ABS(AP104)*AQ104+ABS(AR104)*AS104+ABS(AT104)*AU104+ABS(AV104)*AW104+ABS(AX104)*AY104+ABS(AZ104)*BA104+ABS(BB104)*BC104)/BH104)</f>
        <v>0</v>
      </c>
      <c r="BG104" s="51">
        <f t="shared" si="34"/>
        <v>39995</v>
      </c>
      <c r="BH104" s="335">
        <f t="shared" si="35"/>
        <v>0</v>
      </c>
      <c r="BI104" s="52">
        <f>VLOOKUP(GasPosn!A104,'Pricing Summary'!$AB$12:$AD$250,3)</f>
        <v>31</v>
      </c>
      <c r="BJ104" s="50">
        <f>VLOOKUP(A104,Interest!$AF$8:$AK$367,6)</f>
        <v>0.67451511099680994</v>
      </c>
      <c r="BL104">
        <f>J104*VLOOKUP(A104,NymexData!$J$12:$K$244,2)</f>
        <v>85628.018663067662</v>
      </c>
      <c r="BO104">
        <f>Interest!AK100</f>
        <v>0.67451511099680994</v>
      </c>
      <c r="BP104">
        <f>G104*Interest!AK100</f>
        <v>2.7918180444157965</v>
      </c>
      <c r="BQ104">
        <f t="shared" si="28"/>
        <v>1</v>
      </c>
      <c r="BR104">
        <f t="shared" si="29"/>
        <v>0.67451511099680994</v>
      </c>
      <c r="BS104">
        <f t="shared" si="30"/>
        <v>2.7918180444157965</v>
      </c>
    </row>
    <row r="105" spans="1:71" ht="18" x14ac:dyDescent="0.25">
      <c r="A105" s="100">
        <f>[4]EnergyCurve!$D127</f>
        <v>40026</v>
      </c>
      <c r="B105" s="329">
        <f t="array" ref="B105">SUM(IF(MONTH(NymexData!$AI$12:$AI$250)&amp;YEAR(NymexData!$AI$12:$AI$250)=MONTH(A105)&amp;YEAR(A105),NymexData!$AJ$12:$AJ$250))</f>
        <v>-145.27747429999999</v>
      </c>
      <c r="C105" s="330">
        <f t="shared" si="25"/>
        <v>0</v>
      </c>
      <c r="D105" s="331">
        <f t="shared" si="19"/>
        <v>-145.27747429999999</v>
      </c>
      <c r="E105" s="332">
        <f t="array" ref="E105">SUM(IF(MONTH(NymexData!$S$12:$S$250)&amp;YEAR(NymexData!$S$12:$S$250)=MONTH(A105)&amp;YEAR(A105),NymexData!$T$12:$T$250))</f>
        <v>4.2140000000000004</v>
      </c>
      <c r="F105" s="332">
        <f t="shared" si="5"/>
        <v>-3.6999999999999922E-2</v>
      </c>
      <c r="G105" s="333">
        <f t="array" ref="G105">IF(NymexData!$AA$12="",GasPosn!E105,SUM(IF(MONTH(NymexData!$AA$12:$AA$250)&amp;YEAR(NymexData!$AA$12:$AA$250)=MONTH(A105)&amp;YEAR(A105),NymexData!$AB$12:$AB$250)))</f>
        <v>4.1770000000000005</v>
      </c>
      <c r="H105" s="85">
        <f t="shared" si="26"/>
        <v>53752.665490999891</v>
      </c>
      <c r="I105" s="88">
        <f t="shared" si="27"/>
        <v>0</v>
      </c>
      <c r="J105" s="88">
        <f t="shared" si="20"/>
        <v>53752.665490999891</v>
      </c>
      <c r="L105" s="378"/>
      <c r="O105" s="47">
        <f t="shared" ref="O105:O128" si="36">A105</f>
        <v>40026</v>
      </c>
      <c r="BD105" s="48">
        <f t="shared" ref="BD105:BD127" si="37">(P105+R105+T105+V105+X105+Z105+AB105+AD105+AF105+AH105+AJ105+AL105+AN105+AP105+AR105+AT105+AV105+AX105+AZ105+BB105)</f>
        <v>0</v>
      </c>
      <c r="BE105" s="334">
        <f t="shared" ref="BE105:BE127" si="38">IF(AND(BD105=0,BH105=0),0,(ABS(P105)*Q105+ABS(R105)*S105+ABS(T105)*U105+ABS(V105)*W105+ABS(X105)*Y105+ABS(Z105)*AA105+ABS(AB105)*AC105+ABS(AD105)*AE105+ABS(AF105)*AG105+ABS(AH105)*AI105+ABS(AJ105)*AK105+ABS(AL105)*AM105+ABS(AN105)*AO105+ABS(AP105)*AQ105+ABS(AR105)*AS105+ABS(AT105)*AU105+ABS(AV105)*AW105+ABS(AX105)*AY105+ABS(AZ105)*BA105+ABS(BB105)*BC105)/BH105)</f>
        <v>0</v>
      </c>
      <c r="BG105" s="51">
        <f t="shared" si="34"/>
        <v>40026</v>
      </c>
      <c r="BH105" s="335">
        <f t="shared" si="35"/>
        <v>0</v>
      </c>
      <c r="BI105" s="52">
        <f>VLOOKUP(GasPosn!A105,'Pricing Summary'!$AB$12:$AD$250,3)</f>
        <v>31</v>
      </c>
      <c r="BJ105" s="50">
        <f>VLOOKUP(A105,Interest!$AF$8:$AK$367,6)</f>
        <v>0.67106521431262189</v>
      </c>
      <c r="BL105">
        <f>J105*VLOOKUP(A105,NymexData!$J$12:$K$244,2)</f>
        <v>85187.00512076453</v>
      </c>
      <c r="BO105">
        <f>Interest!AK101</f>
        <v>0.67106521431262189</v>
      </c>
      <c r="BP105">
        <f>G105*Interest!AK101</f>
        <v>2.8030394001838221</v>
      </c>
      <c r="BQ105">
        <f t="shared" si="28"/>
        <v>1</v>
      </c>
      <c r="BR105">
        <f t="shared" si="29"/>
        <v>0.67106521431262189</v>
      </c>
      <c r="BS105">
        <f t="shared" si="30"/>
        <v>2.8030394001838221</v>
      </c>
    </row>
    <row r="106" spans="1:71" ht="18" x14ac:dyDescent="0.25">
      <c r="A106" s="98">
        <f>[4]EnergyCurve!$D128</f>
        <v>40057</v>
      </c>
      <c r="B106" s="324">
        <f t="array" ref="B106">SUM(IF(MONTH(NymexData!$AI$12:$AI$250)&amp;YEAR(NymexData!$AI$12:$AI$250)=MONTH(A106)&amp;YEAR(A106),NymexData!$AJ$12:$AJ$250))</f>
        <v>-139.77771066</v>
      </c>
      <c r="C106" s="324">
        <f t="shared" si="25"/>
        <v>0</v>
      </c>
      <c r="D106" s="326">
        <f t="shared" si="19"/>
        <v>-139.77771066</v>
      </c>
      <c r="E106" s="327">
        <f t="array" ref="E106">SUM(IF(MONTH(NymexData!$S$12:$S$250)&amp;YEAR(NymexData!$S$12:$S$250)=MONTH(A106)&amp;YEAR(A106),NymexData!$T$12:$T$250))</f>
        <v>4.2080000000000002</v>
      </c>
      <c r="F106" s="327">
        <f t="shared" si="5"/>
        <v>-3.6999999999999922E-2</v>
      </c>
      <c r="G106" s="328">
        <f t="array" ref="G106">IF(NymexData!$AA$12="",GasPosn!E106,SUM(IF(MONTH(NymexData!$AA$12:$AA$250)&amp;YEAR(NymexData!$AA$12:$AA$250)=MONTH(A106)&amp;YEAR(A106),NymexData!$AB$12:$AB$250)))</f>
        <v>4.1710000000000003</v>
      </c>
      <c r="H106" s="99">
        <f t="shared" si="26"/>
        <v>51717.752944199892</v>
      </c>
      <c r="I106" s="92">
        <f t="shared" si="27"/>
        <v>0</v>
      </c>
      <c r="J106" s="92">
        <f t="shared" si="20"/>
        <v>51717.752944199892</v>
      </c>
      <c r="L106" s="378"/>
      <c r="O106" s="47">
        <f t="shared" si="36"/>
        <v>40057</v>
      </c>
      <c r="BD106" s="48">
        <f t="shared" si="37"/>
        <v>0</v>
      </c>
      <c r="BE106" s="334">
        <f t="shared" si="38"/>
        <v>0</v>
      </c>
      <c r="BG106" s="51">
        <f t="shared" si="34"/>
        <v>40057</v>
      </c>
      <c r="BH106" s="335">
        <f t="shared" si="35"/>
        <v>0</v>
      </c>
      <c r="BI106" s="52">
        <f>VLOOKUP(GasPosn!A106,'Pricing Summary'!$AB$12:$AD$250,3)</f>
        <v>30</v>
      </c>
      <c r="BJ106" s="50">
        <f>VLOOKUP(A106,Interest!$AF$8:$AK$367,6)</f>
        <v>0.66771393771431842</v>
      </c>
      <c r="BL106">
        <f>J106*VLOOKUP(A106,NymexData!$J$12:$K$244,2)</f>
        <v>82012.890551591074</v>
      </c>
      <c r="BO106">
        <f>Interest!AK102</f>
        <v>0.66771393771431842</v>
      </c>
      <c r="BP106">
        <f>G106*Interest!AK102</f>
        <v>2.7850348342064222</v>
      </c>
      <c r="BQ106">
        <f t="shared" si="28"/>
        <v>1</v>
      </c>
      <c r="BR106">
        <f t="shared" si="29"/>
        <v>0.66771393771431842</v>
      </c>
      <c r="BS106">
        <f t="shared" si="30"/>
        <v>2.7850348342064222</v>
      </c>
    </row>
    <row r="107" spans="1:71" ht="18" x14ac:dyDescent="0.25">
      <c r="A107" s="100">
        <f>[4]EnergyCurve!$D129</f>
        <v>40087</v>
      </c>
      <c r="B107" s="329">
        <f t="array" ref="B107">SUM(IF(MONTH(NymexData!$AI$12:$AI$250)&amp;YEAR(NymexData!$AI$12:$AI$250)=MONTH(A107)&amp;YEAR(A107),NymexData!$AJ$12:$AJ$250))</f>
        <v>-143.62402753999999</v>
      </c>
      <c r="C107" s="330">
        <f t="shared" si="25"/>
        <v>0</v>
      </c>
      <c r="D107" s="331">
        <f t="shared" si="19"/>
        <v>-143.62402753999999</v>
      </c>
      <c r="E107" s="332">
        <f t="array" ref="E107">SUM(IF(MONTH(NymexData!$S$12:$S$250)&amp;YEAR(NymexData!$S$12:$S$250)=MONTH(A107)&amp;YEAR(A107),NymexData!$T$12:$T$250))</f>
        <v>4.2080000000000002</v>
      </c>
      <c r="F107" s="332">
        <f t="shared" si="5"/>
        <v>-3.6999999999999922E-2</v>
      </c>
      <c r="G107" s="333">
        <f t="array" ref="G107">IF(NymexData!$AA$12="",GasPosn!E107,SUM(IF(MONTH(NymexData!$AA$12:$AA$250)&amp;YEAR(NymexData!$AA$12:$AA$250)=MONTH(A107)&amp;YEAR(A107),NymexData!$AB$12:$AB$250)))</f>
        <v>4.1710000000000003</v>
      </c>
      <c r="H107" s="85">
        <f t="shared" si="26"/>
        <v>53140.890189799888</v>
      </c>
      <c r="I107" s="88">
        <f t="shared" si="27"/>
        <v>0</v>
      </c>
      <c r="J107" s="88">
        <f t="shared" si="20"/>
        <v>53140.890189799888</v>
      </c>
      <c r="L107" s="378"/>
      <c r="O107" s="47">
        <f t="shared" si="36"/>
        <v>40087</v>
      </c>
      <c r="BD107" s="48">
        <f t="shared" si="37"/>
        <v>0</v>
      </c>
      <c r="BE107" s="334">
        <f t="shared" si="38"/>
        <v>0</v>
      </c>
      <c r="BG107" s="51">
        <f t="shared" si="34"/>
        <v>40087</v>
      </c>
      <c r="BH107" s="335">
        <f t="shared" si="35"/>
        <v>0</v>
      </c>
      <c r="BI107" s="52">
        <f>VLOOKUP(GasPosn!A107,'Pricing Summary'!$AB$12:$AD$250,3)</f>
        <v>31</v>
      </c>
      <c r="BJ107" s="50">
        <f>VLOOKUP(A107,Interest!$AF$8:$AK$367,6)</f>
        <v>0.6642934265736008</v>
      </c>
      <c r="BL107">
        <f>J107*VLOOKUP(A107,NymexData!$J$12:$K$244,2)</f>
        <v>84321.149776993858</v>
      </c>
      <c r="BO107">
        <f>Interest!AK103</f>
        <v>0.6642934265736008</v>
      </c>
      <c r="BP107">
        <f>G107*Interest!AK103</f>
        <v>2.7707678822384891</v>
      </c>
      <c r="BQ107">
        <f t="shared" si="28"/>
        <v>1</v>
      </c>
      <c r="BR107">
        <f t="shared" si="29"/>
        <v>0.6642934265736008</v>
      </c>
      <c r="BS107">
        <f t="shared" si="30"/>
        <v>2.7707678822384891</v>
      </c>
    </row>
    <row r="108" spans="1:71" ht="18" x14ac:dyDescent="0.25">
      <c r="A108" s="98">
        <f>[4]EnergyCurve!$D130</f>
        <v>40118</v>
      </c>
      <c r="B108" s="324">
        <f t="array" ref="B108">SUM(IF(MONTH(NymexData!$AI$12:$AI$250)&amp;YEAR(NymexData!$AI$12:$AI$250)=MONTH(A108)&amp;YEAR(A108),NymexData!$AJ$12:$AJ$250))</f>
        <v>-138.17855394</v>
      </c>
      <c r="C108" s="324">
        <f t="shared" si="25"/>
        <v>0</v>
      </c>
      <c r="D108" s="326">
        <f t="shared" si="19"/>
        <v>-138.17855394</v>
      </c>
      <c r="E108" s="327">
        <f t="array" ref="E108">SUM(IF(MONTH(NymexData!$S$12:$S$250)&amp;YEAR(NymexData!$S$12:$S$250)=MONTH(A108)&amp;YEAR(A108),NymexData!$T$12:$T$250))</f>
        <v>4.3559999999999999</v>
      </c>
      <c r="F108" s="327">
        <f t="shared" si="5"/>
        <v>-3.5999999999999588E-2</v>
      </c>
      <c r="G108" s="328">
        <f t="array" ref="G108">IF(NymexData!$AA$12="",GasPosn!E108,SUM(IF(MONTH(NymexData!$AA$12:$AA$250)&amp;YEAR(NymexData!$AA$12:$AA$250)=MONTH(A108)&amp;YEAR(A108),NymexData!$AB$12:$AB$250)))</f>
        <v>4.32</v>
      </c>
      <c r="H108" s="99">
        <f t="shared" si="26"/>
        <v>49744.279418399427</v>
      </c>
      <c r="I108" s="92">
        <f t="shared" si="27"/>
        <v>0</v>
      </c>
      <c r="J108" s="92">
        <f t="shared" si="20"/>
        <v>49744.279418399427</v>
      </c>
      <c r="L108" s="378"/>
      <c r="O108" s="47">
        <f t="shared" si="36"/>
        <v>40118</v>
      </c>
      <c r="BD108" s="48">
        <f t="shared" si="37"/>
        <v>0</v>
      </c>
      <c r="BE108" s="334">
        <f t="shared" si="38"/>
        <v>0</v>
      </c>
      <c r="BG108" s="51">
        <f t="shared" si="34"/>
        <v>40118</v>
      </c>
      <c r="BH108" s="335">
        <f t="shared" si="35"/>
        <v>0</v>
      </c>
      <c r="BI108" s="52">
        <f>VLOOKUP(GasPosn!A108,'Pricing Summary'!$AB$12:$AD$250,3)</f>
        <v>30</v>
      </c>
      <c r="BJ108" s="50">
        <f>VLOOKUP(A108,Interest!$AF$8:$AK$367,6)</f>
        <v>0.6609530678798945</v>
      </c>
      <c r="BL108">
        <f>J108*VLOOKUP(A108,NymexData!$J$12:$K$244,2)</f>
        <v>78982.311303218085</v>
      </c>
      <c r="BO108">
        <f>Interest!AK104</f>
        <v>0.6609530678798945</v>
      </c>
      <c r="BP108">
        <f>G108*Interest!AK104</f>
        <v>2.8553172532411444</v>
      </c>
      <c r="BQ108">
        <f t="shared" si="28"/>
        <v>1</v>
      </c>
      <c r="BR108">
        <f t="shared" si="29"/>
        <v>0.6609530678798945</v>
      </c>
      <c r="BS108">
        <f t="shared" si="30"/>
        <v>2.8553172532411444</v>
      </c>
    </row>
    <row r="109" spans="1:71" ht="18" x14ac:dyDescent="0.25">
      <c r="A109" s="100">
        <f>[4]EnergyCurve!$D131</f>
        <v>40148</v>
      </c>
      <c r="B109" s="329">
        <f t="array" ref="B109">SUM(IF(MONTH(NymexData!$AI$12:$AI$250)&amp;YEAR(NymexData!$AI$12:$AI$250)=MONTH(A109)&amp;YEAR(A109),NymexData!$AJ$12:$AJ$250))</f>
        <v>-141.97260994000001</v>
      </c>
      <c r="C109" s="330">
        <f t="shared" si="25"/>
        <v>0</v>
      </c>
      <c r="D109" s="331">
        <f t="shared" si="19"/>
        <v>-141.97260994000001</v>
      </c>
      <c r="E109" s="332">
        <f t="array" ref="E109">SUM(IF(MONTH(NymexData!$S$12:$S$250)&amp;YEAR(NymexData!$S$12:$S$250)=MONTH(A109)&amp;YEAR(A109),NymexData!$T$12:$T$250))</f>
        <v>4.508</v>
      </c>
      <c r="F109" s="332">
        <f t="shared" si="5"/>
        <v>-3.5999999999999588E-2</v>
      </c>
      <c r="G109" s="333">
        <f t="array" ref="G109">IF(NymexData!$AA$12="",GasPosn!E109,SUM(IF(MONTH(NymexData!$AA$12:$AA$250)&amp;YEAR(NymexData!$AA$12:$AA$250)=MONTH(A109)&amp;YEAR(A109),NymexData!$AB$12:$AB$250)))</f>
        <v>4.4720000000000004</v>
      </c>
      <c r="H109" s="85">
        <f t="shared" si="26"/>
        <v>51110.139578399423</v>
      </c>
      <c r="I109" s="88">
        <f t="shared" si="27"/>
        <v>0</v>
      </c>
      <c r="J109" s="88">
        <f t="shared" si="20"/>
        <v>51110.139578399423</v>
      </c>
      <c r="L109" s="378"/>
      <c r="O109" s="47">
        <f t="shared" si="36"/>
        <v>40148</v>
      </c>
      <c r="BD109" s="48">
        <f t="shared" si="37"/>
        <v>0</v>
      </c>
      <c r="BE109" s="334">
        <f t="shared" si="38"/>
        <v>0</v>
      </c>
      <c r="BG109" s="51">
        <f t="shared" si="34"/>
        <v>40148</v>
      </c>
      <c r="BH109" s="335">
        <f t="shared" si="35"/>
        <v>0</v>
      </c>
      <c r="BI109" s="52">
        <f>VLOOKUP(GasPosn!A109,'Pricing Summary'!$AB$12:$AD$250,3)</f>
        <v>31</v>
      </c>
      <c r="BJ109" s="50">
        <f>VLOOKUP(A109,Interest!$AF$8:$AK$367,6)</f>
        <v>0.65754440861175778</v>
      </c>
      <c r="BL109">
        <f>J109*VLOOKUP(A109,NymexData!$J$12:$K$244,2)</f>
        <v>81202.338639118592</v>
      </c>
      <c r="BO109">
        <f>Interest!AK105</f>
        <v>0.65754440861175778</v>
      </c>
      <c r="BP109">
        <f>G109*Interest!AK105</f>
        <v>2.9405385953117809</v>
      </c>
      <c r="BQ109">
        <f t="shared" si="28"/>
        <v>1</v>
      </c>
      <c r="BR109">
        <f t="shared" si="29"/>
        <v>0.65754440861175778</v>
      </c>
      <c r="BS109">
        <f t="shared" si="30"/>
        <v>2.9405385953117809</v>
      </c>
    </row>
    <row r="110" spans="1:71" ht="18" x14ac:dyDescent="0.25">
      <c r="A110" s="98">
        <f>[4]EnergyCurve!$D132</f>
        <v>40179</v>
      </c>
      <c r="B110" s="324">
        <f t="array" ref="B110">SUM(IF(MONTH(NymexData!$AI$12:$AI$250)&amp;YEAR(NymexData!$AI$12:$AI$250)=MONTH(A110)&amp;YEAR(A110),NymexData!$AJ$12:$AJ$250))</f>
        <v>-141.13426124</v>
      </c>
      <c r="C110" s="324">
        <f t="shared" si="25"/>
        <v>0</v>
      </c>
      <c r="D110" s="326">
        <f t="shared" si="19"/>
        <v>-141.13426124</v>
      </c>
      <c r="E110" s="327">
        <f t="array" ref="E110">SUM(IF(MONTH(NymexData!$S$12:$S$250)&amp;YEAR(NymexData!$S$12:$S$250)=MONTH(A110)&amp;YEAR(A110),NymexData!$T$12:$T$250))</f>
        <v>4.5754999999999999</v>
      </c>
      <c r="F110" s="327">
        <f t="shared" si="5"/>
        <v>-3.0999999999999694E-2</v>
      </c>
      <c r="G110" s="328">
        <f t="array" ref="G110">IF(NymexData!$AA$12="",GasPosn!E110,SUM(IF(MONTH(NymexData!$AA$12:$AA$250)&amp;YEAR(NymexData!$AA$12:$AA$250)=MONTH(A110)&amp;YEAR(A110),NymexData!$AB$12:$AB$250)))</f>
        <v>4.5445000000000002</v>
      </c>
      <c r="H110" s="99">
        <f t="shared" si="26"/>
        <v>43751.620984399568</v>
      </c>
      <c r="I110" s="92">
        <f t="shared" si="27"/>
        <v>0</v>
      </c>
      <c r="J110" s="92">
        <f t="shared" si="20"/>
        <v>43751.620984399568</v>
      </c>
      <c r="L110" s="378"/>
      <c r="O110" s="47">
        <f t="shared" si="36"/>
        <v>40179</v>
      </c>
      <c r="BD110" s="48">
        <f t="shared" si="37"/>
        <v>0</v>
      </c>
      <c r="BE110" s="334">
        <f t="shared" si="38"/>
        <v>0</v>
      </c>
      <c r="BG110" s="51">
        <f t="shared" si="34"/>
        <v>40179</v>
      </c>
      <c r="BH110" s="335">
        <f t="shared" si="35"/>
        <v>0</v>
      </c>
      <c r="BI110" s="52">
        <f>VLOOKUP(GasPosn!A110,'Pricing Summary'!$AB$12:$AD$250,3)</f>
        <v>31</v>
      </c>
      <c r="BJ110" s="50">
        <f>VLOOKUP(A110,Interest!$AF$8:$AK$367,6)</f>
        <v>0.65412353264283984</v>
      </c>
      <c r="BL110">
        <f>J110*VLOOKUP(A110,NymexData!$J$12:$K$244,2)</f>
        <v>69557.583760647642</v>
      </c>
      <c r="BO110">
        <f>Interest!AK106</f>
        <v>0.65412353264283984</v>
      </c>
      <c r="BP110">
        <f>G110*Interest!AK106</f>
        <v>2.9726643940953856</v>
      </c>
      <c r="BQ110">
        <f t="shared" si="28"/>
        <v>1</v>
      </c>
      <c r="BR110">
        <f t="shared" si="29"/>
        <v>0.65412353264283984</v>
      </c>
      <c r="BS110">
        <f t="shared" si="30"/>
        <v>2.9726643940953856</v>
      </c>
    </row>
    <row r="111" spans="1:71" ht="18" x14ac:dyDescent="0.25">
      <c r="A111" s="100">
        <f>[4]EnergyCurve!$D133</f>
        <v>40210</v>
      </c>
      <c r="B111" s="329">
        <f t="array" ref="B111">SUM(IF(MONTH(NymexData!$AI$12:$AI$250)&amp;YEAR(NymexData!$AI$12:$AI$250)=MONTH(A111)&amp;YEAR(A111),NymexData!$AJ$12:$AJ$250))</f>
        <v>-126.7194915</v>
      </c>
      <c r="C111" s="330">
        <f t="shared" si="25"/>
        <v>0</v>
      </c>
      <c r="D111" s="331">
        <f t="shared" si="19"/>
        <v>-126.7194915</v>
      </c>
      <c r="E111" s="332">
        <f t="array" ref="E111">SUM(IF(MONTH(NymexData!$S$12:$S$250)&amp;YEAR(NymexData!$S$12:$S$250)=MONTH(A111)&amp;YEAR(A111),NymexData!$T$12:$T$250))</f>
        <v>4.4885000000000002</v>
      </c>
      <c r="F111" s="332">
        <f t="shared" si="5"/>
        <v>-3.2000000000000028E-2</v>
      </c>
      <c r="G111" s="333">
        <f t="array" ref="G111">IF(NymexData!$AA$12="",GasPosn!E111,SUM(IF(MONTH(NymexData!$AA$12:$AA$250)&amp;YEAR(NymexData!$AA$12:$AA$250)=MONTH(A111)&amp;YEAR(A111),NymexData!$AB$12:$AB$250)))</f>
        <v>4.4565000000000001</v>
      </c>
      <c r="H111" s="85">
        <f t="shared" si="26"/>
        <v>40550.237280000038</v>
      </c>
      <c r="I111" s="88">
        <f t="shared" si="27"/>
        <v>0</v>
      </c>
      <c r="J111" s="88">
        <f t="shared" si="20"/>
        <v>40550.237280000038</v>
      </c>
      <c r="L111" s="378"/>
      <c r="O111" s="47">
        <f t="shared" si="36"/>
        <v>40210</v>
      </c>
      <c r="BD111" s="48">
        <f t="shared" si="37"/>
        <v>0</v>
      </c>
      <c r="BE111" s="334">
        <f t="shared" si="38"/>
        <v>0</v>
      </c>
      <c r="BG111" s="51">
        <f t="shared" si="34"/>
        <v>40210</v>
      </c>
      <c r="BH111" s="335">
        <f t="shared" si="35"/>
        <v>0</v>
      </c>
      <c r="BI111" s="52">
        <f>VLOOKUP(GasPosn!A111,'Pricing Summary'!$AB$12:$AD$250,3)</f>
        <v>28</v>
      </c>
      <c r="BJ111" s="50">
        <f>VLOOKUP(A111,Interest!$AF$8:$AK$367,6)</f>
        <v>0.65098335064156532</v>
      </c>
      <c r="BL111">
        <f>J111*VLOOKUP(A111,NymexData!$J$12:$K$244,2)</f>
        <v>64511.57160397953</v>
      </c>
      <c r="BO111">
        <f>Interest!AK107</f>
        <v>0.65098335064156532</v>
      </c>
      <c r="BP111">
        <f>G111*Interest!AK107</f>
        <v>2.901107302134136</v>
      </c>
      <c r="BQ111">
        <f t="shared" si="28"/>
        <v>1</v>
      </c>
      <c r="BR111">
        <f t="shared" si="29"/>
        <v>0.65098335064156532</v>
      </c>
      <c r="BS111">
        <f t="shared" si="30"/>
        <v>2.901107302134136</v>
      </c>
    </row>
    <row r="112" spans="1:71" ht="18" x14ac:dyDescent="0.25">
      <c r="A112" s="98">
        <f>[4]EnergyCurve!$D134</f>
        <v>40238</v>
      </c>
      <c r="B112" s="324">
        <f t="array" ref="B112">SUM(IF(MONTH(NymexData!$AI$12:$AI$250)&amp;YEAR(NymexData!$AI$12:$AI$250)=MONTH(A112)&amp;YEAR(A112),NymexData!$AJ$12:$AJ$250))</f>
        <v>-139.54057782000001</v>
      </c>
      <c r="C112" s="324">
        <f t="shared" si="25"/>
        <v>0</v>
      </c>
      <c r="D112" s="326">
        <f t="shared" ref="D112:D127" si="39">C112+B112</f>
        <v>-139.54057782000001</v>
      </c>
      <c r="E112" s="327">
        <f t="array" ref="E112">SUM(IF(MONTH(NymexData!$S$12:$S$250)&amp;YEAR(NymexData!$S$12:$S$250)=MONTH(A112)&amp;YEAR(A112),NymexData!$T$12:$T$250))</f>
        <v>4.3494999999999999</v>
      </c>
      <c r="F112" s="327">
        <f t="shared" si="5"/>
        <v>-3.2000000000000028E-2</v>
      </c>
      <c r="G112" s="328">
        <f t="array" ref="G112">IF(NymexData!$AA$12="",GasPosn!E112,SUM(IF(MONTH(NymexData!$AA$12:$AA$250)&amp;YEAR(NymexData!$AA$12:$AA$250)=MONTH(A112)&amp;YEAR(A112),NymexData!$AB$12:$AB$250)))</f>
        <v>4.3174999999999999</v>
      </c>
      <c r="H112" s="99">
        <f t="shared" si="26"/>
        <v>44652.984902400043</v>
      </c>
      <c r="I112" s="92">
        <f t="shared" si="27"/>
        <v>0</v>
      </c>
      <c r="J112" s="92">
        <f t="shared" ref="J112:J127" si="40">H112+I112</f>
        <v>44652.984902400043</v>
      </c>
      <c r="L112" s="378"/>
      <c r="O112" s="47">
        <f t="shared" si="36"/>
        <v>40238</v>
      </c>
      <c r="BD112" s="48">
        <f t="shared" si="37"/>
        <v>0</v>
      </c>
      <c r="BE112" s="334">
        <f t="shared" si="38"/>
        <v>0</v>
      </c>
      <c r="BG112" s="51">
        <f t="shared" si="34"/>
        <v>40238</v>
      </c>
      <c r="BH112" s="335">
        <f t="shared" si="35"/>
        <v>0</v>
      </c>
      <c r="BI112" s="52">
        <f>VLOOKUP(GasPosn!A112,'Pricing Summary'!$AB$12:$AD$250,3)</f>
        <v>31</v>
      </c>
      <c r="BJ112" s="50">
        <f>VLOOKUP(A112,Interest!$AF$8:$AK$367,6)</f>
        <v>0.6476299124673337</v>
      </c>
      <c r="BL112">
        <f>J112*VLOOKUP(A112,NymexData!$J$12:$K$244,2)</f>
        <v>71082.790580001558</v>
      </c>
      <c r="BO112">
        <f>Interest!AK108</f>
        <v>0.6476299124673337</v>
      </c>
      <c r="BP112">
        <f>G112*Interest!AK108</f>
        <v>2.7961421470777132</v>
      </c>
      <c r="BQ112">
        <f t="shared" si="28"/>
        <v>1</v>
      </c>
      <c r="BR112">
        <f t="shared" si="29"/>
        <v>0.6476299124673337</v>
      </c>
      <c r="BS112">
        <f t="shared" si="30"/>
        <v>2.7961421470777132</v>
      </c>
    </row>
    <row r="113" spans="1:71" ht="18" x14ac:dyDescent="0.25">
      <c r="A113" s="100">
        <f>[4]EnergyCurve!$D135</f>
        <v>40269</v>
      </c>
      <c r="B113" s="329">
        <f t="array" ref="B113">SUM(IF(MONTH(NymexData!$AI$12:$AI$250)&amp;YEAR(NymexData!$AI$12:$AI$250)=MONTH(A113)&amp;YEAR(A113),NymexData!$AJ$12:$AJ$250))</f>
        <v>-134.2299658</v>
      </c>
      <c r="C113" s="330">
        <f t="shared" si="25"/>
        <v>0</v>
      </c>
      <c r="D113" s="331">
        <f t="shared" si="39"/>
        <v>-134.2299658</v>
      </c>
      <c r="E113" s="332">
        <f t="array" ref="E113">SUM(IF(MONTH(NymexData!$S$12:$S$250)&amp;YEAR(NymexData!$S$12:$S$250)=MONTH(A113)&amp;YEAR(A113),NymexData!$T$12:$T$250))</f>
        <v>4.1955</v>
      </c>
      <c r="F113" s="332">
        <f t="shared" si="5"/>
        <v>-3.2000000000000028E-2</v>
      </c>
      <c r="G113" s="333">
        <f t="array" ref="G113">IF(NymexData!$AA$12="",GasPosn!E113,SUM(IF(MONTH(NymexData!$AA$12:$AA$250)&amp;YEAR(NymexData!$AA$12:$AA$250)=MONTH(A113)&amp;YEAR(A113),NymexData!$AB$12:$AB$250)))</f>
        <v>4.1635</v>
      </c>
      <c r="H113" s="85">
        <f t="shared" si="26"/>
        <v>42953.589056000041</v>
      </c>
      <c r="I113" s="88">
        <f t="shared" si="27"/>
        <v>0</v>
      </c>
      <c r="J113" s="88">
        <f t="shared" si="40"/>
        <v>42953.589056000041</v>
      </c>
      <c r="L113" s="378"/>
      <c r="O113" s="47">
        <f t="shared" si="36"/>
        <v>40269</v>
      </c>
      <c r="BD113" s="48">
        <f t="shared" si="37"/>
        <v>0</v>
      </c>
      <c r="BE113" s="334">
        <f t="shared" si="38"/>
        <v>0</v>
      </c>
      <c r="BG113" s="51">
        <f t="shared" si="34"/>
        <v>40269</v>
      </c>
      <c r="BH113" s="335">
        <f t="shared" si="35"/>
        <v>0</v>
      </c>
      <c r="BI113" s="52">
        <f>VLOOKUP(GasPosn!A113,'Pricing Summary'!$AB$12:$AD$250,3)</f>
        <v>30</v>
      </c>
      <c r="BJ113" s="50">
        <f>VLOOKUP(A113,Interest!$AF$8:$AK$367,6)</f>
        <v>0.64431809826080089</v>
      </c>
      <c r="BL113">
        <f>J113*VLOOKUP(A113,NymexData!$J$12:$K$244,2)</f>
        <v>68425.322720000113</v>
      </c>
      <c r="BO113">
        <f>Interest!AK109</f>
        <v>0.64431809826080089</v>
      </c>
      <c r="BP113">
        <f>G113*Interest!AK109</f>
        <v>2.6826184021088446</v>
      </c>
      <c r="BQ113">
        <f t="shared" si="28"/>
        <v>1</v>
      </c>
      <c r="BR113">
        <f t="shared" si="29"/>
        <v>0.64431809826080089</v>
      </c>
      <c r="BS113">
        <f t="shared" si="30"/>
        <v>2.6826184021088446</v>
      </c>
    </row>
    <row r="114" spans="1:71" ht="18" x14ac:dyDescent="0.25">
      <c r="A114" s="98">
        <f>[4]EnergyCurve!$D136</f>
        <v>40299</v>
      </c>
      <c r="B114" s="324">
        <f t="array" ref="B114">SUM(IF(MONTH(NymexData!$AI$12:$AI$250)&amp;YEAR(NymexData!$AI$12:$AI$250)=MONTH(A114)&amp;YEAR(A114),NymexData!$AJ$12:$AJ$250))</f>
        <v>-137.89576080000001</v>
      </c>
      <c r="C114" s="324">
        <f t="shared" si="25"/>
        <v>0</v>
      </c>
      <c r="D114" s="326">
        <f t="shared" si="39"/>
        <v>-137.89576080000001</v>
      </c>
      <c r="E114" s="327">
        <f t="array" ref="E114">SUM(IF(MONTH(NymexData!$S$12:$S$250)&amp;YEAR(NymexData!$S$12:$S$250)=MONTH(A114)&amp;YEAR(A114),NymexData!$T$12:$T$250))</f>
        <v>4.2004999999999999</v>
      </c>
      <c r="F114" s="327">
        <f t="shared" si="5"/>
        <v>-3.2000000000000028E-2</v>
      </c>
      <c r="G114" s="328">
        <f t="array" ref="G114">IF(NymexData!$AA$12="",GasPosn!E114,SUM(IF(MONTH(NymexData!$AA$12:$AA$250)&amp;YEAR(NymexData!$AA$12:$AA$250)=MONTH(A114)&amp;YEAR(A114),NymexData!$AB$12:$AB$250)))</f>
        <v>4.1684999999999999</v>
      </c>
      <c r="H114" s="99">
        <f t="shared" si="26"/>
        <v>44126.643456000042</v>
      </c>
      <c r="I114" s="92">
        <f t="shared" si="27"/>
        <v>0</v>
      </c>
      <c r="J114" s="92">
        <f t="shared" si="40"/>
        <v>44126.643456000042</v>
      </c>
      <c r="L114" s="378"/>
      <c r="O114" s="47">
        <f t="shared" si="36"/>
        <v>40299</v>
      </c>
      <c r="BD114" s="48">
        <f t="shared" si="37"/>
        <v>0</v>
      </c>
      <c r="BE114" s="334">
        <f t="shared" si="38"/>
        <v>0</v>
      </c>
      <c r="BG114" s="51">
        <f t="shared" si="34"/>
        <v>40299</v>
      </c>
      <c r="BH114" s="335">
        <f t="shared" si="35"/>
        <v>0</v>
      </c>
      <c r="BI114" s="52">
        <f>VLOOKUP(GasPosn!A114,'Pricing Summary'!$AB$12:$AD$250,3)</f>
        <v>31</v>
      </c>
      <c r="BJ114" s="50">
        <f>VLOOKUP(A114,Interest!$AF$8:$AK$367,6)</f>
        <v>0.64094027092430039</v>
      </c>
      <c r="BL114">
        <f>J114*VLOOKUP(A114,NymexData!$J$12:$K$244,2)</f>
        <v>70342.321323805256</v>
      </c>
      <c r="BO114">
        <f>Interest!AK110</f>
        <v>0.64094027092430039</v>
      </c>
      <c r="BP114">
        <f>G114*Interest!AK110</f>
        <v>2.6717595193479462</v>
      </c>
      <c r="BQ114">
        <f t="shared" si="28"/>
        <v>1</v>
      </c>
      <c r="BR114">
        <f t="shared" si="29"/>
        <v>0.64094027092430039</v>
      </c>
      <c r="BS114">
        <f t="shared" si="30"/>
        <v>2.6717595193479462</v>
      </c>
    </row>
    <row r="115" spans="1:71" ht="18" x14ac:dyDescent="0.25">
      <c r="A115" s="100">
        <f>[4]EnergyCurve!$D137</f>
        <v>40330</v>
      </c>
      <c r="B115" s="329">
        <f t="array" ref="B115">SUM(IF(MONTH(NymexData!$AI$12:$AI$250)&amp;YEAR(NymexData!$AI$12:$AI$250)=MONTH(A115)&amp;YEAR(A115),NymexData!$AJ$12:$AJ$250))</f>
        <v>-132.63978280000001</v>
      </c>
      <c r="C115" s="330">
        <f t="shared" si="25"/>
        <v>0</v>
      </c>
      <c r="D115" s="331">
        <f t="shared" si="39"/>
        <v>-132.63978280000001</v>
      </c>
      <c r="E115" s="332">
        <f t="array" ref="E115">SUM(IF(MONTH(NymexData!$S$12:$S$250)&amp;YEAR(NymexData!$S$12:$S$250)=MONTH(A115)&amp;YEAR(A115),NymexData!$T$12:$T$250))</f>
        <v>4.2385000000000002</v>
      </c>
      <c r="F115" s="332">
        <f t="shared" si="5"/>
        <v>-3.2000000000000028E-2</v>
      </c>
      <c r="G115" s="333">
        <f t="array" ref="G115">IF(NymexData!$AA$12="",GasPosn!E115,SUM(IF(MONTH(NymexData!$AA$12:$AA$250)&amp;YEAR(NymexData!$AA$12:$AA$250)=MONTH(A115)&amp;YEAR(A115),NymexData!$AB$12:$AB$250)))</f>
        <v>4.2065000000000001</v>
      </c>
      <c r="H115" s="85">
        <f t="shared" si="26"/>
        <v>42444.73049600004</v>
      </c>
      <c r="I115" s="88">
        <f t="shared" si="27"/>
        <v>0</v>
      </c>
      <c r="J115" s="88">
        <f t="shared" si="40"/>
        <v>42444.73049600004</v>
      </c>
      <c r="L115" s="378"/>
      <c r="O115" s="47">
        <f t="shared" si="36"/>
        <v>40330</v>
      </c>
      <c r="BD115" s="48">
        <f t="shared" si="37"/>
        <v>0</v>
      </c>
      <c r="BE115" s="334">
        <f t="shared" si="38"/>
        <v>0</v>
      </c>
      <c r="BG115" s="51">
        <f t="shared" si="34"/>
        <v>40330</v>
      </c>
      <c r="BH115" s="335">
        <f t="shared" si="35"/>
        <v>0</v>
      </c>
      <c r="BI115" s="52">
        <f>VLOOKUP(GasPosn!A115,'Pricing Summary'!$AB$12:$AD$250,3)</f>
        <v>30</v>
      </c>
      <c r="BJ115" s="50">
        <f>VLOOKUP(A115,Interest!$AF$8:$AK$367,6)</f>
        <v>0.63764058539844393</v>
      </c>
      <c r="BL115">
        <f>J115*VLOOKUP(A115,NymexData!$J$12:$K$244,2)</f>
        <v>67710.007943345336</v>
      </c>
      <c r="BO115">
        <f>Interest!AK111</f>
        <v>0.63764058539844393</v>
      </c>
      <c r="BP115">
        <f>G115*Interest!AK111</f>
        <v>2.6822351224785543</v>
      </c>
      <c r="BQ115">
        <f t="shared" si="28"/>
        <v>1</v>
      </c>
      <c r="BR115">
        <f t="shared" si="29"/>
        <v>0.63764058539844393</v>
      </c>
      <c r="BS115">
        <f t="shared" si="30"/>
        <v>2.6822351224785543</v>
      </c>
    </row>
    <row r="116" spans="1:71" ht="18" x14ac:dyDescent="0.25">
      <c r="A116" s="98">
        <f>[4]EnergyCurve!$D138</f>
        <v>40360</v>
      </c>
      <c r="B116" s="324">
        <f t="array" ref="B116">SUM(IF(MONTH(NymexData!$AI$12:$AI$250)&amp;YEAR(NymexData!$AI$12:$AI$250)=MONTH(A116)&amp;YEAR(A116),NymexData!$AJ$12:$AJ$250))</f>
        <v>-136.25423377999999</v>
      </c>
      <c r="C116" s="324">
        <f t="shared" si="25"/>
        <v>0</v>
      </c>
      <c r="D116" s="326">
        <f t="shared" si="39"/>
        <v>-136.25423377999999</v>
      </c>
      <c r="E116" s="327">
        <f t="array" ref="E116">SUM(IF(MONTH(NymexData!$S$12:$S$250)&amp;YEAR(NymexData!$S$12:$S$250)=MONTH(A116)&amp;YEAR(A116),NymexData!$T$12:$T$250))</f>
        <v>4.2835000000000001</v>
      </c>
      <c r="F116" s="327">
        <f t="shared" si="5"/>
        <v>-3.2000000000000028E-2</v>
      </c>
      <c r="G116" s="328">
        <f t="array" ref="G116">IF(NymexData!$AA$12="",GasPosn!E116,SUM(IF(MONTH(NymexData!$AA$12:$AA$250)&amp;YEAR(NymexData!$AA$12:$AA$250)=MONTH(A116)&amp;YEAR(A116),NymexData!$AB$12:$AB$250)))</f>
        <v>4.2515000000000001</v>
      </c>
      <c r="H116" s="99">
        <f t="shared" si="26"/>
        <v>43601.354809600038</v>
      </c>
      <c r="I116" s="92">
        <f t="shared" si="27"/>
        <v>0</v>
      </c>
      <c r="J116" s="92">
        <f t="shared" si="40"/>
        <v>43601.354809600038</v>
      </c>
      <c r="L116" s="378"/>
      <c r="O116" s="47">
        <f t="shared" si="36"/>
        <v>40360</v>
      </c>
      <c r="BD116" s="48">
        <f t="shared" si="37"/>
        <v>0</v>
      </c>
      <c r="BE116" s="334">
        <f t="shared" si="38"/>
        <v>0</v>
      </c>
      <c r="BG116" s="51">
        <f t="shared" si="34"/>
        <v>40360</v>
      </c>
      <c r="BH116" s="335">
        <f t="shared" si="35"/>
        <v>0</v>
      </c>
      <c r="BI116" s="52">
        <f>VLOOKUP(GasPosn!A116,'Pricing Summary'!$AB$12:$AD$250,3)</f>
        <v>31</v>
      </c>
      <c r="BJ116" s="50">
        <f>VLOOKUP(A116,Interest!$AF$8:$AK$367,6)</f>
        <v>0.63427580066950007</v>
      </c>
      <c r="BL116">
        <f>J116*VLOOKUP(A116,NymexData!$J$12:$K$244,2)</f>
        <v>69604.451198232317</v>
      </c>
      <c r="BO116">
        <f>Interest!AK112</f>
        <v>0.63427580066950007</v>
      </c>
      <c r="BP116">
        <f>G116*Interest!AK112</f>
        <v>2.6966235665463794</v>
      </c>
      <c r="BQ116">
        <f t="shared" si="28"/>
        <v>1</v>
      </c>
      <c r="BR116">
        <f t="shared" si="29"/>
        <v>0.63427580066950007</v>
      </c>
      <c r="BS116">
        <f t="shared" si="30"/>
        <v>2.6966235665463794</v>
      </c>
    </row>
    <row r="117" spans="1:71" ht="18" x14ac:dyDescent="0.25">
      <c r="A117" s="100">
        <f>[4]EnergyCurve!$D139</f>
        <v>40391</v>
      </c>
      <c r="B117" s="329">
        <f t="array" ref="B117">SUM(IF(MONTH(NymexData!$AI$12:$AI$250)&amp;YEAR(NymexData!$AI$12:$AI$250)=MONTH(A117)&amp;YEAR(A117),NymexData!$AJ$12:$AJ$250))</f>
        <v>-135.42138847999999</v>
      </c>
      <c r="C117" s="330">
        <f t="shared" si="25"/>
        <v>0</v>
      </c>
      <c r="D117" s="331">
        <f t="shared" si="39"/>
        <v>-135.42138847999999</v>
      </c>
      <c r="E117" s="332">
        <f t="array" ref="E117">SUM(IF(MONTH(NymexData!$S$12:$S$250)&amp;YEAR(NymexData!$S$12:$S$250)=MONTH(A117)&amp;YEAR(A117),NymexData!$T$12:$T$250))</f>
        <v>4.3215000000000003</v>
      </c>
      <c r="F117" s="332">
        <f t="shared" si="5"/>
        <v>-3.2000000000000028E-2</v>
      </c>
      <c r="G117" s="333">
        <f t="array" ref="G117">IF(NymexData!$AA$12="",GasPosn!E117,SUM(IF(MONTH(NymexData!$AA$12:$AA$250)&amp;YEAR(NymexData!$AA$12:$AA$250)=MONTH(A117)&amp;YEAR(A117),NymexData!$AB$12:$AB$250)))</f>
        <v>4.2895000000000003</v>
      </c>
      <c r="H117" s="85">
        <f t="shared" si="26"/>
        <v>43334.844313600035</v>
      </c>
      <c r="I117" s="88">
        <f t="shared" si="27"/>
        <v>0</v>
      </c>
      <c r="J117" s="88">
        <f t="shared" si="40"/>
        <v>43334.844313600035</v>
      </c>
      <c r="L117" s="378"/>
      <c r="O117" s="47">
        <f t="shared" si="36"/>
        <v>40391</v>
      </c>
      <c r="BD117" s="48">
        <f t="shared" si="37"/>
        <v>0</v>
      </c>
      <c r="BE117" s="334">
        <f t="shared" si="38"/>
        <v>0</v>
      </c>
      <c r="BG117" s="51">
        <f t="shared" si="34"/>
        <v>40391</v>
      </c>
      <c r="BH117" s="335">
        <f t="shared" si="35"/>
        <v>0</v>
      </c>
      <c r="BI117" s="52">
        <f>VLOOKUP(GasPosn!A117,'Pricing Summary'!$AB$12:$AD$250,3)</f>
        <v>31</v>
      </c>
      <c r="BJ117" s="50">
        <f>VLOOKUP(A117,Interest!$AF$8:$AK$367,6)</f>
        <v>0.63089879815721861</v>
      </c>
      <c r="BL117">
        <f>J117*VLOOKUP(A117,NymexData!$J$12:$K$244,2)</f>
        <v>69230.490232229451</v>
      </c>
      <c r="BO117">
        <f>Interest!AK113</f>
        <v>0.63089879815721861</v>
      </c>
      <c r="BP117">
        <f>G117*Interest!AK113</f>
        <v>2.7062403946953895</v>
      </c>
      <c r="BQ117">
        <f t="shared" si="28"/>
        <v>1</v>
      </c>
      <c r="BR117">
        <f t="shared" si="29"/>
        <v>0.63089879815721861</v>
      </c>
      <c r="BS117">
        <f t="shared" si="30"/>
        <v>2.7062403946953895</v>
      </c>
    </row>
    <row r="118" spans="1:71" ht="18" x14ac:dyDescent="0.25">
      <c r="A118" s="98">
        <f>[4]EnergyCurve!$D140</f>
        <v>40422</v>
      </c>
      <c r="B118" s="324">
        <f t="array" ref="B118">SUM(IF(MONTH(NymexData!$AI$12:$AI$250)&amp;YEAR(NymexData!$AI$12:$AI$250)=MONTH(A118)&amp;YEAR(A118),NymexData!$AJ$12:$AJ$250))</f>
        <v>-130.24793124000001</v>
      </c>
      <c r="C118" s="324">
        <f t="shared" si="25"/>
        <v>0</v>
      </c>
      <c r="D118" s="326">
        <f t="shared" si="39"/>
        <v>-130.24793124000001</v>
      </c>
      <c r="E118" s="327">
        <f t="array" ref="E118">SUM(IF(MONTH(NymexData!$S$12:$S$250)&amp;YEAR(NymexData!$S$12:$S$250)=MONTH(A118)&amp;YEAR(A118),NymexData!$T$12:$T$250))</f>
        <v>4.3155000000000001</v>
      </c>
      <c r="F118" s="327">
        <f t="shared" si="5"/>
        <v>-3.2000000000000028E-2</v>
      </c>
      <c r="G118" s="328">
        <f t="array" ref="G118">IF(NymexData!$AA$12="",GasPosn!E118,SUM(IF(MONTH(NymexData!$AA$12:$AA$250)&amp;YEAR(NymexData!$AA$12:$AA$250)=MONTH(A118)&amp;YEAR(A118),NymexData!$AB$12:$AB$250)))</f>
        <v>4.2835000000000001</v>
      </c>
      <c r="H118" s="99">
        <f t="shared" si="26"/>
        <v>41679.337996800044</v>
      </c>
      <c r="I118" s="92">
        <f t="shared" si="27"/>
        <v>0</v>
      </c>
      <c r="J118" s="92">
        <f t="shared" si="40"/>
        <v>41679.337996800044</v>
      </c>
      <c r="L118" s="378"/>
      <c r="O118" s="47">
        <f t="shared" si="36"/>
        <v>40422</v>
      </c>
      <c r="BD118" s="48">
        <f t="shared" si="37"/>
        <v>0</v>
      </c>
      <c r="BE118" s="334">
        <f t="shared" si="38"/>
        <v>0</v>
      </c>
      <c r="BG118" s="51">
        <f t="shared" si="34"/>
        <v>40422</v>
      </c>
      <c r="BH118" s="335">
        <f t="shared" si="35"/>
        <v>0</v>
      </c>
      <c r="BI118" s="52">
        <f>VLOOKUP(GasPosn!A118,'Pricing Summary'!$AB$12:$AD$250,3)</f>
        <v>30</v>
      </c>
      <c r="BJ118" s="50">
        <f>VLOOKUP(A118,Interest!$AF$8:$AK$367,6)</f>
        <v>0.62761803603086896</v>
      </c>
      <c r="BL118">
        <f>J118*VLOOKUP(A118,NymexData!$J$12:$K$244,2)</f>
        <v>66636.031096412742</v>
      </c>
      <c r="BO118">
        <f>Interest!AK114</f>
        <v>0.62761803603086896</v>
      </c>
      <c r="BP118">
        <f>G118*Interest!AK114</f>
        <v>2.6884018573382273</v>
      </c>
      <c r="BQ118">
        <f t="shared" si="28"/>
        <v>1</v>
      </c>
      <c r="BR118">
        <f t="shared" si="29"/>
        <v>0.62761803603086896</v>
      </c>
      <c r="BS118">
        <f t="shared" si="30"/>
        <v>2.6884018573382273</v>
      </c>
    </row>
    <row r="119" spans="1:71" ht="18" x14ac:dyDescent="0.25">
      <c r="A119" s="100">
        <f>[4]EnergyCurve!$D141</f>
        <v>40452</v>
      </c>
      <c r="B119" s="329">
        <f t="array" ref="B119">SUM(IF(MONTH(NymexData!$AI$12:$AI$250)&amp;YEAR(NymexData!$AI$12:$AI$250)=MONTH(A119)&amp;YEAR(A119),NymexData!$AJ$12:$AJ$250))</f>
        <v>-133.78548455999999</v>
      </c>
      <c r="C119" s="330">
        <f t="shared" si="25"/>
        <v>0</v>
      </c>
      <c r="D119" s="331">
        <f t="shared" si="39"/>
        <v>-133.78548455999999</v>
      </c>
      <c r="E119" s="332">
        <f t="array" ref="E119">SUM(IF(MONTH(NymexData!$S$12:$S$250)&amp;YEAR(NymexData!$S$12:$S$250)=MONTH(A119)&amp;YEAR(A119),NymexData!$T$12:$T$250))</f>
        <v>4.3155000000000001</v>
      </c>
      <c r="F119" s="332">
        <f t="shared" si="5"/>
        <v>-3.2000000000000028E-2</v>
      </c>
      <c r="G119" s="333">
        <f t="array" ref="G119">IF(NymexData!$AA$12="",GasPosn!E119,SUM(IF(MONTH(NymexData!$AA$12:$AA$250)&amp;YEAR(NymexData!$AA$12:$AA$250)=MONTH(A119)&amp;YEAR(A119),NymexData!$AB$12:$AB$250)))</f>
        <v>4.2835000000000001</v>
      </c>
      <c r="H119" s="85">
        <f t="shared" si="26"/>
        <v>42811.355059200032</v>
      </c>
      <c r="I119" s="88">
        <f t="shared" si="27"/>
        <v>0</v>
      </c>
      <c r="J119" s="88">
        <f t="shared" si="40"/>
        <v>42811.355059200032</v>
      </c>
      <c r="L119" s="378"/>
      <c r="O119" s="47">
        <f t="shared" si="36"/>
        <v>40452</v>
      </c>
      <c r="BD119" s="48">
        <f t="shared" si="37"/>
        <v>0</v>
      </c>
      <c r="BE119" s="334">
        <f t="shared" si="38"/>
        <v>0</v>
      </c>
      <c r="BG119" s="51">
        <f t="shared" si="34"/>
        <v>40452</v>
      </c>
      <c r="BH119" s="335">
        <f t="shared" si="35"/>
        <v>0</v>
      </c>
      <c r="BI119" s="52">
        <f>VLOOKUP(GasPosn!A119,'Pricing Summary'!$AB$12:$AD$250,3)</f>
        <v>31</v>
      </c>
      <c r="BJ119" s="50">
        <f>VLOOKUP(A119,Interest!$AF$8:$AK$367,6)</f>
        <v>0.62427354176836236</v>
      </c>
      <c r="BL119">
        <f>J119*VLOOKUP(A119,NymexData!$J$12:$K$244,2)</f>
        <v>68496.693641377336</v>
      </c>
      <c r="BO119">
        <f>Interest!AK115</f>
        <v>0.62427354176836236</v>
      </c>
      <c r="BP119">
        <f>G119*Interest!AK115</f>
        <v>2.6740757161647801</v>
      </c>
      <c r="BQ119">
        <f t="shared" si="28"/>
        <v>1</v>
      </c>
      <c r="BR119">
        <f t="shared" si="29"/>
        <v>0.62427354176836236</v>
      </c>
      <c r="BS119">
        <f t="shared" si="30"/>
        <v>2.6740757161647801</v>
      </c>
    </row>
    <row r="120" spans="1:71" ht="18" x14ac:dyDescent="0.25">
      <c r="A120" s="98">
        <f>[4]EnergyCurve!$D142</f>
        <v>40483</v>
      </c>
      <c r="B120" s="324">
        <f t="array" ref="B120">SUM(IF(MONTH(NymexData!$AI$12:$AI$250)&amp;YEAR(NymexData!$AI$12:$AI$250)=MONTH(A120)&amp;YEAR(A120),NymexData!$AJ$12:$AJ$250))</f>
        <v>-128.66680260000001</v>
      </c>
      <c r="C120" s="324">
        <f t="shared" si="25"/>
        <v>0</v>
      </c>
      <c r="D120" s="326">
        <f t="shared" si="39"/>
        <v>-128.66680260000001</v>
      </c>
      <c r="E120" s="327">
        <f t="array" ref="E120">SUM(IF(MONTH(NymexData!$S$12:$S$250)&amp;YEAR(NymexData!$S$12:$S$250)=MONTH(A120)&amp;YEAR(A120),NymexData!$T$12:$T$250))</f>
        <v>4.4634999999999998</v>
      </c>
      <c r="F120" s="327">
        <f t="shared" si="5"/>
        <v>-3.0999999999999694E-2</v>
      </c>
      <c r="G120" s="328">
        <f t="array" ref="G120">IF(NymexData!$AA$12="",GasPosn!E120,SUM(IF(MONTH(NymexData!$AA$12:$AA$250)&amp;YEAR(NymexData!$AA$12:$AA$250)=MONTH(A120)&amp;YEAR(A120),NymexData!$AB$12:$AB$250)))</f>
        <v>4.4325000000000001</v>
      </c>
      <c r="H120" s="99">
        <f t="shared" si="26"/>
        <v>39886.708805999609</v>
      </c>
      <c r="I120" s="92">
        <f t="shared" si="27"/>
        <v>0</v>
      </c>
      <c r="J120" s="92">
        <f t="shared" si="40"/>
        <v>39886.708805999609</v>
      </c>
      <c r="L120" s="378"/>
      <c r="O120" s="47">
        <f t="shared" si="36"/>
        <v>40483</v>
      </c>
      <c r="BD120" s="48">
        <f t="shared" si="37"/>
        <v>0</v>
      </c>
      <c r="BE120" s="334">
        <f t="shared" si="38"/>
        <v>0</v>
      </c>
      <c r="BG120" s="51">
        <f t="shared" si="34"/>
        <v>40483</v>
      </c>
      <c r="BH120" s="335">
        <f t="shared" si="35"/>
        <v>0</v>
      </c>
      <c r="BI120" s="52">
        <f>VLOOKUP(GasPosn!A120,'Pricing Summary'!$AB$12:$AD$250,3)</f>
        <v>30</v>
      </c>
      <c r="BJ120" s="50">
        <f>VLOOKUP(A120,Interest!$AF$8:$AK$367,6)</f>
        <v>0.6210057359407597</v>
      </c>
      <c r="BL120">
        <f>J120*VLOOKUP(A120,NymexData!$J$12:$K$244,2)</f>
        <v>63867.04594806485</v>
      </c>
      <c r="BO120">
        <f>Interest!AK116</f>
        <v>0.6210057359407597</v>
      </c>
      <c r="BP120">
        <f>G120*Interest!AK116</f>
        <v>2.7526079245574175</v>
      </c>
      <c r="BQ120">
        <f t="shared" si="28"/>
        <v>1</v>
      </c>
      <c r="BR120">
        <f t="shared" si="29"/>
        <v>0.6210057359407597</v>
      </c>
      <c r="BS120">
        <f t="shared" si="30"/>
        <v>2.7526079245574175</v>
      </c>
    </row>
    <row r="121" spans="1:71" ht="18" x14ac:dyDescent="0.25">
      <c r="A121" s="100">
        <f>[4]EnergyCurve!$D143</f>
        <v>40513</v>
      </c>
      <c r="B121" s="329">
        <f t="array" ref="B121">SUM(IF(MONTH(NymexData!$AI$12:$AI$250)&amp;YEAR(NymexData!$AI$12:$AI$250)=MONTH(A121)&amp;YEAR(A121),NymexData!$AJ$12:$AJ$250))</f>
        <v>-132.15373933999999</v>
      </c>
      <c r="C121" s="330">
        <f t="shared" si="25"/>
        <v>0</v>
      </c>
      <c r="D121" s="331">
        <f t="shared" si="39"/>
        <v>-132.15373933999999</v>
      </c>
      <c r="E121" s="332">
        <f t="array" ref="E121">SUM(IF(MONTH(NymexData!$S$12:$S$250)&amp;YEAR(NymexData!$S$12:$S$250)=MONTH(A121)&amp;YEAR(A121),NymexData!$T$12:$T$250))</f>
        <v>4.6154999999999999</v>
      </c>
      <c r="F121" s="332">
        <f t="shared" si="5"/>
        <v>-3.0999999999999694E-2</v>
      </c>
      <c r="G121" s="333">
        <f t="array" ref="G121">IF(NymexData!$AA$12="",GasPosn!E121,SUM(IF(MONTH(NymexData!$AA$12:$AA$250)&amp;YEAR(NymexData!$AA$12:$AA$250)=MONTH(A121)&amp;YEAR(A121),NymexData!$AB$12:$AB$250)))</f>
        <v>4.5845000000000002</v>
      </c>
      <c r="H121" s="85">
        <f t="shared" si="26"/>
        <v>40967.659195399596</v>
      </c>
      <c r="I121" s="88">
        <f t="shared" si="27"/>
        <v>0</v>
      </c>
      <c r="J121" s="88">
        <f t="shared" si="40"/>
        <v>40967.659195399596</v>
      </c>
      <c r="L121" s="378"/>
      <c r="O121" s="47">
        <f t="shared" si="36"/>
        <v>40513</v>
      </c>
      <c r="BD121" s="48">
        <f t="shared" si="37"/>
        <v>0</v>
      </c>
      <c r="BE121" s="334">
        <f t="shared" si="38"/>
        <v>0</v>
      </c>
      <c r="BG121" s="51">
        <f t="shared" si="34"/>
        <v>40513</v>
      </c>
      <c r="BH121" s="335">
        <f t="shared" si="35"/>
        <v>0</v>
      </c>
      <c r="BI121" s="52">
        <f>VLOOKUP(GasPosn!A121,'Pricing Summary'!$AB$12:$AD$250,3)</f>
        <v>31</v>
      </c>
      <c r="BJ121" s="50">
        <f>VLOOKUP(A121,Interest!$AF$8:$AK$367,6)</f>
        <v>0.61767509677595422</v>
      </c>
      <c r="BL121">
        <f>J121*VLOOKUP(A121,NymexData!$J$12:$K$244,2)</f>
        <v>65648.019702426856</v>
      </c>
      <c r="BO121">
        <f>Interest!AK117</f>
        <v>0.61767509677595422</v>
      </c>
      <c r="BP121">
        <f>G121*Interest!AK117</f>
        <v>2.8317314811693621</v>
      </c>
      <c r="BQ121">
        <f t="shared" si="28"/>
        <v>1</v>
      </c>
      <c r="BR121">
        <f t="shared" si="29"/>
        <v>0.61767509677595422</v>
      </c>
      <c r="BS121">
        <f t="shared" si="30"/>
        <v>2.8317314811693621</v>
      </c>
    </row>
    <row r="122" spans="1:71" ht="18" x14ac:dyDescent="0.25">
      <c r="A122" s="98">
        <f>[4]EnergyCurve!$D144</f>
        <v>40544</v>
      </c>
      <c r="B122" s="324">
        <f t="array" ref="B122">SUM(IF(MONTH(NymexData!$AI$12:$AI$250)&amp;YEAR(NymexData!$AI$12:$AI$250)=MONTH(A122)&amp;YEAR(A122),NymexData!$AJ$12:$AJ$250))</f>
        <v>-44.088079260000001</v>
      </c>
      <c r="C122" s="324">
        <f t="shared" si="25"/>
        <v>0</v>
      </c>
      <c r="D122" s="326">
        <f t="shared" si="39"/>
        <v>-44.088079260000001</v>
      </c>
      <c r="E122" s="327">
        <f t="array" ref="E122">SUM(IF(MONTH(NymexData!$S$12:$S$250)&amp;YEAR(NymexData!$S$12:$S$250)=MONTH(A122)&amp;YEAR(A122),NymexData!$T$12:$T$250))</f>
        <v>4.6855000000000002</v>
      </c>
      <c r="F122" s="327">
        <f t="shared" si="5"/>
        <v>-2.5999999999999801E-2</v>
      </c>
      <c r="G122" s="328">
        <f t="array" ref="G122">IF(NymexData!$AA$12="",GasPosn!E122,SUM(IF(MONTH(NymexData!$AA$12:$AA$250)&amp;YEAR(NymexData!$AA$12:$AA$250)=MONTH(A122)&amp;YEAR(A122),NymexData!$AB$12:$AB$250)))</f>
        <v>4.6595000000000004</v>
      </c>
      <c r="H122" s="99">
        <f t="shared" si="26"/>
        <v>11462.900607599911</v>
      </c>
      <c r="I122" s="92">
        <f t="shared" si="27"/>
        <v>0</v>
      </c>
      <c r="J122" s="92">
        <f t="shared" si="40"/>
        <v>11462.900607599911</v>
      </c>
      <c r="L122" s="378"/>
      <c r="O122" s="47">
        <f t="shared" si="36"/>
        <v>40544</v>
      </c>
      <c r="BD122" s="48">
        <f t="shared" si="37"/>
        <v>0</v>
      </c>
      <c r="BE122" s="334">
        <f t="shared" si="38"/>
        <v>0</v>
      </c>
      <c r="BG122" s="51">
        <f t="shared" si="34"/>
        <v>40544</v>
      </c>
      <c r="BH122" s="335">
        <f t="shared" si="35"/>
        <v>0</v>
      </c>
      <c r="BI122" s="52">
        <f>VLOOKUP(GasPosn!A122,'Pricing Summary'!$AB$12:$AD$250,3)</f>
        <v>31</v>
      </c>
      <c r="BJ122" s="50">
        <f>VLOOKUP(A122,Interest!$AF$8:$AK$367,6)</f>
        <v>0.6143322665765536</v>
      </c>
      <c r="BL122">
        <f>J122*VLOOKUP(A122,NymexData!$J$12:$K$244,2)</f>
        <v>18383.273298014581</v>
      </c>
      <c r="BO122">
        <f>Interest!AK118</f>
        <v>0.6143322665765536</v>
      </c>
      <c r="BP122">
        <f>G122*Interest!AK118</f>
        <v>2.8624811961134515</v>
      </c>
      <c r="BQ122">
        <f t="shared" si="28"/>
        <v>0</v>
      </c>
      <c r="BR122">
        <f t="shared" si="29"/>
        <v>0</v>
      </c>
      <c r="BS122">
        <f t="shared" si="30"/>
        <v>0</v>
      </c>
    </row>
    <row r="123" spans="1:71" ht="18" x14ac:dyDescent="0.25">
      <c r="A123" s="100">
        <f>[4]EnergyCurve!$D145</f>
        <v>40575</v>
      </c>
      <c r="B123" s="329">
        <f t="array" ref="B123">SUM(IF(MONTH(NymexData!$AI$12:$AI$250)&amp;YEAR(NymexData!$AI$12:$AI$250)=MONTH(A123)&amp;YEAR(A123),NymexData!$AJ$12:$AJ$250))</f>
        <v>-39.570922920000001</v>
      </c>
      <c r="C123" s="330">
        <f t="shared" si="25"/>
        <v>0</v>
      </c>
      <c r="D123" s="331">
        <f t="shared" si="39"/>
        <v>-39.570922920000001</v>
      </c>
      <c r="E123" s="332">
        <f t="array" ref="E123">SUM(IF(MONTH(NymexData!$S$12:$S$250)&amp;YEAR(NymexData!$S$12:$S$250)=MONTH(A123)&amp;YEAR(A123),NymexData!$T$12:$T$250))</f>
        <v>4.5985000000000005</v>
      </c>
      <c r="F123" s="332">
        <f t="shared" si="5"/>
        <v>-2.7000000000000135E-2</v>
      </c>
      <c r="G123" s="333">
        <f t="array" ref="G123">IF(NymexData!$AA$12="",GasPosn!E123,SUM(IF(MONTH(NymexData!$AA$12:$AA$250)&amp;YEAR(NymexData!$AA$12:$AA$250)=MONTH(A123)&amp;YEAR(A123),NymexData!$AB$12:$AB$250)))</f>
        <v>4.5715000000000003</v>
      </c>
      <c r="H123" s="85">
        <f t="shared" si="26"/>
        <v>10684.149188400053</v>
      </c>
      <c r="I123" s="88">
        <f t="shared" si="27"/>
        <v>0</v>
      </c>
      <c r="J123" s="88">
        <f t="shared" si="40"/>
        <v>10684.149188400053</v>
      </c>
      <c r="L123" s="378"/>
      <c r="O123" s="47">
        <f t="shared" si="36"/>
        <v>40575</v>
      </c>
      <c r="BD123" s="48">
        <f t="shared" si="37"/>
        <v>0</v>
      </c>
      <c r="BE123" s="334">
        <f t="shared" si="38"/>
        <v>0</v>
      </c>
      <c r="BG123" s="51">
        <f t="shared" si="34"/>
        <v>40575</v>
      </c>
      <c r="BH123" s="335">
        <f t="shared" si="35"/>
        <v>0</v>
      </c>
      <c r="BI123" s="52">
        <f>VLOOKUP(GasPosn!A123,'Pricing Summary'!$AB$12:$AD$250,3)</f>
        <v>28</v>
      </c>
      <c r="BJ123" s="50">
        <f>VLOOKUP(A123,Interest!$AF$8:$AK$367,6)</f>
        <v>0.61126063482693205</v>
      </c>
      <c r="BL123">
        <f>J123*VLOOKUP(A123,NymexData!$J$12:$K$244,2)</f>
        <v>17148.301048619924</v>
      </c>
      <c r="BO123">
        <f>Interest!AK119</f>
        <v>0.61126063482693205</v>
      </c>
      <c r="BP123">
        <f>G123*Interest!AK119</f>
        <v>2.7943779921113201</v>
      </c>
      <c r="BQ123">
        <f t="shared" si="28"/>
        <v>0</v>
      </c>
      <c r="BR123">
        <f t="shared" si="29"/>
        <v>0</v>
      </c>
      <c r="BS123">
        <f t="shared" si="30"/>
        <v>0</v>
      </c>
    </row>
    <row r="124" spans="1:71" ht="18" x14ac:dyDescent="0.25">
      <c r="A124" s="98">
        <f>[4]EnergyCurve!$D146</f>
        <v>40603</v>
      </c>
      <c r="B124" s="324">
        <f t="array" ref="B124">SUM(IF(MONTH(NymexData!$AI$12:$AI$250)&amp;YEAR(NymexData!$AI$12:$AI$250)=MONTH(A124)&amp;YEAR(A124),NymexData!$AJ$12:$AJ$250))</f>
        <v>-43.560456260000002</v>
      </c>
      <c r="C124" s="324">
        <f t="shared" si="25"/>
        <v>0</v>
      </c>
      <c r="D124" s="326">
        <f t="shared" si="39"/>
        <v>-43.560456260000002</v>
      </c>
      <c r="E124" s="327">
        <f t="array" ref="E124">SUM(IF(MONTH(NymexData!$S$12:$S$250)&amp;YEAR(NymexData!$S$12:$S$250)=MONTH(A124)&amp;YEAR(A124),NymexData!$T$12:$T$250))</f>
        <v>4.4595000000000002</v>
      </c>
      <c r="F124" s="327">
        <f t="shared" si="5"/>
        <v>-2.7000000000000135E-2</v>
      </c>
      <c r="G124" s="328">
        <f t="array" ref="G124">IF(NymexData!$AA$12="",GasPosn!E124,SUM(IF(MONTH(NymexData!$AA$12:$AA$250)&amp;YEAR(NymexData!$AA$12:$AA$250)=MONTH(A124)&amp;YEAR(A124),NymexData!$AB$12:$AB$250)))</f>
        <v>4.4325000000000001</v>
      </c>
      <c r="H124" s="99">
        <f t="shared" si="26"/>
        <v>11761.323190200059</v>
      </c>
      <c r="I124" s="92">
        <f t="shared" si="27"/>
        <v>0</v>
      </c>
      <c r="J124" s="92">
        <f t="shared" si="40"/>
        <v>11761.323190200059</v>
      </c>
      <c r="L124" s="378"/>
      <c r="O124" s="47">
        <f t="shared" si="36"/>
        <v>40603</v>
      </c>
      <c r="BD124" s="48">
        <f t="shared" si="37"/>
        <v>0</v>
      </c>
      <c r="BE124" s="334">
        <f t="shared" si="38"/>
        <v>0</v>
      </c>
      <c r="BG124" s="51">
        <f t="shared" si="34"/>
        <v>40603</v>
      </c>
      <c r="BH124" s="335">
        <f t="shared" si="35"/>
        <v>0</v>
      </c>
      <c r="BI124" s="52">
        <f>VLOOKUP(GasPosn!A124,'Pricing Summary'!$AB$12:$AD$250,3)</f>
        <v>31</v>
      </c>
      <c r="BJ124" s="50">
        <f>VLOOKUP(A124,Interest!$AF$8:$AK$367,6)</f>
        <v>0.60798998071829635</v>
      </c>
      <c r="BL124">
        <f>J124*VLOOKUP(A124,NymexData!$J$12:$K$244,2)</f>
        <v>18891.234130121404</v>
      </c>
      <c r="BO124">
        <f>Interest!AK120</f>
        <v>0.60798998071829635</v>
      </c>
      <c r="BP124">
        <f>G124*Interest!AK120</f>
        <v>2.6949155895338488</v>
      </c>
      <c r="BQ124">
        <f t="shared" si="28"/>
        <v>0</v>
      </c>
      <c r="BR124">
        <f t="shared" si="29"/>
        <v>0</v>
      </c>
      <c r="BS124">
        <f t="shared" si="30"/>
        <v>0</v>
      </c>
    </row>
    <row r="125" spans="1:71" ht="18" x14ac:dyDescent="0.25">
      <c r="A125" s="100">
        <f>[4]EnergyCurve!$D147</f>
        <v>40634</v>
      </c>
      <c r="B125" s="329">
        <f t="array" ref="B125">SUM(IF(MONTH(NymexData!$AI$12:$AI$250)&amp;YEAR(NymexData!$AI$12:$AI$250)=MONTH(A125)&amp;YEAR(A125),NymexData!$AJ$12:$AJ$250))</f>
        <v>-41.88759795</v>
      </c>
      <c r="C125" s="330">
        <f t="shared" si="25"/>
        <v>0</v>
      </c>
      <c r="D125" s="331">
        <f t="shared" si="39"/>
        <v>-41.88759795</v>
      </c>
      <c r="E125" s="332">
        <f t="array" ref="E125">SUM(IF(MONTH(NymexData!$S$12:$S$250)&amp;YEAR(NymexData!$S$12:$S$250)=MONTH(A125)&amp;YEAR(A125),NymexData!$T$12:$T$250))</f>
        <v>4.3055000000000003</v>
      </c>
      <c r="F125" s="332">
        <f t="shared" si="5"/>
        <v>-2.7000000000000135E-2</v>
      </c>
      <c r="G125" s="333">
        <f t="array" ref="G125">IF(NymexData!$AA$12="",GasPosn!E125,SUM(IF(MONTH(NymexData!$AA$12:$AA$250)&amp;YEAR(NymexData!$AA$12:$AA$250)=MONTH(A125)&amp;YEAR(A125),NymexData!$AB$12:$AB$250)))</f>
        <v>4.2785000000000002</v>
      </c>
      <c r="H125" s="85">
        <f t="shared" si="26"/>
        <v>11309.651446500056</v>
      </c>
      <c r="I125" s="88">
        <f t="shared" si="27"/>
        <v>0</v>
      </c>
      <c r="J125" s="88">
        <f t="shared" si="40"/>
        <v>11309.651446500056</v>
      </c>
      <c r="L125" s="378"/>
      <c r="O125" s="47">
        <f t="shared" si="36"/>
        <v>40634</v>
      </c>
      <c r="BD125" s="48">
        <f t="shared" si="37"/>
        <v>0</v>
      </c>
      <c r="BE125" s="334">
        <f t="shared" si="38"/>
        <v>0</v>
      </c>
      <c r="BG125" s="51">
        <f t="shared" si="34"/>
        <v>40634</v>
      </c>
      <c r="BH125" s="335">
        <f t="shared" si="35"/>
        <v>0</v>
      </c>
      <c r="BI125" s="52">
        <f>VLOOKUP(GasPosn!A125,'Pricing Summary'!$AB$12:$AD$250,3)</f>
        <v>30</v>
      </c>
      <c r="BJ125" s="50">
        <f>VLOOKUP(A125,Interest!$AF$8:$AK$367,6)</f>
        <v>0.60475560624180724</v>
      </c>
      <c r="BL125">
        <f>J125*VLOOKUP(A125,NymexData!$J$12:$K$244,2)</f>
        <v>18180.914374901251</v>
      </c>
      <c r="BO125">
        <f>Interest!AK121</f>
        <v>0.60475560624180724</v>
      </c>
      <c r="BP125">
        <f>G125*Interest!AK121</f>
        <v>2.5874468613055726</v>
      </c>
      <c r="BQ125">
        <f t="shared" si="28"/>
        <v>0</v>
      </c>
      <c r="BR125">
        <f t="shared" si="29"/>
        <v>0</v>
      </c>
      <c r="BS125">
        <f t="shared" si="30"/>
        <v>0</v>
      </c>
    </row>
    <row r="126" spans="1:71" ht="18" x14ac:dyDescent="0.25">
      <c r="A126" s="98">
        <f>[4]EnergyCurve!$D148</f>
        <v>40664</v>
      </c>
      <c r="B126" s="324">
        <f t="array" ref="B126">SUM(IF(MONTH(NymexData!$AI$12:$AI$250)&amp;YEAR(NymexData!$AI$12:$AI$250)=MONTH(A126)&amp;YEAR(A126),NymexData!$AJ$12:$AJ$250))</f>
        <v>-43.016593520000001</v>
      </c>
      <c r="C126" s="324">
        <f t="shared" si="25"/>
        <v>0</v>
      </c>
      <c r="D126" s="326">
        <f t="shared" si="39"/>
        <v>-43.016593520000001</v>
      </c>
      <c r="E126" s="327">
        <f t="array" ref="E126">SUM(IF(MONTH(NymexData!$S$12:$S$250)&amp;YEAR(NymexData!$S$12:$S$250)=MONTH(A126)&amp;YEAR(A126),NymexData!$T$12:$T$250))</f>
        <v>4.3105000000000002</v>
      </c>
      <c r="F126" s="327">
        <f t="shared" si="5"/>
        <v>-2.7000000000000135E-2</v>
      </c>
      <c r="G126" s="328">
        <f t="array" ref="G126">IF(NymexData!$AA$12="",GasPosn!E126,SUM(IF(MONTH(NymexData!$AA$12:$AA$250)&amp;YEAR(NymexData!$AA$12:$AA$250)=MONTH(A126)&amp;YEAR(A126),NymexData!$AB$12:$AB$250)))</f>
        <v>4.2835000000000001</v>
      </c>
      <c r="H126" s="99">
        <f t="shared" si="26"/>
        <v>11614.480250400058</v>
      </c>
      <c r="I126" s="92">
        <f t="shared" si="27"/>
        <v>0</v>
      </c>
      <c r="J126" s="92">
        <f t="shared" si="40"/>
        <v>11614.480250400058</v>
      </c>
      <c r="L126" s="378"/>
      <c r="O126" s="47">
        <f t="shared" si="36"/>
        <v>40664</v>
      </c>
      <c r="BD126" s="48">
        <f t="shared" si="37"/>
        <v>0</v>
      </c>
      <c r="BE126" s="334">
        <f t="shared" si="38"/>
        <v>0</v>
      </c>
      <c r="BG126" s="51">
        <f t="shared" si="34"/>
        <v>40664</v>
      </c>
      <c r="BH126" s="335">
        <f t="shared" si="35"/>
        <v>0</v>
      </c>
      <c r="BI126" s="52">
        <f>VLOOKUP(GasPosn!A126,'Pricing Summary'!$AB$12:$AD$250,3)</f>
        <v>31</v>
      </c>
      <c r="BJ126" s="50">
        <f>VLOOKUP(A126,Interest!$AF$8:$AK$367,6)</f>
        <v>0.60146059659194084</v>
      </c>
      <c r="BL126">
        <f>J126*VLOOKUP(A126,NymexData!$J$12:$K$244,2)</f>
        <v>18686.230666333922</v>
      </c>
      <c r="BO126">
        <f>Interest!AK122</f>
        <v>0.60146059659194084</v>
      </c>
      <c r="BP126">
        <f>G126*Interest!AK122</f>
        <v>2.5763564655015787</v>
      </c>
      <c r="BQ126">
        <f t="shared" si="28"/>
        <v>0</v>
      </c>
      <c r="BR126">
        <f t="shared" si="29"/>
        <v>0</v>
      </c>
      <c r="BS126">
        <f t="shared" si="30"/>
        <v>0</v>
      </c>
    </row>
    <row r="127" spans="1:71" ht="18" x14ac:dyDescent="0.25">
      <c r="A127" s="100">
        <f>[4]EnergyCurve!$D149</f>
        <v>40695</v>
      </c>
      <c r="B127" s="329">
        <f t="array" ref="B127">SUM(IF(MONTH(NymexData!$AI$12:$AI$250)&amp;YEAR(NymexData!$AI$12:$AI$250)=MONTH(A127)&amp;YEAR(A127),NymexData!$AJ$12:$AJ$250))</f>
        <v>-41.362141629999996</v>
      </c>
      <c r="C127" s="330">
        <f t="shared" si="25"/>
        <v>0</v>
      </c>
      <c r="D127" s="331">
        <f t="shared" si="39"/>
        <v>-41.362141629999996</v>
      </c>
      <c r="E127" s="332">
        <f t="array" ref="E127">SUM(IF(MONTH(NymexData!$S$12:$S$250)&amp;YEAR(NymexData!$S$12:$S$250)=MONTH(A127)&amp;YEAR(A127),NymexData!$T$12:$T$250))</f>
        <v>4.3485000000000005</v>
      </c>
      <c r="F127" s="332">
        <f t="shared" si="5"/>
        <v>-2.7000000000000135E-2</v>
      </c>
      <c r="G127" s="333">
        <f t="array" ref="G127">IF(NymexData!$AA$12="",GasPosn!E127,SUM(IF(MONTH(NymexData!$AA$12:$AA$250)&amp;YEAR(NymexData!$AA$12:$AA$250)=MONTH(A127)&amp;YEAR(A127),NymexData!$AB$12:$AB$250)))</f>
        <v>4.3215000000000003</v>
      </c>
      <c r="H127" s="85">
        <f t="shared" si="26"/>
        <v>11167.778240100055</v>
      </c>
      <c r="I127" s="88">
        <f t="shared" si="27"/>
        <v>0</v>
      </c>
      <c r="J127" s="88">
        <f t="shared" si="40"/>
        <v>11167.778240100055</v>
      </c>
      <c r="O127" s="47">
        <f t="shared" si="36"/>
        <v>40695</v>
      </c>
      <c r="BD127" s="48">
        <f t="shared" si="37"/>
        <v>0</v>
      </c>
      <c r="BE127" s="334">
        <f t="shared" si="38"/>
        <v>0</v>
      </c>
      <c r="BG127" s="51">
        <f t="shared" si="34"/>
        <v>40695</v>
      </c>
      <c r="BH127" s="335">
        <f t="shared" si="35"/>
        <v>0</v>
      </c>
      <c r="BI127" s="52">
        <f>VLOOKUP(GasPosn!A127,'Pricing Summary'!$AB$12:$AD$250,3)</f>
        <v>30</v>
      </c>
      <c r="BJ127" s="50">
        <f>VLOOKUP(A127,Interest!$AF$8:$AK$367,6)</f>
        <v>0.59824026033477595</v>
      </c>
      <c r="BL127">
        <f>J127*VLOOKUP(A127,NymexData!$J$12:$K$244,2)</f>
        <v>17982.948325774851</v>
      </c>
      <c r="BO127">
        <f>Interest!AK123</f>
        <v>0.59824026033477595</v>
      </c>
      <c r="BP127">
        <f>G127*Interest!AK123</f>
        <v>2.5852952850367346</v>
      </c>
      <c r="BQ127">
        <f t="shared" si="28"/>
        <v>0</v>
      </c>
      <c r="BR127">
        <f t="shared" si="29"/>
        <v>0</v>
      </c>
      <c r="BS127">
        <f t="shared" si="30"/>
        <v>0</v>
      </c>
    </row>
    <row r="128" spans="1:71" ht="18.75" thickBot="1" x14ac:dyDescent="0.3">
      <c r="A128" s="256">
        <f>[4]EnergyCurve!$D150</f>
        <v>40725</v>
      </c>
      <c r="B128" s="341">
        <f t="array" ref="B128">SUM(IF(MONTH(NymexData!$AI$12:$AI$250)&amp;YEAR(NymexData!$AI$12:$AI$250)=MONTH(A128)&amp;YEAR(A128),NymexData!$AJ$12:$AJ$250))</f>
        <v>-42.474510719999998</v>
      </c>
      <c r="C128" s="341">
        <f t="shared" si="25"/>
        <v>0</v>
      </c>
      <c r="D128" s="342">
        <f>C128+B128</f>
        <v>-42.474510719999998</v>
      </c>
      <c r="E128" s="343">
        <f t="array" ref="E128">SUM(IF(MONTH(NymexData!$S$12:$S$250)&amp;YEAR(NymexData!$S$12:$S$250)=MONTH(A128)&amp;YEAR(A128),NymexData!$T$12:$T$250))</f>
        <v>4.3935000000000004</v>
      </c>
      <c r="F128" s="343">
        <f t="shared" si="5"/>
        <v>-2.7000000000000135E-2</v>
      </c>
      <c r="G128" s="344">
        <f t="array" ref="G128">IF(NymexData!$AA$12="",GasPosn!E128,SUM(IF(MONTH(NymexData!$AA$12:$AA$250)&amp;YEAR(NymexData!$AA$12:$AA$250)=MONTH(A128)&amp;YEAR(A128),NymexData!$AB$12:$AB$250)))</f>
        <v>4.3665000000000003</v>
      </c>
      <c r="H128" s="345">
        <f t="shared" si="26"/>
        <v>11468.117894400057</v>
      </c>
      <c r="I128" s="346">
        <f t="shared" si="27"/>
        <v>0</v>
      </c>
      <c r="J128" s="346">
        <f>H128+I128</f>
        <v>11468.117894400057</v>
      </c>
      <c r="O128" s="47">
        <f t="shared" si="36"/>
        <v>40725</v>
      </c>
      <c r="BD128" s="48">
        <f>(P128+R128+T128+V128+X128+Z128+AB128+AD128+AF128+AH128+AJ128+AL128+AN128+AP128+AR128+AT128+AV128+AX128+AZ128+BB128)</f>
        <v>0</v>
      </c>
      <c r="BE128" s="334">
        <f>IF(AND(BD128=0,BH128=0),0,(ABS(P128)*Q128+ABS(R128)*S128+ABS(T128)*U128+ABS(V128)*W128+ABS(X128)*Y128+ABS(Z128)*AA128+ABS(AB128)*AC128+ABS(AD128)*AE128+ABS(AF128)*AG128+ABS(AH128)*AI128+ABS(AJ128)*AK128+ABS(AL128)*AM128+ABS(AN128)*AO128+ABS(AP128)*AQ128+ABS(AR128)*AS128+ABS(AT128)*AU128+ABS(AV128)*AW128+ABS(AX128)*AY128+ABS(AZ128)*BA128+ABS(BB128)*BC128)/BH128)</f>
        <v>0</v>
      </c>
      <c r="BG128" s="51">
        <f t="shared" si="34"/>
        <v>40725</v>
      </c>
      <c r="BH128" s="335">
        <f t="shared" si="35"/>
        <v>0</v>
      </c>
      <c r="BI128" s="52">
        <f>VLOOKUP(GasPosn!A128,'Pricing Summary'!$AB$12:$AD$250,3)</f>
        <v>31</v>
      </c>
      <c r="BJ128" s="50">
        <f>VLOOKUP(A128,Interest!$AF$8:$AK$367,6)</f>
        <v>0.59496016590654466</v>
      </c>
      <c r="BL128">
        <f>J128*VLOOKUP(A128,NymexData!$J$12:$K$244,2)</f>
        <v>18482.095240379287</v>
      </c>
      <c r="BO128">
        <f>Interest!AK124</f>
        <v>0.59496016590654466</v>
      </c>
      <c r="BP128">
        <f>G128*Interest!AK124</f>
        <v>2.5978935644309273</v>
      </c>
      <c r="BQ128">
        <f t="shared" si="28"/>
        <v>0</v>
      </c>
      <c r="BR128">
        <f t="shared" si="29"/>
        <v>0</v>
      </c>
      <c r="BS128">
        <f t="shared" si="30"/>
        <v>0</v>
      </c>
    </row>
    <row r="129" spans="1:71" ht="18" x14ac:dyDescent="0.25">
      <c r="A129" s="100">
        <f>[4]EnergyCurve!$D151</f>
        <v>40756</v>
      </c>
      <c r="B129" s="329">
        <f t="array" ref="B129">SUM(IF(MONTH(NymexData!$AI$12:$AI$250)&amp;YEAR(NymexData!$AI$12:$AI$250)=MONTH(A129)&amp;YEAR(A129),NymexData!$AJ$12:$AJ$250))</f>
        <v>-42.19974217</v>
      </c>
      <c r="C129" s="330">
        <f t="shared" ref="C129:C188" si="41">BD129*BJ129*BI129</f>
        <v>0</v>
      </c>
      <c r="D129" s="331">
        <f t="shared" ref="D129:D188" si="42">C129+B129</f>
        <v>-42.19974217</v>
      </c>
      <c r="E129" s="332">
        <f t="array" ref="E129">SUM(IF(MONTH(NymexData!$S$12:$S$250)&amp;YEAR(NymexData!$S$12:$S$250)=MONTH(A129)&amp;YEAR(A129),NymexData!$T$12:$T$250))</f>
        <v>4.4314999999999998</v>
      </c>
      <c r="F129" s="332">
        <f t="shared" ref="F129:F188" si="43">G129-E129</f>
        <v>-2.6999999999999247E-2</v>
      </c>
      <c r="G129" s="333">
        <f t="array" ref="G129">IF(NymexData!$AA$12="",GasPosn!E129,SUM(IF(MONTH(NymexData!$AA$12:$AA$250)&amp;YEAR(NymexData!$AA$12:$AA$250)=MONTH(A129)&amp;YEAR(A129),NymexData!$AB$12:$AB$250)))</f>
        <v>4.4045000000000005</v>
      </c>
      <c r="H129" s="85">
        <f t="shared" ref="H129:H188" si="44">B129*10000*F129</f>
        <v>11393.930385899683</v>
      </c>
      <c r="I129" s="88">
        <f t="shared" ref="I129:I188" si="45">(((G129-Q129)*P129+(G129-S129)*R129+(G129-U129)*T129+(G129-W129)*V129+(G129-Y129)*X129+(G129-AA129)*Z129+(G129-AC129)*AB129+(G129-AE129)*AD129+(G129-AG129)*AF129+(G129-AI129)*AH129+(G129-AK129)*AJ129+(G129-AM129)*AL129+(G129-AO129)*AN129+(G129-AQ129)*AP129+(G129-AS129)*AR129+(G129-AU129)*AT129+(G129-AW129)*AV129+(G129-AY129)*AX129+(G129-BA129)*AZ129+(G129-BC129)*BB129)*BJ129*BI129)*10000</f>
        <v>0</v>
      </c>
      <c r="J129" s="88">
        <f t="shared" ref="J129:J188" si="46">H129+I129</f>
        <v>11393.930385899683</v>
      </c>
      <c r="O129" s="47">
        <f t="shared" ref="O129:O188" si="47">A129</f>
        <v>40756</v>
      </c>
      <c r="BD129" s="48">
        <f t="shared" ref="BD129:BD188" si="48">(P129+R129+T129+V129+X129+Z129+AB129+AD129+AF129+AH129+AJ129+AL129+AN129+AP129+AR129+AT129+AV129+AX129+AZ129+BB129)</f>
        <v>0</v>
      </c>
      <c r="BE129" s="334">
        <f t="shared" ref="BE129:BE188" si="49">IF(AND(BD129=0,BH129=0),0,(ABS(P129)*Q129+ABS(R129)*S129+ABS(T129)*U129+ABS(V129)*W129+ABS(X129)*Y129+ABS(Z129)*AA129+ABS(AB129)*AC129+ABS(AD129)*AE129+ABS(AF129)*AG129+ABS(AH129)*AI129+ABS(AJ129)*AK129+ABS(AL129)*AM129+ABS(AN129)*AO129+ABS(AP129)*AQ129+ABS(AR129)*AS129+ABS(AT129)*AU129+ABS(AV129)*AW129+ABS(AX129)*AY129+ABS(AZ129)*BA129+ABS(BB129)*BC129)/BH129)</f>
        <v>0</v>
      </c>
      <c r="BG129" s="51">
        <f t="shared" ref="BG129:BG188" si="50">O129</f>
        <v>40756</v>
      </c>
      <c r="BH129" s="335">
        <f t="shared" ref="BH129:BH188" si="51">(ABS(P129)+ABS(R129)+ABS(T129)+ABS(V129)+ABS(X129)+ABS(Z129)+ABS(AB129)+ABS(AD129)+ABS(AF129)+ABS(AH129)+ABS(AJ129)+ABS(AL129)+ABS(AN129)+ABS(AP129)+ABS(AR129)+ABS(AT129)+ABS(AV129)+ABS(AX129)+ABS(AZ129)+ABS(BB129))</f>
        <v>0</v>
      </c>
      <c r="BI129" s="52">
        <f>VLOOKUP(GasPosn!A129,'Pricing Summary'!$AB$12:$AD$250,3)</f>
        <v>31</v>
      </c>
      <c r="BJ129" s="50">
        <f>VLOOKUP(A129,Interest!$AF$8:$AK$367,6)</f>
        <v>0.59166795310107467</v>
      </c>
      <c r="BL129">
        <f>J129*VLOOKUP(A129,NymexData!$J$12:$K$244,2)</f>
        <v>18378.693545181657</v>
      </c>
      <c r="BO129">
        <f>Interest!AK125</f>
        <v>0.59166795310107467</v>
      </c>
      <c r="BP129">
        <f>G129*Interest!AK125</f>
        <v>2.6060014994336838</v>
      </c>
      <c r="BQ129">
        <f t="shared" si="28"/>
        <v>0</v>
      </c>
      <c r="BR129">
        <f t="shared" si="29"/>
        <v>0</v>
      </c>
      <c r="BS129">
        <f t="shared" si="30"/>
        <v>0</v>
      </c>
    </row>
    <row r="130" spans="1:71" ht="18" x14ac:dyDescent="0.25">
      <c r="A130" s="98">
        <f>[4]EnergyCurve!$D152</f>
        <v>40787</v>
      </c>
      <c r="B130" s="324">
        <f t="array" ref="B130">SUM(IF(MONTH(NymexData!$AI$12:$AI$250)&amp;YEAR(NymexData!$AI$12:$AI$250)=MONTH(A130)&amp;YEAR(A130),NymexData!$AJ$12:$AJ$250))</f>
        <v>-40.573039780000002</v>
      </c>
      <c r="C130" s="324">
        <f t="shared" si="41"/>
        <v>0</v>
      </c>
      <c r="D130" s="326">
        <f t="shared" si="42"/>
        <v>-40.573039780000002</v>
      </c>
      <c r="E130" s="327">
        <f t="array" ref="E130">SUM(IF(MONTH(NymexData!$S$12:$S$250)&amp;YEAR(NymexData!$S$12:$S$250)=MONTH(A130)&amp;YEAR(A130),NymexData!$T$12:$T$250))</f>
        <v>4.4255000000000004</v>
      </c>
      <c r="F130" s="327">
        <f t="shared" si="43"/>
        <v>-2.7000000000000135E-2</v>
      </c>
      <c r="G130" s="328">
        <f t="array" ref="G130">IF(NymexData!$AA$12="",GasPosn!E130,SUM(IF(MONTH(NymexData!$AA$12:$AA$250)&amp;YEAR(NymexData!$AA$12:$AA$250)=MONTH(A130)&amp;YEAR(A130),NymexData!$AB$12:$AB$250)))</f>
        <v>4.3985000000000003</v>
      </c>
      <c r="H130" s="99">
        <f t="shared" si="44"/>
        <v>10954.720740600056</v>
      </c>
      <c r="I130" s="92">
        <f t="shared" si="45"/>
        <v>0</v>
      </c>
      <c r="J130" s="92">
        <f t="shared" si="46"/>
        <v>10954.720740600056</v>
      </c>
      <c r="O130" s="47">
        <f t="shared" si="47"/>
        <v>40787</v>
      </c>
      <c r="BD130" s="48">
        <f t="shared" si="48"/>
        <v>0</v>
      </c>
      <c r="BE130" s="334">
        <f t="shared" si="49"/>
        <v>0</v>
      </c>
      <c r="BG130" s="51">
        <f t="shared" si="50"/>
        <v>40787</v>
      </c>
      <c r="BH130" s="335">
        <f t="shared" si="51"/>
        <v>0</v>
      </c>
      <c r="BI130" s="52">
        <f>VLOOKUP(GasPosn!A130,'Pricing Summary'!$AB$12:$AD$250,3)</f>
        <v>30</v>
      </c>
      <c r="BJ130" s="50">
        <f>VLOOKUP(A130,Interest!$AF$8:$AK$367,6)</f>
        <v>0.58846934945207607</v>
      </c>
      <c r="BL130">
        <f>J130*VLOOKUP(A130,NymexData!$J$12:$K$244,2)</f>
        <v>17685.990981427061</v>
      </c>
      <c r="BO130">
        <f>Interest!AK126</f>
        <v>0.58846934945207607</v>
      </c>
      <c r="BP130">
        <f>G130*Interest!AK126</f>
        <v>2.5883824335649566</v>
      </c>
      <c r="BQ130">
        <f t="shared" si="28"/>
        <v>0</v>
      </c>
      <c r="BR130">
        <f t="shared" si="29"/>
        <v>0</v>
      </c>
      <c r="BS130">
        <f t="shared" si="30"/>
        <v>0</v>
      </c>
    </row>
    <row r="131" spans="1:71" ht="18" x14ac:dyDescent="0.25">
      <c r="A131" s="100">
        <f>[4]EnergyCurve!$D153</f>
        <v>40817</v>
      </c>
      <c r="B131" s="329">
        <f t="array" ref="B131">SUM(IF(MONTH(NymexData!$AI$12:$AI$250)&amp;YEAR(NymexData!$AI$12:$AI$250)=MONTH(A131)&amp;YEAR(A131),NymexData!$AJ$12:$AJ$250))</f>
        <v>-41.660543660000002</v>
      </c>
      <c r="C131" s="330">
        <f t="shared" si="41"/>
        <v>0</v>
      </c>
      <c r="D131" s="331">
        <f t="shared" si="42"/>
        <v>-41.660543660000002</v>
      </c>
      <c r="E131" s="332">
        <f t="array" ref="E131">SUM(IF(MONTH(NymexData!$S$12:$S$250)&amp;YEAR(NymexData!$S$12:$S$250)=MONTH(A131)&amp;YEAR(A131),NymexData!$T$12:$T$250))</f>
        <v>4.4255000000000004</v>
      </c>
      <c r="F131" s="332">
        <f t="shared" si="43"/>
        <v>-2.7000000000000135E-2</v>
      </c>
      <c r="G131" s="333">
        <f t="array" ref="G131">IF(NymexData!$AA$12="",GasPosn!E131,SUM(IF(MONTH(NymexData!$AA$12:$AA$250)&amp;YEAR(NymexData!$AA$12:$AA$250)=MONTH(A131)&amp;YEAR(A131),NymexData!$AB$12:$AB$250)))</f>
        <v>4.3985000000000003</v>
      </c>
      <c r="H131" s="85">
        <f t="shared" si="44"/>
        <v>11248.346788200057</v>
      </c>
      <c r="I131" s="88">
        <f t="shared" si="45"/>
        <v>0</v>
      </c>
      <c r="J131" s="88">
        <f t="shared" si="46"/>
        <v>11248.346788200057</v>
      </c>
      <c r="O131" s="47">
        <f t="shared" si="47"/>
        <v>40817</v>
      </c>
      <c r="BD131" s="48">
        <f t="shared" si="48"/>
        <v>0</v>
      </c>
      <c r="BE131" s="334">
        <f t="shared" si="49"/>
        <v>0</v>
      </c>
      <c r="BG131" s="51">
        <f t="shared" si="50"/>
        <v>40817</v>
      </c>
      <c r="BH131" s="335">
        <f t="shared" si="51"/>
        <v>0</v>
      </c>
      <c r="BI131" s="52">
        <f>VLOOKUP(GasPosn!A131,'Pricing Summary'!$AB$12:$AD$250,3)</f>
        <v>31</v>
      </c>
      <c r="BJ131" s="50">
        <f>VLOOKUP(A131,Interest!$AF$8:$AK$367,6)</f>
        <v>0.58521229812483322</v>
      </c>
      <c r="BL131">
        <f>J131*VLOOKUP(A131,NymexData!$J$12:$K$244,2)</f>
        <v>18175.906049413032</v>
      </c>
      <c r="BO131">
        <f>Interest!AK127</f>
        <v>0.58521229812483322</v>
      </c>
      <c r="BP131">
        <f>G131*Interest!AK127</f>
        <v>2.5740562933020792</v>
      </c>
      <c r="BQ131">
        <f t="shared" si="28"/>
        <v>0</v>
      </c>
      <c r="BR131">
        <f t="shared" si="29"/>
        <v>0</v>
      </c>
      <c r="BS131">
        <f t="shared" si="30"/>
        <v>0</v>
      </c>
    </row>
    <row r="132" spans="1:71" ht="18" x14ac:dyDescent="0.25">
      <c r="A132" s="98">
        <f>[4]EnergyCurve!$D154</f>
        <v>40848</v>
      </c>
      <c r="B132" s="324">
        <f t="array" ref="B132">SUM(IF(MONTH(NymexData!$AI$12:$AI$250)&amp;YEAR(NymexData!$AI$12:$AI$250)=MONTH(A132)&amp;YEAR(A132),NymexData!$AJ$12:$AJ$250))</f>
        <v>-40.063267459999999</v>
      </c>
      <c r="C132" s="324">
        <f t="shared" si="41"/>
        <v>0</v>
      </c>
      <c r="D132" s="326">
        <f t="shared" si="42"/>
        <v>-40.063267459999999</v>
      </c>
      <c r="E132" s="327">
        <f t="array" ref="E132">SUM(IF(MONTH(NymexData!$S$12:$S$250)&amp;YEAR(NymexData!$S$12:$S$250)=MONTH(A132)&amp;YEAR(A132),NymexData!$T$12:$T$250))</f>
        <v>4.5735000000000001</v>
      </c>
      <c r="F132" s="327">
        <f t="shared" si="43"/>
        <v>-2.5999999999999801E-2</v>
      </c>
      <c r="G132" s="328">
        <f t="array" ref="G132">IF(NymexData!$AA$12="",GasPosn!E132,SUM(IF(MONTH(NymexData!$AA$12:$AA$250)&amp;YEAR(NymexData!$AA$12:$AA$250)=MONTH(A132)&amp;YEAR(A132),NymexData!$AB$12:$AB$250)))</f>
        <v>4.5475000000000003</v>
      </c>
      <c r="H132" s="99">
        <f t="shared" si="44"/>
        <v>10416.44953959992</v>
      </c>
      <c r="I132" s="92">
        <f t="shared" si="45"/>
        <v>0</v>
      </c>
      <c r="J132" s="92">
        <f t="shared" si="46"/>
        <v>10416.44953959992</v>
      </c>
      <c r="O132" s="47">
        <f t="shared" si="47"/>
        <v>40848</v>
      </c>
      <c r="BD132" s="48">
        <f t="shared" si="48"/>
        <v>0</v>
      </c>
      <c r="BE132" s="334">
        <f t="shared" si="49"/>
        <v>0</v>
      </c>
      <c r="BG132" s="51">
        <f t="shared" si="50"/>
        <v>40848</v>
      </c>
      <c r="BH132" s="335">
        <f t="shared" si="51"/>
        <v>0</v>
      </c>
      <c r="BI132" s="52">
        <f>VLOOKUP(GasPosn!A132,'Pricing Summary'!$AB$12:$AD$250,3)</f>
        <v>30</v>
      </c>
      <c r="BJ132" s="50">
        <f>VLOOKUP(A132,Interest!$AF$8:$AK$367,6)</f>
        <v>0.58208433638670865</v>
      </c>
      <c r="BL132">
        <f>J132*VLOOKUP(A132,NymexData!$J$12:$K$244,2)</f>
        <v>16843.678667133314</v>
      </c>
      <c r="BO132">
        <f>Interest!AK128</f>
        <v>0.58208433638670865</v>
      </c>
      <c r="BP132">
        <f>G132*Interest!AK128</f>
        <v>2.6470285197185577</v>
      </c>
      <c r="BQ132">
        <f t="shared" si="28"/>
        <v>0</v>
      </c>
      <c r="BR132">
        <f t="shared" si="29"/>
        <v>0</v>
      </c>
      <c r="BS132">
        <f t="shared" si="30"/>
        <v>0</v>
      </c>
    </row>
    <row r="133" spans="1:71" ht="18" x14ac:dyDescent="0.25">
      <c r="A133" s="100">
        <f>[4]EnergyCurve!$D155</f>
        <v>40878</v>
      </c>
      <c r="B133" s="329">
        <f t="array" ref="B133">SUM(IF(MONTH(NymexData!$AI$12:$AI$250)&amp;YEAR(NymexData!$AI$12:$AI$250)=MONTH(A133)&amp;YEAR(A133),NymexData!$AJ$12:$AJ$250))</f>
        <v>-41.177699930000003</v>
      </c>
      <c r="C133" s="330">
        <f t="shared" si="41"/>
        <v>0</v>
      </c>
      <c r="D133" s="331">
        <f t="shared" si="42"/>
        <v>-41.177699930000003</v>
      </c>
      <c r="E133" s="332">
        <f t="array" ref="E133">SUM(IF(MONTH(NymexData!$S$12:$S$250)&amp;YEAR(NymexData!$S$12:$S$250)=MONTH(A133)&amp;YEAR(A133),NymexData!$T$12:$T$250))</f>
        <v>4.7255000000000003</v>
      </c>
      <c r="F133" s="332">
        <f t="shared" si="43"/>
        <v>-2.5999999999999801E-2</v>
      </c>
      <c r="G133" s="333">
        <f t="array" ref="G133">IF(NymexData!$AA$12="",GasPosn!E133,SUM(IF(MONTH(NymexData!$AA$12:$AA$250)&amp;YEAR(NymexData!$AA$12:$AA$250)=MONTH(A133)&amp;YEAR(A133),NymexData!$AB$12:$AB$250)))</f>
        <v>4.6995000000000005</v>
      </c>
      <c r="H133" s="85">
        <f t="shared" si="44"/>
        <v>10706.201981799919</v>
      </c>
      <c r="I133" s="88">
        <f t="shared" si="45"/>
        <v>0</v>
      </c>
      <c r="J133" s="88">
        <f t="shared" si="46"/>
        <v>10706.201981799919</v>
      </c>
      <c r="O133" s="47">
        <f t="shared" si="47"/>
        <v>40878</v>
      </c>
      <c r="BD133" s="48">
        <f t="shared" si="48"/>
        <v>0</v>
      </c>
      <c r="BE133" s="334">
        <f t="shared" si="49"/>
        <v>0</v>
      </c>
      <c r="BG133" s="51">
        <f t="shared" si="50"/>
        <v>40878</v>
      </c>
      <c r="BH133" s="335">
        <f t="shared" si="51"/>
        <v>0</v>
      </c>
      <c r="BI133" s="52">
        <f>VLOOKUP(GasPosn!A133,'Pricing Summary'!$AB$12:$AD$250,3)</f>
        <v>31</v>
      </c>
      <c r="BJ133" s="50">
        <f>VLOOKUP(A133,Interest!$AF$8:$AK$367,6)</f>
        <v>0.57912326758519783</v>
      </c>
      <c r="BL133">
        <f>J133*VLOOKUP(A133,NymexData!$J$12:$K$244,2)</f>
        <v>17320.087685065912</v>
      </c>
      <c r="BO133">
        <f>Interest!AK129</f>
        <v>0.57912326758519783</v>
      </c>
      <c r="BP133">
        <f>G133*Interest!AK129</f>
        <v>2.7215897960166373</v>
      </c>
      <c r="BQ133">
        <f t="shared" si="28"/>
        <v>0</v>
      </c>
      <c r="BR133">
        <f t="shared" si="29"/>
        <v>0</v>
      </c>
      <c r="BS133">
        <f t="shared" si="30"/>
        <v>0</v>
      </c>
    </row>
    <row r="134" spans="1:71" ht="18" x14ac:dyDescent="0.25">
      <c r="A134" s="98">
        <f>[4]EnergyCurve!$D156</f>
        <v>40909</v>
      </c>
      <c r="B134" s="324">
        <f t="array" ref="B134">SUM(IF(MONTH(NymexData!$AI$12:$AI$250)&amp;YEAR(NymexData!$AI$12:$AI$250)=MONTH(A134)&amp;YEAR(A134),NymexData!$AJ$12:$AJ$250))</f>
        <v>-40.950059719999999</v>
      </c>
      <c r="C134" s="324">
        <f t="shared" si="41"/>
        <v>0</v>
      </c>
      <c r="D134" s="326">
        <f t="shared" si="42"/>
        <v>-40.950059719999999</v>
      </c>
      <c r="E134" s="327">
        <f t="array" ref="E134">SUM(IF(MONTH(NymexData!$S$12:$S$250)&amp;YEAR(NymexData!$S$12:$S$250)=MONTH(A134)&amp;YEAR(A134),NymexData!$T$12:$T$250))</f>
        <v>4.798</v>
      </c>
      <c r="F134" s="327">
        <f t="shared" si="43"/>
        <v>-2.0999999999999908E-2</v>
      </c>
      <c r="G134" s="328">
        <f t="array" ref="G134">IF(NymexData!$AA$12="",GasPosn!E134,SUM(IF(MONTH(NymexData!$AA$12:$AA$250)&amp;YEAR(NymexData!$AA$12:$AA$250)=MONTH(A134)&amp;YEAR(A134),NymexData!$AB$12:$AB$250)))</f>
        <v>4.7770000000000001</v>
      </c>
      <c r="H134" s="99">
        <f t="shared" si="44"/>
        <v>8599.5125411999616</v>
      </c>
      <c r="I134" s="92">
        <f t="shared" si="45"/>
        <v>0</v>
      </c>
      <c r="J134" s="92">
        <f t="shared" si="46"/>
        <v>8599.5125411999616</v>
      </c>
      <c r="O134" s="47">
        <f t="shared" si="47"/>
        <v>40909</v>
      </c>
      <c r="BD134" s="48">
        <f t="shared" si="48"/>
        <v>0</v>
      </c>
      <c r="BE134" s="334">
        <f t="shared" si="49"/>
        <v>0</v>
      </c>
      <c r="BG134" s="51">
        <f t="shared" si="50"/>
        <v>40909</v>
      </c>
      <c r="BH134" s="335">
        <f t="shared" si="51"/>
        <v>0</v>
      </c>
      <c r="BI134" s="52">
        <f>VLOOKUP(GasPosn!A134,'Pricing Summary'!$AB$12:$AD$250,3)</f>
        <v>31</v>
      </c>
      <c r="BJ134" s="50">
        <f>VLOOKUP(A134,Interest!$AF$8:$AK$367,6)</f>
        <v>0.5761611262804579</v>
      </c>
      <c r="BL134">
        <f>J134*VLOOKUP(A134,NymexData!$J$12:$K$244,2)</f>
        <v>13918.555843927783</v>
      </c>
      <c r="BO134">
        <f>Interest!AK130</f>
        <v>0.5761611262804579</v>
      </c>
      <c r="BP134">
        <f>G134*Interest!AK130</f>
        <v>2.7523217002417475</v>
      </c>
      <c r="BQ134">
        <f t="shared" si="28"/>
        <v>0</v>
      </c>
      <c r="BR134">
        <f t="shared" si="29"/>
        <v>0</v>
      </c>
      <c r="BS134">
        <f t="shared" si="30"/>
        <v>0</v>
      </c>
    </row>
    <row r="135" spans="1:71" ht="18" x14ac:dyDescent="0.25">
      <c r="A135" s="100">
        <f>[4]EnergyCurve!$D157</f>
        <v>40940</v>
      </c>
      <c r="B135" s="329">
        <f t="array" ref="B135">SUM(IF(MONTH(NymexData!$AI$12:$AI$250)&amp;YEAR(NymexData!$AI$12:$AI$250)=MONTH(A135)&amp;YEAR(A135),NymexData!$AJ$12:$AJ$250))</f>
        <v>-38.095868439999997</v>
      </c>
      <c r="C135" s="330">
        <f t="shared" si="41"/>
        <v>0</v>
      </c>
      <c r="D135" s="331">
        <f t="shared" si="42"/>
        <v>-38.095868439999997</v>
      </c>
      <c r="E135" s="332">
        <f t="array" ref="E135">SUM(IF(MONTH(NymexData!$S$12:$S$250)&amp;YEAR(NymexData!$S$12:$S$250)=MONTH(A135)&amp;YEAR(A135),NymexData!$T$12:$T$250))</f>
        <v>4.7110000000000003</v>
      </c>
      <c r="F135" s="332">
        <f t="shared" si="43"/>
        <v>-2.2000000000000242E-2</v>
      </c>
      <c r="G135" s="333">
        <f t="array" ref="G135">IF(NymexData!$AA$12="",GasPosn!E135,SUM(IF(MONTH(NymexData!$AA$12:$AA$250)&amp;YEAR(NymexData!$AA$12:$AA$250)=MONTH(A135)&amp;YEAR(A135),NymexData!$AB$12:$AB$250)))</f>
        <v>4.6890000000000001</v>
      </c>
      <c r="H135" s="85">
        <f t="shared" si="44"/>
        <v>8381.0910568000909</v>
      </c>
      <c r="I135" s="88">
        <f t="shared" si="45"/>
        <v>0</v>
      </c>
      <c r="J135" s="88">
        <f t="shared" si="46"/>
        <v>8381.0910568000909</v>
      </c>
      <c r="O135" s="47">
        <f t="shared" si="47"/>
        <v>40940</v>
      </c>
      <c r="BD135" s="48">
        <f t="shared" si="48"/>
        <v>0</v>
      </c>
      <c r="BE135" s="334">
        <f t="shared" si="49"/>
        <v>0</v>
      </c>
      <c r="BG135" s="51">
        <f t="shared" si="50"/>
        <v>40940</v>
      </c>
      <c r="BH135" s="335">
        <f t="shared" si="51"/>
        <v>0</v>
      </c>
      <c r="BI135" s="52">
        <f>VLOOKUP(GasPosn!A135,'Pricing Summary'!$AB$12:$AD$250,3)</f>
        <v>29</v>
      </c>
      <c r="BJ135" s="50">
        <f>VLOOKUP(A135,Interest!$AF$8:$AK$367,6)</f>
        <v>0.57337718469159815</v>
      </c>
      <c r="BL135">
        <f>J135*VLOOKUP(A135,NymexData!$J$12:$K$244,2)</f>
        <v>13571.514146203313</v>
      </c>
      <c r="BO135">
        <f>Interest!AK131</f>
        <v>0.57337718469159815</v>
      </c>
      <c r="BP135">
        <f>G135*Interest!AK131</f>
        <v>2.6885656190189038</v>
      </c>
      <c r="BQ135">
        <f t="shared" si="28"/>
        <v>0</v>
      </c>
      <c r="BR135">
        <f t="shared" si="29"/>
        <v>0</v>
      </c>
      <c r="BS135">
        <f t="shared" si="30"/>
        <v>0</v>
      </c>
    </row>
    <row r="136" spans="1:71" ht="18" x14ac:dyDescent="0.25">
      <c r="A136" s="98">
        <f>[4]EnergyCurve!$D158</f>
        <v>40969</v>
      </c>
      <c r="B136" s="324">
        <f t="array" ref="B136">SUM(IF(MONTH(NymexData!$AI$12:$AI$250)&amp;YEAR(NymexData!$AI$12:$AI$250)=MONTH(A136)&amp;YEAR(A136),NymexData!$AJ$12:$AJ$250))</f>
        <v>-40.511598290000002</v>
      </c>
      <c r="C136" s="324">
        <f t="shared" si="41"/>
        <v>0</v>
      </c>
      <c r="D136" s="326">
        <f t="shared" si="42"/>
        <v>-40.511598290000002</v>
      </c>
      <c r="E136" s="327">
        <f t="array" ref="E136">SUM(IF(MONTH(NymexData!$S$12:$S$250)&amp;YEAR(NymexData!$S$12:$S$250)=MONTH(A136)&amp;YEAR(A136),NymexData!$T$12:$T$250))</f>
        <v>4.5720000000000001</v>
      </c>
      <c r="F136" s="327">
        <f t="shared" si="43"/>
        <v>-2.2000000000000242E-2</v>
      </c>
      <c r="G136" s="328">
        <f t="array" ref="G136">IF(NymexData!$AA$12="",GasPosn!E136,SUM(IF(MONTH(NymexData!$AA$12:$AA$250)&amp;YEAR(NymexData!$AA$12:$AA$250)=MONTH(A136)&amp;YEAR(A136),NymexData!$AB$12:$AB$250)))</f>
        <v>4.55</v>
      </c>
      <c r="H136" s="99">
        <f t="shared" si="44"/>
        <v>8912.5516238000982</v>
      </c>
      <c r="I136" s="92">
        <f t="shared" si="45"/>
        <v>0</v>
      </c>
      <c r="J136" s="92">
        <f t="shared" si="46"/>
        <v>8912.5516238000982</v>
      </c>
      <c r="O136" s="47">
        <f t="shared" si="47"/>
        <v>40969</v>
      </c>
      <c r="BD136" s="48">
        <f t="shared" si="48"/>
        <v>0</v>
      </c>
      <c r="BE136" s="334">
        <f t="shared" si="49"/>
        <v>0</v>
      </c>
      <c r="BG136" s="51">
        <f t="shared" si="50"/>
        <v>40969</v>
      </c>
      <c r="BH136" s="335">
        <f t="shared" si="51"/>
        <v>0</v>
      </c>
      <c r="BI136" s="52">
        <f>VLOOKUP(GasPosn!A136,'Pricing Summary'!$AB$12:$AD$250,3)</f>
        <v>31</v>
      </c>
      <c r="BJ136" s="50">
        <f>VLOOKUP(A136,Interest!$AF$8:$AK$367,6)</f>
        <v>0.57045540544454487</v>
      </c>
      <c r="BL136">
        <f>J136*VLOOKUP(A136,NymexData!$J$12:$K$244,2)</f>
        <v>14438.609693740869</v>
      </c>
      <c r="BO136">
        <f>Interest!AK132</f>
        <v>0.57045540544454487</v>
      </c>
      <c r="BP136">
        <f>G136*Interest!AK132</f>
        <v>2.5955720947726793</v>
      </c>
      <c r="BQ136">
        <f t="shared" si="28"/>
        <v>0</v>
      </c>
      <c r="BR136">
        <f t="shared" si="29"/>
        <v>0</v>
      </c>
      <c r="BS136">
        <f t="shared" si="30"/>
        <v>0</v>
      </c>
    </row>
    <row r="137" spans="1:71" ht="18" x14ac:dyDescent="0.25">
      <c r="A137" s="100">
        <f>[4]EnergyCurve!$D159</f>
        <v>41000</v>
      </c>
      <c r="B137" s="329">
        <f t="array" ref="B137">SUM(IF(MONTH(NymexData!$AI$12:$AI$250)&amp;YEAR(NymexData!$AI$12:$AI$250)=MONTH(A137)&amp;YEAR(A137),NymexData!$AJ$12:$AJ$250))</f>
        <v>-38.98661087</v>
      </c>
      <c r="C137" s="330">
        <f t="shared" si="41"/>
        <v>0</v>
      </c>
      <c r="D137" s="331">
        <f t="shared" si="42"/>
        <v>-38.98661087</v>
      </c>
      <c r="E137" s="332">
        <f t="array" ref="E137">SUM(IF(MONTH(NymexData!$S$12:$S$250)&amp;YEAR(NymexData!$S$12:$S$250)=MONTH(A137)&amp;YEAR(A137),NymexData!$T$12:$T$250))</f>
        <v>4.4180000000000001</v>
      </c>
      <c r="F137" s="332">
        <f t="shared" si="43"/>
        <v>-2.2000000000000242E-2</v>
      </c>
      <c r="G137" s="333">
        <f t="array" ref="G137">IF(NymexData!$AA$12="",GasPosn!E137,SUM(IF(MONTH(NymexData!$AA$12:$AA$250)&amp;YEAR(NymexData!$AA$12:$AA$250)=MONTH(A137)&amp;YEAR(A137),NymexData!$AB$12:$AB$250)))</f>
        <v>4.3959999999999999</v>
      </c>
      <c r="H137" s="85">
        <f t="shared" si="44"/>
        <v>8577.0543914000937</v>
      </c>
      <c r="I137" s="88">
        <f t="shared" si="45"/>
        <v>0</v>
      </c>
      <c r="J137" s="88">
        <f t="shared" si="46"/>
        <v>8577.0543914000937</v>
      </c>
      <c r="O137" s="47">
        <f t="shared" si="47"/>
        <v>41000</v>
      </c>
      <c r="BD137" s="48">
        <f t="shared" si="48"/>
        <v>0</v>
      </c>
      <c r="BE137" s="334">
        <f t="shared" si="49"/>
        <v>0</v>
      </c>
      <c r="BG137" s="51">
        <f t="shared" si="50"/>
        <v>41000</v>
      </c>
      <c r="BH137" s="335">
        <f t="shared" si="51"/>
        <v>0</v>
      </c>
      <c r="BI137" s="52">
        <f>VLOOKUP(GasPosn!A137,'Pricing Summary'!$AB$12:$AD$250,3)</f>
        <v>30</v>
      </c>
      <c r="BJ137" s="50">
        <f>VLOOKUP(A137,Interest!$AF$8:$AK$367,6)</f>
        <v>0.56760524489935038</v>
      </c>
      <c r="BL137">
        <f>J137*VLOOKUP(A137,NymexData!$J$12:$K$244,2)</f>
        <v>13901.837337329207</v>
      </c>
      <c r="BO137">
        <f>Interest!AK133</f>
        <v>0.56760524489935038</v>
      </c>
      <c r="BP137">
        <f>G137*Interest!AK133</f>
        <v>2.4951926565775442</v>
      </c>
      <c r="BQ137">
        <f t="shared" si="28"/>
        <v>0</v>
      </c>
      <c r="BR137">
        <f t="shared" si="29"/>
        <v>0</v>
      </c>
      <c r="BS137">
        <f t="shared" si="30"/>
        <v>0</v>
      </c>
    </row>
    <row r="138" spans="1:71" ht="18" x14ac:dyDescent="0.25">
      <c r="A138" s="98">
        <f>[4]EnergyCurve!$D160</f>
        <v>41030</v>
      </c>
      <c r="B138" s="324">
        <f t="array" ref="B138">SUM(IF(MONTH(NymexData!$AI$12:$AI$250)&amp;YEAR(NymexData!$AI$12:$AI$250)=MONTH(A138)&amp;YEAR(A138),NymexData!$AJ$12:$AJ$250))</f>
        <v>-40.068721320000002</v>
      </c>
      <c r="C138" s="325">
        <f t="shared" si="41"/>
        <v>0</v>
      </c>
      <c r="D138" s="326">
        <f t="shared" si="42"/>
        <v>-40.068721320000002</v>
      </c>
      <c r="E138" s="327">
        <f t="array" ref="E138">SUM(IF(MONTH(NymexData!$S$12:$S$250)&amp;YEAR(NymexData!$S$12:$S$250)=MONTH(A138)&amp;YEAR(A138),NymexData!$T$12:$T$250))</f>
        <v>4.423</v>
      </c>
      <c r="F138" s="327">
        <f t="shared" si="43"/>
        <v>-2.2000000000000242E-2</v>
      </c>
      <c r="G138" s="328">
        <f t="array" ref="G138">IF(NymexData!$AA$12="",GasPosn!E138,SUM(IF(MONTH(NymexData!$AA$12:$AA$250)&amp;YEAR(NymexData!$AA$12:$AA$250)=MONTH(A138)&amp;YEAR(A138),NymexData!$AB$12:$AB$250)))</f>
        <v>4.4009999999999998</v>
      </c>
      <c r="H138" s="99">
        <f t="shared" si="44"/>
        <v>8815.118690400097</v>
      </c>
      <c r="I138" s="92">
        <f t="shared" si="45"/>
        <v>0</v>
      </c>
      <c r="J138" s="92">
        <f t="shared" si="46"/>
        <v>8815.118690400097</v>
      </c>
      <c r="O138" s="47">
        <f t="shared" si="47"/>
        <v>41030</v>
      </c>
      <c r="BD138" s="48">
        <f t="shared" si="48"/>
        <v>0</v>
      </c>
      <c r="BE138" s="334">
        <f t="shared" si="49"/>
        <v>0</v>
      </c>
      <c r="BG138" s="51">
        <f t="shared" si="50"/>
        <v>41030</v>
      </c>
      <c r="BH138" s="335">
        <f t="shared" si="51"/>
        <v>0</v>
      </c>
      <c r="BI138" s="52">
        <f>VLOOKUP(GasPosn!A138,'Pricing Summary'!$AB$12:$AD$250,3)</f>
        <v>31</v>
      </c>
      <c r="BJ138" s="50">
        <f>VLOOKUP(A138,Interest!$AF$8:$AK$367,6)</f>
        <v>0.56469174819624068</v>
      </c>
      <c r="BL138">
        <f>J138*VLOOKUP(A138,NymexData!$J$12:$K$244,2)</f>
        <v>14294.460116087726</v>
      </c>
      <c r="BO138">
        <f>Interest!AK134</f>
        <v>0.56469174819624068</v>
      </c>
      <c r="BP138">
        <f>G138*Interest!AK134</f>
        <v>2.485208383811655</v>
      </c>
      <c r="BQ138">
        <f t="shared" si="28"/>
        <v>0</v>
      </c>
      <c r="BR138">
        <f t="shared" si="29"/>
        <v>0</v>
      </c>
      <c r="BS138">
        <f t="shared" si="30"/>
        <v>0</v>
      </c>
    </row>
    <row r="139" spans="1:71" ht="18" x14ac:dyDescent="0.25">
      <c r="A139" s="100">
        <f>[4]EnergyCurve!$D161</f>
        <v>41061</v>
      </c>
      <c r="B139" s="329">
        <f t="array" ref="B139">SUM(IF(MONTH(NymexData!$AI$12:$AI$250)&amp;YEAR(NymexData!$AI$12:$AI$250)=MONTH(A139)&amp;YEAR(A139),NymexData!$AJ$12:$AJ$250))</f>
        <v>-38.559458390000003</v>
      </c>
      <c r="C139" s="330">
        <f t="shared" si="41"/>
        <v>0</v>
      </c>
      <c r="D139" s="331">
        <f t="shared" si="42"/>
        <v>-38.559458390000003</v>
      </c>
      <c r="E139" s="332">
        <f t="array" ref="E139">SUM(IF(MONTH(NymexData!$S$12:$S$250)&amp;YEAR(NymexData!$S$12:$S$250)=MONTH(A139)&amp;YEAR(A139),NymexData!$T$12:$T$250))</f>
        <v>4.4610000000000003</v>
      </c>
      <c r="F139" s="332">
        <f t="shared" si="43"/>
        <v>-2.2000000000000242E-2</v>
      </c>
      <c r="G139" s="333">
        <f t="array" ref="G139">IF(NymexData!$AA$12="",GasPosn!E139,SUM(IF(MONTH(NymexData!$AA$12:$AA$250)&amp;YEAR(NymexData!$AA$12:$AA$250)=MONTH(A139)&amp;YEAR(A139),NymexData!$AB$12:$AB$250)))</f>
        <v>4.4390000000000001</v>
      </c>
      <c r="H139" s="85">
        <f t="shared" si="44"/>
        <v>8483.0808458000938</v>
      </c>
      <c r="I139" s="88">
        <f t="shared" si="45"/>
        <v>0</v>
      </c>
      <c r="J139" s="88">
        <f t="shared" si="46"/>
        <v>8483.0808458000938</v>
      </c>
      <c r="O139" s="47">
        <f t="shared" si="47"/>
        <v>41061</v>
      </c>
      <c r="BD139" s="48">
        <f t="shared" si="48"/>
        <v>0</v>
      </c>
      <c r="BE139" s="334">
        <f t="shared" si="49"/>
        <v>0</v>
      </c>
      <c r="BG139" s="51">
        <f t="shared" si="50"/>
        <v>41061</v>
      </c>
      <c r="BH139" s="335">
        <f t="shared" si="51"/>
        <v>0</v>
      </c>
      <c r="BI139" s="52">
        <f>VLOOKUP(GasPosn!A139,'Pricing Summary'!$AB$12:$AD$250,3)</f>
        <v>30</v>
      </c>
      <c r="BJ139" s="50">
        <f>VLOOKUP(A139,Interest!$AF$8:$AK$367,6)</f>
        <v>0.56185997127169796</v>
      </c>
      <c r="BL139">
        <f>J139*VLOOKUP(A139,NymexData!$J$12:$K$244,2)</f>
        <v>13762.815613449466</v>
      </c>
      <c r="BO139">
        <f>Interest!AK135</f>
        <v>0.56185997127169796</v>
      </c>
      <c r="BP139">
        <f>G139*Interest!AK135</f>
        <v>2.4940964124750673</v>
      </c>
      <c r="BQ139">
        <f t="shared" si="28"/>
        <v>0</v>
      </c>
      <c r="BR139">
        <f t="shared" si="29"/>
        <v>0</v>
      </c>
      <c r="BS139">
        <f t="shared" si="30"/>
        <v>0</v>
      </c>
    </row>
    <row r="140" spans="1:71" ht="18" x14ac:dyDescent="0.25">
      <c r="A140" s="98">
        <f>[4]EnergyCurve!$D162</f>
        <v>41091</v>
      </c>
      <c r="B140" s="324">
        <f t="array" ref="B140">SUM(IF(MONTH(NymexData!$AI$12:$AI$250)&amp;YEAR(NymexData!$AI$12:$AI$250)=MONTH(A140)&amp;YEAR(A140),NymexData!$AJ$12:$AJ$250))</f>
        <v>-39.628771209999996</v>
      </c>
      <c r="C140" s="324">
        <f t="shared" si="41"/>
        <v>0</v>
      </c>
      <c r="D140" s="326">
        <f t="shared" si="42"/>
        <v>-39.628771209999996</v>
      </c>
      <c r="E140" s="327">
        <f t="array" ref="E140">SUM(IF(MONTH(NymexData!$S$12:$S$250)&amp;YEAR(NymexData!$S$12:$S$250)=MONTH(A140)&amp;YEAR(A140),NymexData!$T$12:$T$250))</f>
        <v>4.5060000000000002</v>
      </c>
      <c r="F140" s="327">
        <f t="shared" si="43"/>
        <v>-2.2000000000000242E-2</v>
      </c>
      <c r="G140" s="328">
        <f t="array" ref="G140">IF(NymexData!$AA$12="",GasPosn!E140,SUM(IF(MONTH(NymexData!$AA$12:$AA$250)&amp;YEAR(NymexData!$AA$12:$AA$250)=MONTH(A140)&amp;YEAR(A140),NymexData!$AB$12:$AB$250)))</f>
        <v>4.484</v>
      </c>
      <c r="H140" s="99">
        <f t="shared" si="44"/>
        <v>8718.3296662000939</v>
      </c>
      <c r="I140" s="92">
        <f t="shared" si="45"/>
        <v>0</v>
      </c>
      <c r="J140" s="92">
        <f t="shared" si="46"/>
        <v>8718.3296662000939</v>
      </c>
      <c r="O140" s="47">
        <f t="shared" si="47"/>
        <v>41091</v>
      </c>
      <c r="BD140" s="48">
        <f t="shared" si="48"/>
        <v>0</v>
      </c>
      <c r="BE140" s="334">
        <f t="shared" si="49"/>
        <v>0</v>
      </c>
      <c r="BG140" s="51">
        <f t="shared" si="50"/>
        <v>41091</v>
      </c>
      <c r="BH140" s="335">
        <f t="shared" si="51"/>
        <v>0</v>
      </c>
      <c r="BI140" s="52">
        <f>VLOOKUP(GasPosn!A140,'Pricing Summary'!$AB$12:$AD$250,3)</f>
        <v>31</v>
      </c>
      <c r="BJ140" s="50">
        <f>VLOOKUP(A140,Interest!$AF$8:$AK$367,6)</f>
        <v>0.55896560503776105</v>
      </c>
      <c r="BL140">
        <f>J140*VLOOKUP(A140,NymexData!$J$12:$K$244,2)</f>
        <v>14151.282156514601</v>
      </c>
      <c r="BO140">
        <f>Interest!AK136</f>
        <v>0.55896560503776105</v>
      </c>
      <c r="BP140">
        <f>G140*Interest!AK136</f>
        <v>2.5064017729893204</v>
      </c>
      <c r="BQ140">
        <f t="shared" si="28"/>
        <v>0</v>
      </c>
      <c r="BR140">
        <f t="shared" si="29"/>
        <v>0</v>
      </c>
      <c r="BS140">
        <f t="shared" si="30"/>
        <v>0</v>
      </c>
    </row>
    <row r="141" spans="1:71" ht="18" x14ac:dyDescent="0.25">
      <c r="A141" s="100">
        <f>[4]EnergyCurve!$D163</f>
        <v>41122</v>
      </c>
      <c r="B141" s="329">
        <f t="array" ref="B141">SUM(IF(MONTH(NymexData!$AI$12:$AI$250)&amp;YEAR(NymexData!$AI$12:$AI$250)=MONTH(A141)&amp;YEAR(A141),NymexData!$AJ$12:$AJ$250))</f>
        <v>-39.406315020000001</v>
      </c>
      <c r="C141" s="330">
        <f t="shared" si="41"/>
        <v>0</v>
      </c>
      <c r="D141" s="331">
        <f t="shared" si="42"/>
        <v>-39.406315020000001</v>
      </c>
      <c r="E141" s="332">
        <f t="array" ref="E141">SUM(IF(MONTH(NymexData!$S$12:$S$250)&amp;YEAR(NymexData!$S$12:$S$250)=MONTH(A141)&amp;YEAR(A141),NymexData!$T$12:$T$250))</f>
        <v>4.5440000000000005</v>
      </c>
      <c r="F141" s="332">
        <f t="shared" si="43"/>
        <v>-2.2000000000000242E-2</v>
      </c>
      <c r="G141" s="333">
        <f t="array" ref="G141">IF(NymexData!$AA$12="",GasPosn!E141,SUM(IF(MONTH(NymexData!$AA$12:$AA$250)&amp;YEAR(NymexData!$AA$12:$AA$250)=MONTH(A141)&amp;YEAR(A141),NymexData!$AB$12:$AB$250)))</f>
        <v>4.5220000000000002</v>
      </c>
      <c r="H141" s="85">
        <f t="shared" si="44"/>
        <v>8669.3893044000961</v>
      </c>
      <c r="I141" s="88">
        <f t="shared" si="45"/>
        <v>0</v>
      </c>
      <c r="J141" s="88">
        <f t="shared" si="46"/>
        <v>8669.3893044000961</v>
      </c>
      <c r="O141" s="47">
        <f t="shared" si="47"/>
        <v>41122</v>
      </c>
      <c r="BD141" s="48">
        <f t="shared" si="48"/>
        <v>0</v>
      </c>
      <c r="BE141" s="334">
        <f t="shared" si="49"/>
        <v>0</v>
      </c>
      <c r="BG141" s="51">
        <f t="shared" si="50"/>
        <v>41122</v>
      </c>
      <c r="BH141" s="335">
        <f t="shared" si="51"/>
        <v>0</v>
      </c>
      <c r="BI141" s="52">
        <f>VLOOKUP(GasPosn!A141,'Pricing Summary'!$AB$12:$AD$250,3)</f>
        <v>31</v>
      </c>
      <c r="BJ141" s="50">
        <f>VLOOKUP(A141,Interest!$AF$8:$AK$367,6)</f>
        <v>0.55606998856372614</v>
      </c>
      <c r="BL141">
        <f>J141*VLOOKUP(A141,NymexData!$J$12:$K$244,2)</f>
        <v>14078.891857058516</v>
      </c>
      <c r="BO141">
        <f>Interest!AK137</f>
        <v>0.55606998856372614</v>
      </c>
      <c r="BP141">
        <f>G141*Interest!AK137</f>
        <v>2.5145484882851696</v>
      </c>
      <c r="BQ141">
        <f t="shared" ref="BQ141:BQ188" si="52">IF(AND(A141&gt;=$B$3,A141&lt;=$B$4),1,0)</f>
        <v>0</v>
      </c>
      <c r="BR141">
        <f t="shared" ref="BR141:BR188" si="53">BO141*BQ141</f>
        <v>0</v>
      </c>
      <c r="BS141">
        <f t="shared" ref="BS141:BS188" si="54">BP141*BQ141</f>
        <v>0</v>
      </c>
    </row>
    <row r="142" spans="1:71" ht="18" x14ac:dyDescent="0.25">
      <c r="A142" s="98">
        <f>[4]EnergyCurve!$D164</f>
        <v>41153</v>
      </c>
      <c r="B142" s="324">
        <f t="array" ref="B142">SUM(IF(MONTH(NymexData!$AI$12:$AI$250)&amp;YEAR(NymexData!$AI$12:$AI$250)=MONTH(A142)&amp;YEAR(A142),NymexData!$AJ$12:$AJ$250))</f>
        <v>-37.920598759999997</v>
      </c>
      <c r="C142" s="324">
        <f t="shared" si="41"/>
        <v>0</v>
      </c>
      <c r="D142" s="326">
        <f t="shared" si="42"/>
        <v>-37.920598759999997</v>
      </c>
      <c r="E142" s="327">
        <f t="array" ref="E142">SUM(IF(MONTH(NymexData!$S$12:$S$250)&amp;YEAR(NymexData!$S$12:$S$250)=MONTH(A142)&amp;YEAR(A142),NymexData!$T$12:$T$250))</f>
        <v>4.5380000000000003</v>
      </c>
      <c r="F142" s="327">
        <f t="shared" si="43"/>
        <v>-2.2000000000000242E-2</v>
      </c>
      <c r="G142" s="328">
        <f t="array" ref="G142">IF(NymexData!$AA$12="",GasPosn!E142,SUM(IF(MONTH(NymexData!$AA$12:$AA$250)&amp;YEAR(NymexData!$AA$12:$AA$250)=MONTH(A142)&amp;YEAR(A142),NymexData!$AB$12:$AB$250)))</f>
        <v>4.516</v>
      </c>
      <c r="H142" s="99">
        <f t="shared" si="44"/>
        <v>8342.5317272000921</v>
      </c>
      <c r="I142" s="92">
        <f t="shared" si="45"/>
        <v>0</v>
      </c>
      <c r="J142" s="92">
        <f t="shared" si="46"/>
        <v>8342.5317272000921</v>
      </c>
      <c r="O142" s="47">
        <f t="shared" si="47"/>
        <v>41153</v>
      </c>
      <c r="BD142" s="48">
        <f t="shared" si="48"/>
        <v>0</v>
      </c>
      <c r="BE142" s="334">
        <f t="shared" si="49"/>
        <v>0</v>
      </c>
      <c r="BG142" s="51">
        <f t="shared" si="50"/>
        <v>41153</v>
      </c>
      <c r="BH142" s="335">
        <f t="shared" si="51"/>
        <v>0</v>
      </c>
      <c r="BI142" s="52">
        <f>VLOOKUP(GasPosn!A142,'Pricing Summary'!$AB$12:$AD$250,3)</f>
        <v>30</v>
      </c>
      <c r="BJ142" s="50">
        <f>VLOOKUP(A142,Interest!$AF$8:$AK$367,6)</f>
        <v>0.55326598393565563</v>
      </c>
      <c r="BL142">
        <f>J142*VLOOKUP(A142,NymexData!$J$12:$K$244,2)</f>
        <v>13554.921650046963</v>
      </c>
      <c r="BO142">
        <f>Interest!AK138</f>
        <v>0.55326598393565563</v>
      </c>
      <c r="BP142">
        <f>G142*Interest!AK138</f>
        <v>2.498549183453421</v>
      </c>
      <c r="BQ142">
        <f t="shared" si="52"/>
        <v>0</v>
      </c>
      <c r="BR142">
        <f t="shared" si="53"/>
        <v>0</v>
      </c>
      <c r="BS142">
        <f t="shared" si="54"/>
        <v>0</v>
      </c>
    </row>
    <row r="143" spans="1:71" ht="18" x14ac:dyDescent="0.25">
      <c r="A143" s="100">
        <f>[4]EnergyCurve!$D165</f>
        <v>41183</v>
      </c>
      <c r="B143" s="329">
        <f t="array" ref="B143">SUM(IF(MONTH(NymexData!$AI$12:$AI$250)&amp;YEAR(NymexData!$AI$12:$AI$250)=MONTH(A143)&amp;YEAR(A143),NymexData!$AJ$12:$AJ$250))</f>
        <v>-38.970798629999997</v>
      </c>
      <c r="C143" s="330">
        <f t="shared" si="41"/>
        <v>0</v>
      </c>
      <c r="D143" s="331">
        <f t="shared" si="42"/>
        <v>-38.970798629999997</v>
      </c>
      <c r="E143" s="332">
        <f t="array" ref="E143">SUM(IF(MONTH(NymexData!$S$12:$S$250)&amp;YEAR(NymexData!$S$12:$S$250)=MONTH(A143)&amp;YEAR(A143),NymexData!$T$12:$T$250))</f>
        <v>4.5380000000000003</v>
      </c>
      <c r="F143" s="332">
        <f t="shared" si="43"/>
        <v>-2.2000000000000242E-2</v>
      </c>
      <c r="G143" s="333">
        <f t="array" ref="G143">IF(NymexData!$AA$12="",GasPosn!E143,SUM(IF(MONTH(NymexData!$AA$12:$AA$250)&amp;YEAR(NymexData!$AA$12:$AA$250)=MONTH(A143)&amp;YEAR(A143),NymexData!$AB$12:$AB$250)))</f>
        <v>4.516</v>
      </c>
      <c r="H143" s="85">
        <f t="shared" si="44"/>
        <v>8573.5756986000943</v>
      </c>
      <c r="I143" s="88">
        <f t="shared" si="45"/>
        <v>0</v>
      </c>
      <c r="J143" s="88">
        <f t="shared" si="46"/>
        <v>8573.5756986000943</v>
      </c>
      <c r="O143" s="47">
        <f t="shared" si="47"/>
        <v>41183</v>
      </c>
      <c r="BD143" s="48">
        <f t="shared" si="48"/>
        <v>0</v>
      </c>
      <c r="BE143" s="334">
        <f t="shared" si="49"/>
        <v>0</v>
      </c>
      <c r="BG143" s="51">
        <f t="shared" si="50"/>
        <v>41183</v>
      </c>
      <c r="BH143" s="335">
        <f t="shared" si="51"/>
        <v>0</v>
      </c>
      <c r="BI143" s="52">
        <f>VLOOKUP(GasPosn!A143,'Pricing Summary'!$AB$12:$AD$250,3)</f>
        <v>31</v>
      </c>
      <c r="BJ143" s="50">
        <f>VLOOKUP(A143,Interest!$AF$8:$AK$367,6)</f>
        <v>0.55040050509553395</v>
      </c>
      <c r="BL143">
        <f>J143*VLOOKUP(A143,NymexData!$J$12:$K$244,2)</f>
        <v>13937.178728049952</v>
      </c>
      <c r="BO143">
        <f>Interest!AK139</f>
        <v>0.55040050509553395</v>
      </c>
      <c r="BP143">
        <f>G143*Interest!AK139</f>
        <v>2.4856086810114313</v>
      </c>
      <c r="BQ143">
        <f t="shared" si="52"/>
        <v>0</v>
      </c>
      <c r="BR143">
        <f t="shared" si="53"/>
        <v>0</v>
      </c>
      <c r="BS143">
        <f t="shared" si="54"/>
        <v>0</v>
      </c>
    </row>
    <row r="144" spans="1:71" ht="18" x14ac:dyDescent="0.25">
      <c r="A144" s="98">
        <f>[4]EnergyCurve!$D166</f>
        <v>41214</v>
      </c>
      <c r="B144" s="324">
        <f t="array" ref="B144">SUM(IF(MONTH(NymexData!$AI$12:$AI$250)&amp;YEAR(NymexData!$AI$12:$AI$250)=MONTH(A144)&amp;YEAR(A144),NymexData!$AJ$12:$AJ$250))</f>
        <v>-37.500581859999997</v>
      </c>
      <c r="C144" s="324">
        <f t="shared" si="41"/>
        <v>0</v>
      </c>
      <c r="D144" s="326">
        <f t="shared" si="42"/>
        <v>-37.500581859999997</v>
      </c>
      <c r="E144" s="327">
        <f t="array" ref="E144">SUM(IF(MONTH(NymexData!$S$12:$S$250)&amp;YEAR(NymexData!$S$12:$S$250)=MONTH(A144)&amp;YEAR(A144),NymexData!$T$12:$T$250))</f>
        <v>4.6859999999999999</v>
      </c>
      <c r="F144" s="327">
        <f t="shared" si="43"/>
        <v>-2.0999999999999908E-2</v>
      </c>
      <c r="G144" s="328">
        <f t="array" ref="G144">IF(NymexData!$AA$12="",GasPosn!E144,SUM(IF(MONTH(NymexData!$AA$12:$AA$250)&amp;YEAR(NymexData!$AA$12:$AA$250)=MONTH(A144)&amp;YEAR(A144),NymexData!$AB$12:$AB$250)))</f>
        <v>4.665</v>
      </c>
      <c r="H144" s="99">
        <f t="shared" si="44"/>
        <v>7875.1221905999637</v>
      </c>
      <c r="I144" s="92">
        <f t="shared" si="45"/>
        <v>0</v>
      </c>
      <c r="J144" s="92">
        <f t="shared" si="46"/>
        <v>7875.1221905999637</v>
      </c>
      <c r="O144" s="47">
        <f t="shared" si="47"/>
        <v>41214</v>
      </c>
      <c r="BD144" s="48">
        <f t="shared" si="48"/>
        <v>0</v>
      </c>
      <c r="BE144" s="334">
        <f t="shared" si="49"/>
        <v>0</v>
      </c>
      <c r="BG144" s="51">
        <f t="shared" si="50"/>
        <v>41214</v>
      </c>
      <c r="BH144" s="335">
        <f t="shared" si="51"/>
        <v>0</v>
      </c>
      <c r="BI144" s="52">
        <f>VLOOKUP(GasPosn!A144,'Pricing Summary'!$AB$12:$AD$250,3)</f>
        <v>30</v>
      </c>
      <c r="BJ144" s="50">
        <f>VLOOKUP(A144,Interest!$AF$8:$AK$367,6)</f>
        <v>0.54761494192025972</v>
      </c>
      <c r="BL144">
        <f>J144*VLOOKUP(A144,NymexData!$J$12:$K$244,2)</f>
        <v>12808.33658080745</v>
      </c>
      <c r="BO144">
        <f>Interest!AK140</f>
        <v>0.54761494192025972</v>
      </c>
      <c r="BP144">
        <f>G144*Interest!AK140</f>
        <v>2.5546237040580118</v>
      </c>
      <c r="BQ144">
        <f t="shared" si="52"/>
        <v>0</v>
      </c>
      <c r="BR144">
        <f t="shared" si="53"/>
        <v>0</v>
      </c>
      <c r="BS144">
        <f t="shared" si="54"/>
        <v>0</v>
      </c>
    </row>
    <row r="145" spans="1:71" ht="18" x14ac:dyDescent="0.25">
      <c r="A145" s="100">
        <f>[4]EnergyCurve!$D167</f>
        <v>41244</v>
      </c>
      <c r="B145" s="329">
        <f t="array" ref="B145">SUM(IF(MONTH(NymexData!$AI$12:$AI$250)&amp;YEAR(NymexData!$AI$12:$AI$250)=MONTH(A145)&amp;YEAR(A145),NymexData!$AJ$12:$AJ$250))</f>
        <v>-38.53823405</v>
      </c>
      <c r="C145" s="330">
        <f t="shared" si="41"/>
        <v>0</v>
      </c>
      <c r="D145" s="331">
        <f t="shared" si="42"/>
        <v>-38.53823405</v>
      </c>
      <c r="E145" s="332">
        <f t="array" ref="E145">SUM(IF(MONTH(NymexData!$S$12:$S$250)&amp;YEAR(NymexData!$S$12:$S$250)=MONTH(A145)&amp;YEAR(A145),NymexData!$T$12:$T$250))</f>
        <v>4.8380000000000001</v>
      </c>
      <c r="F145" s="332">
        <f t="shared" si="43"/>
        <v>-2.0999999999999908E-2</v>
      </c>
      <c r="G145" s="333">
        <f t="array" ref="G145">IF(NymexData!$AA$12="",GasPosn!E145,SUM(IF(MONTH(NymexData!$AA$12:$AA$250)&amp;YEAR(NymexData!$AA$12:$AA$250)=MONTH(A145)&amp;YEAR(A145),NymexData!$AB$12:$AB$250)))</f>
        <v>4.8170000000000002</v>
      </c>
      <c r="H145" s="85">
        <f t="shared" si="44"/>
        <v>8093.0291504999641</v>
      </c>
      <c r="I145" s="88">
        <f t="shared" si="45"/>
        <v>0</v>
      </c>
      <c r="J145" s="88">
        <f t="shared" si="46"/>
        <v>8093.0291504999641</v>
      </c>
      <c r="O145" s="47">
        <f t="shared" si="47"/>
        <v>41244</v>
      </c>
      <c r="BD145" s="48">
        <f t="shared" si="48"/>
        <v>0</v>
      </c>
      <c r="BE145" s="334">
        <f t="shared" si="49"/>
        <v>0</v>
      </c>
      <c r="BG145" s="51">
        <f t="shared" si="50"/>
        <v>41244</v>
      </c>
      <c r="BH145" s="335">
        <f t="shared" si="51"/>
        <v>0</v>
      </c>
      <c r="BI145" s="52">
        <f>VLOOKUP(GasPosn!A145,'Pricing Summary'!$AB$12:$AD$250,3)</f>
        <v>31</v>
      </c>
      <c r="BJ145" s="50">
        <f>VLOOKUP(A145,Interest!$AF$8:$AK$367,6)</f>
        <v>0.54476863640861373</v>
      </c>
      <c r="BL145">
        <f>J145*VLOOKUP(A145,NymexData!$J$12:$K$244,2)</f>
        <v>13169.325583030311</v>
      </c>
      <c r="BO145">
        <f>Interest!AK141</f>
        <v>0.54476863640861373</v>
      </c>
      <c r="BP145">
        <f>G145*Interest!AK141</f>
        <v>2.6241505215802925</v>
      </c>
      <c r="BQ145">
        <f t="shared" si="52"/>
        <v>0</v>
      </c>
      <c r="BR145">
        <f t="shared" si="53"/>
        <v>0</v>
      </c>
      <c r="BS145">
        <f t="shared" si="54"/>
        <v>0</v>
      </c>
    </row>
    <row r="146" spans="1:71" ht="18" x14ac:dyDescent="0.25">
      <c r="A146" s="98">
        <f>[4]EnergyCurve!$D168</f>
        <v>41275</v>
      </c>
      <c r="B146" s="324">
        <f t="array" ref="B146">SUM(IF(MONTH(NymexData!$AI$12:$AI$250)&amp;YEAR(NymexData!$AI$12:$AI$250)=MONTH(A146)&amp;YEAR(A146),NymexData!$AJ$12:$AJ$250))</f>
        <v>-38.319540259999997</v>
      </c>
      <c r="C146" s="324">
        <f t="shared" si="41"/>
        <v>0</v>
      </c>
      <c r="D146" s="326">
        <f t="shared" si="42"/>
        <v>-38.319540259999997</v>
      </c>
      <c r="E146" s="327">
        <f t="array" ref="E146">SUM(IF(MONTH(NymexData!$S$12:$S$250)&amp;YEAR(NymexData!$S$12:$S$250)=MONTH(A146)&amp;YEAR(A146),NymexData!$T$12:$T$250))</f>
        <v>4.9104999999999999</v>
      </c>
      <c r="F146" s="327">
        <f t="shared" si="43"/>
        <v>-1.6000000000000014E-2</v>
      </c>
      <c r="G146" s="328">
        <f t="array" ref="G146">IF(NymexData!$AA$12="",GasPosn!E146,SUM(IF(MONTH(NymexData!$AA$12:$AA$250)&amp;YEAR(NymexData!$AA$12:$AA$250)=MONTH(A146)&amp;YEAR(A146),NymexData!$AB$12:$AB$250)))</f>
        <v>4.8944999999999999</v>
      </c>
      <c r="H146" s="99">
        <f t="shared" si="44"/>
        <v>6131.1264416000049</v>
      </c>
      <c r="I146" s="92">
        <f t="shared" si="45"/>
        <v>0</v>
      </c>
      <c r="J146" s="92">
        <f t="shared" si="46"/>
        <v>6131.1264416000049</v>
      </c>
      <c r="O146" s="47">
        <f t="shared" si="47"/>
        <v>41275</v>
      </c>
      <c r="BD146" s="48">
        <f t="shared" si="48"/>
        <v>0</v>
      </c>
      <c r="BE146" s="334">
        <f t="shared" si="49"/>
        <v>0</v>
      </c>
      <c r="BG146" s="51">
        <f t="shared" si="50"/>
        <v>41275</v>
      </c>
      <c r="BH146" s="335">
        <f t="shared" si="51"/>
        <v>0</v>
      </c>
      <c r="BI146" s="52">
        <f>VLOOKUP(GasPosn!A146,'Pricing Summary'!$AB$12:$AD$250,3)</f>
        <v>31</v>
      </c>
      <c r="BJ146" s="50">
        <f>VLOOKUP(A146,Interest!$AF$8:$AK$367,6)</f>
        <v>0.54192096478368146</v>
      </c>
      <c r="BL146">
        <f>J146*VLOOKUP(A146,NymexData!$J$12:$K$244,2)</f>
        <v>9982.0242476608564</v>
      </c>
      <c r="BO146">
        <f>Interest!AK142</f>
        <v>0.54192096478368146</v>
      </c>
      <c r="BP146">
        <f>G146*Interest!AK142</f>
        <v>2.6524321621337288</v>
      </c>
      <c r="BQ146">
        <f t="shared" si="52"/>
        <v>0</v>
      </c>
      <c r="BR146">
        <f t="shared" si="53"/>
        <v>0</v>
      </c>
      <c r="BS146">
        <f t="shared" si="54"/>
        <v>0</v>
      </c>
    </row>
    <row r="147" spans="1:71" ht="18" x14ac:dyDescent="0.25">
      <c r="A147" s="100">
        <f>[4]EnergyCurve!$D169</f>
        <v>41306</v>
      </c>
      <c r="B147" s="329">
        <f t="array" ref="B147">SUM(IF(MONTH(NymexData!$AI$12:$AI$250)&amp;YEAR(NymexData!$AI$12:$AI$250)=MONTH(A147)&amp;YEAR(A147),NymexData!$AJ$12:$AJ$250))</f>
        <v>-34.414359480000002</v>
      </c>
      <c r="C147" s="330">
        <f t="shared" si="41"/>
        <v>0</v>
      </c>
      <c r="D147" s="331">
        <f t="shared" si="42"/>
        <v>-34.414359480000002</v>
      </c>
      <c r="E147" s="332">
        <f t="array" ref="E147">SUM(IF(MONTH(NymexData!$S$12:$S$250)&amp;YEAR(NymexData!$S$12:$S$250)=MONTH(A147)&amp;YEAR(A147),NymexData!$T$12:$T$250))</f>
        <v>4.8235000000000001</v>
      </c>
      <c r="F147" s="332">
        <f t="shared" si="43"/>
        <v>-1.699999999999946E-2</v>
      </c>
      <c r="G147" s="333">
        <f t="array" ref="G147">IF(NymexData!$AA$12="",GasPosn!E147,SUM(IF(MONTH(NymexData!$AA$12:$AA$250)&amp;YEAR(NymexData!$AA$12:$AA$250)=MONTH(A147)&amp;YEAR(A147),NymexData!$AB$12:$AB$250)))</f>
        <v>4.8065000000000007</v>
      </c>
      <c r="H147" s="85">
        <f t="shared" si="44"/>
        <v>5850.4411115998146</v>
      </c>
      <c r="I147" s="88">
        <f t="shared" si="45"/>
        <v>0</v>
      </c>
      <c r="J147" s="88">
        <f t="shared" si="46"/>
        <v>5850.4411115998146</v>
      </c>
      <c r="O147" s="47">
        <f t="shared" si="47"/>
        <v>41306</v>
      </c>
      <c r="BD147" s="48">
        <f t="shared" si="48"/>
        <v>0</v>
      </c>
      <c r="BE147" s="334">
        <f t="shared" si="49"/>
        <v>0</v>
      </c>
      <c r="BG147" s="51">
        <f t="shared" si="50"/>
        <v>41306</v>
      </c>
      <c r="BH147" s="335">
        <f t="shared" si="51"/>
        <v>0</v>
      </c>
      <c r="BI147" s="52">
        <f>VLOOKUP(GasPosn!A147,'Pricing Summary'!$AB$12:$AD$250,3)</f>
        <v>28</v>
      </c>
      <c r="BJ147" s="50">
        <f>VLOOKUP(A147,Interest!$AF$8:$AK$367,6)</f>
        <v>0.53932374672487293</v>
      </c>
      <c r="BL147">
        <f>J147*VLOOKUP(A147,NymexData!$J$12:$K$244,2)</f>
        <v>9530.0370751663941</v>
      </c>
      <c r="BO147">
        <f>Interest!AK143</f>
        <v>0.53932374672487293</v>
      </c>
      <c r="BP147">
        <f>G147*Interest!AK143</f>
        <v>2.5922595886331021</v>
      </c>
      <c r="BQ147">
        <f t="shared" si="52"/>
        <v>0</v>
      </c>
      <c r="BR147">
        <f t="shared" si="53"/>
        <v>0</v>
      </c>
      <c r="BS147">
        <f t="shared" si="54"/>
        <v>0</v>
      </c>
    </row>
    <row r="148" spans="1:71" ht="18" x14ac:dyDescent="0.25">
      <c r="A148" s="98">
        <f>[4]EnergyCurve!$D170</f>
        <v>41334</v>
      </c>
      <c r="B148" s="324">
        <f t="array" ref="B148">SUM(IF(MONTH(NymexData!$AI$12:$AI$250)&amp;YEAR(NymexData!$AI$12:$AI$250)=MONTH(A148)&amp;YEAR(A148),NymexData!$AJ$12:$AJ$250))</f>
        <v>-37.905433240000001</v>
      </c>
      <c r="C148" s="324">
        <f t="shared" si="41"/>
        <v>0</v>
      </c>
      <c r="D148" s="326">
        <f t="shared" si="42"/>
        <v>-37.905433240000001</v>
      </c>
      <c r="E148" s="327">
        <f t="array" ref="E148">SUM(IF(MONTH(NymexData!$S$12:$S$250)&amp;YEAR(NymexData!$S$12:$S$250)=MONTH(A148)&amp;YEAR(A148),NymexData!$T$12:$T$250))</f>
        <v>4.6844999999999999</v>
      </c>
      <c r="F148" s="327">
        <f t="shared" si="43"/>
        <v>-1.699999999999946E-2</v>
      </c>
      <c r="G148" s="328">
        <f t="array" ref="G148">IF(NymexData!$AA$12="",GasPosn!E148,SUM(IF(MONTH(NymexData!$AA$12:$AA$250)&amp;YEAR(NymexData!$AA$12:$AA$250)=MONTH(A148)&amp;YEAR(A148),NymexData!$AB$12:$AB$250)))</f>
        <v>4.6675000000000004</v>
      </c>
      <c r="H148" s="99">
        <f t="shared" si="44"/>
        <v>6443.9236507997957</v>
      </c>
      <c r="I148" s="92">
        <f t="shared" si="45"/>
        <v>0</v>
      </c>
      <c r="J148" s="92">
        <f t="shared" si="46"/>
        <v>6443.9236507997957</v>
      </c>
      <c r="O148" s="47">
        <f t="shared" si="47"/>
        <v>41334</v>
      </c>
      <c r="BD148" s="48">
        <f t="shared" si="48"/>
        <v>0</v>
      </c>
      <c r="BE148" s="334">
        <f t="shared" si="49"/>
        <v>0</v>
      </c>
      <c r="BG148" s="51">
        <f t="shared" si="50"/>
        <v>41334</v>
      </c>
      <c r="BH148" s="335">
        <f t="shared" si="51"/>
        <v>0</v>
      </c>
      <c r="BI148" s="52">
        <f>VLOOKUP(GasPosn!A148,'Pricing Summary'!$AB$12:$AD$250,3)</f>
        <v>31</v>
      </c>
      <c r="BJ148" s="50">
        <f>VLOOKUP(A148,Interest!$AF$8:$AK$367,6)</f>
        <v>0.53652807781484835</v>
      </c>
      <c r="BL148">
        <f>J148*VLOOKUP(A148,NymexData!$J$12:$K$244,2)</f>
        <v>10501.792598580585</v>
      </c>
      <c r="BO148">
        <f>Interest!AK144</f>
        <v>0.53652807781484835</v>
      </c>
      <c r="BP148">
        <f>G148*Interest!AK144</f>
        <v>2.5042448032008049</v>
      </c>
      <c r="BQ148">
        <f t="shared" si="52"/>
        <v>0</v>
      </c>
      <c r="BR148">
        <f t="shared" si="53"/>
        <v>0</v>
      </c>
      <c r="BS148">
        <f t="shared" si="54"/>
        <v>0</v>
      </c>
    </row>
    <row r="149" spans="1:71" ht="18" x14ac:dyDescent="0.25">
      <c r="A149" s="100">
        <f>[4]EnergyCurve!$D171</f>
        <v>41365</v>
      </c>
      <c r="B149" s="329">
        <f t="array" ref="B149">SUM(IF(MONTH(NymexData!$AI$12:$AI$250)&amp;YEAR(NymexData!$AI$12:$AI$250)=MONTH(A149)&amp;YEAR(A149),NymexData!$AJ$12:$AJ$250))</f>
        <v>-36.473192640000001</v>
      </c>
      <c r="C149" s="330">
        <f t="shared" si="41"/>
        <v>0</v>
      </c>
      <c r="D149" s="331">
        <f t="shared" si="42"/>
        <v>-36.473192640000001</v>
      </c>
      <c r="E149" s="332">
        <f t="array" ref="E149">SUM(IF(MONTH(NymexData!$S$12:$S$250)&amp;YEAR(NymexData!$S$12:$S$250)=MONTH(A149)&amp;YEAR(A149),NymexData!$T$12:$T$250))</f>
        <v>4.5305</v>
      </c>
      <c r="F149" s="332">
        <f t="shared" si="43"/>
        <v>-1.699999999999946E-2</v>
      </c>
      <c r="G149" s="333">
        <f t="array" ref="G149">IF(NymexData!$AA$12="",GasPosn!E149,SUM(IF(MONTH(NymexData!$AA$12:$AA$250)&amp;YEAR(NymexData!$AA$12:$AA$250)=MONTH(A149)&amp;YEAR(A149),NymexData!$AB$12:$AB$250)))</f>
        <v>4.5135000000000005</v>
      </c>
      <c r="H149" s="85">
        <f t="shared" si="44"/>
        <v>6200.4427487998028</v>
      </c>
      <c r="I149" s="88">
        <f t="shared" si="45"/>
        <v>0</v>
      </c>
      <c r="J149" s="88">
        <f t="shared" si="46"/>
        <v>6200.4427487998028</v>
      </c>
      <c r="O149" s="47">
        <f t="shared" si="47"/>
        <v>41365</v>
      </c>
      <c r="BD149" s="48">
        <f t="shared" si="48"/>
        <v>0</v>
      </c>
      <c r="BE149" s="334">
        <f t="shared" si="49"/>
        <v>0</v>
      </c>
      <c r="BG149" s="51">
        <f t="shared" si="50"/>
        <v>41365</v>
      </c>
      <c r="BH149" s="335">
        <f t="shared" si="51"/>
        <v>0</v>
      </c>
      <c r="BI149" s="52">
        <f>VLOOKUP(GasPosn!A149,'Pricing Summary'!$AB$12:$AD$250,3)</f>
        <v>30</v>
      </c>
      <c r="BJ149" s="50">
        <f>VLOOKUP(A149,Interest!$AF$8:$AK$367,6)</f>
        <v>0.53378824175707806</v>
      </c>
      <c r="BL149">
        <f>J149*VLOOKUP(A149,NymexData!$J$12:$K$244,2)</f>
        <v>10110.360500729863</v>
      </c>
      <c r="BO149">
        <f>Interest!AK145</f>
        <v>0.53378824175707806</v>
      </c>
      <c r="BP149">
        <f>G149*Interest!AK145</f>
        <v>2.4092532291705719</v>
      </c>
      <c r="BQ149">
        <f t="shared" si="52"/>
        <v>0</v>
      </c>
      <c r="BR149">
        <f t="shared" si="53"/>
        <v>0</v>
      </c>
      <c r="BS149">
        <f t="shared" si="54"/>
        <v>0</v>
      </c>
    </row>
    <row r="150" spans="1:71" ht="18" x14ac:dyDescent="0.25">
      <c r="A150" s="98">
        <f>[4]EnergyCurve!$D172</f>
        <v>41395</v>
      </c>
      <c r="B150" s="324">
        <f t="array" ref="B150">SUM(IF(MONTH(NymexData!$AI$12:$AI$250)&amp;YEAR(NymexData!$AI$12:$AI$250)=MONTH(A150)&amp;YEAR(A150),NymexData!$AJ$12:$AJ$250))</f>
        <v>-37.480213089999999</v>
      </c>
      <c r="C150" s="324">
        <f t="shared" si="41"/>
        <v>0</v>
      </c>
      <c r="D150" s="326">
        <f t="shared" si="42"/>
        <v>-37.480213089999999</v>
      </c>
      <c r="E150" s="327">
        <f t="array" ref="E150">SUM(IF(MONTH(NymexData!$S$12:$S$250)&amp;YEAR(NymexData!$S$12:$S$250)=MONTH(A150)&amp;YEAR(A150),NymexData!$T$12:$T$250))</f>
        <v>4.5354999999999999</v>
      </c>
      <c r="F150" s="327">
        <f t="shared" si="43"/>
        <v>-1.699999999999946E-2</v>
      </c>
      <c r="G150" s="328">
        <f t="array" ref="G150">IF(NymexData!$AA$12="",GasPosn!E150,SUM(IF(MONTH(NymexData!$AA$12:$AA$250)&amp;YEAR(NymexData!$AA$12:$AA$250)=MONTH(A150)&amp;YEAR(A150),NymexData!$AB$12:$AB$250)))</f>
        <v>4.5185000000000004</v>
      </c>
      <c r="H150" s="99">
        <f t="shared" si="44"/>
        <v>6371.6362252997978</v>
      </c>
      <c r="I150" s="92">
        <f t="shared" si="45"/>
        <v>0</v>
      </c>
      <c r="J150" s="92">
        <f t="shared" si="46"/>
        <v>6371.6362252997978</v>
      </c>
      <c r="O150" s="47">
        <f t="shared" si="47"/>
        <v>41395</v>
      </c>
      <c r="BD150" s="48">
        <f t="shared" si="48"/>
        <v>0</v>
      </c>
      <c r="BE150" s="334">
        <f t="shared" si="49"/>
        <v>0</v>
      </c>
      <c r="BG150" s="51">
        <f t="shared" si="50"/>
        <v>41395</v>
      </c>
      <c r="BH150" s="335">
        <f t="shared" si="51"/>
        <v>0</v>
      </c>
      <c r="BI150" s="52">
        <f>VLOOKUP(GasPosn!A150,'Pricing Summary'!$AB$12:$AD$250,3)</f>
        <v>31</v>
      </c>
      <c r="BJ150" s="50">
        <f>VLOOKUP(A150,Interest!$AF$8:$AK$367,6)</f>
        <v>0.530989449438108</v>
      </c>
      <c r="BL150">
        <f>J150*VLOOKUP(A150,NymexData!$J$12:$K$244,2)</f>
        <v>10394.892026963946</v>
      </c>
      <c r="BO150">
        <f>Interest!AK146</f>
        <v>0.530989449438108</v>
      </c>
      <c r="BP150">
        <f>G150*Interest!AK146</f>
        <v>2.399275827286091</v>
      </c>
      <c r="BQ150">
        <f t="shared" si="52"/>
        <v>0</v>
      </c>
      <c r="BR150">
        <f t="shared" si="53"/>
        <v>0</v>
      </c>
      <c r="BS150">
        <f t="shared" si="54"/>
        <v>0</v>
      </c>
    </row>
    <row r="151" spans="1:71" ht="18" x14ac:dyDescent="0.25">
      <c r="A151" s="100">
        <f>[4]EnergyCurve!$D173</f>
        <v>41426</v>
      </c>
      <c r="B151" s="329">
        <f t="array" ref="B151">SUM(IF(MONTH(NymexData!$AI$12:$AI$250)&amp;YEAR(NymexData!$AI$12:$AI$250)=MONTH(A151)&amp;YEAR(A151),NymexData!$AJ$12:$AJ$250))</f>
        <v>-36.063154359999999</v>
      </c>
      <c r="C151" s="330">
        <f t="shared" si="41"/>
        <v>0</v>
      </c>
      <c r="D151" s="331">
        <f t="shared" si="42"/>
        <v>-36.063154359999999</v>
      </c>
      <c r="E151" s="332">
        <f t="array" ref="E151">SUM(IF(MONTH(NymexData!$S$12:$S$250)&amp;YEAR(NymexData!$S$12:$S$250)=MONTH(A151)&amp;YEAR(A151),NymexData!$T$12:$T$250))</f>
        <v>4.5735000000000001</v>
      </c>
      <c r="F151" s="332">
        <f t="shared" si="43"/>
        <v>-1.699999999999946E-2</v>
      </c>
      <c r="G151" s="333">
        <f t="array" ref="G151">IF(NymexData!$AA$12="",GasPosn!E151,SUM(IF(MONTH(NymexData!$AA$12:$AA$250)&amp;YEAR(NymexData!$AA$12:$AA$250)=MONTH(A151)&amp;YEAR(A151),NymexData!$AB$12:$AB$250)))</f>
        <v>4.5565000000000007</v>
      </c>
      <c r="H151" s="85">
        <f t="shared" si="44"/>
        <v>6130.7362411998047</v>
      </c>
      <c r="I151" s="88">
        <f t="shared" si="45"/>
        <v>0</v>
      </c>
      <c r="J151" s="88">
        <f t="shared" si="46"/>
        <v>6130.7362411998047</v>
      </c>
      <c r="O151" s="47">
        <f t="shared" si="47"/>
        <v>41426</v>
      </c>
      <c r="BD151" s="48">
        <f t="shared" si="48"/>
        <v>0</v>
      </c>
      <c r="BE151" s="334">
        <f t="shared" si="49"/>
        <v>0</v>
      </c>
      <c r="BG151" s="51">
        <f t="shared" si="50"/>
        <v>41426</v>
      </c>
      <c r="BH151" s="335">
        <f t="shared" si="51"/>
        <v>0</v>
      </c>
      <c r="BI151" s="52">
        <f>VLOOKUP(GasPosn!A151,'Pricing Summary'!$AB$12:$AD$250,3)</f>
        <v>30</v>
      </c>
      <c r="BJ151" s="50">
        <f>VLOOKUP(A151,Interest!$AF$8:$AK$367,6)</f>
        <v>0.52826811115751326</v>
      </c>
      <c r="BL151">
        <f>J151*VLOOKUP(A151,NymexData!$J$12:$K$244,2)</f>
        <v>10007.276485224407</v>
      </c>
      <c r="BO151">
        <f>Interest!AK147</f>
        <v>0.52826811115751326</v>
      </c>
      <c r="BP151">
        <f>G151*Interest!AK147</f>
        <v>2.4070536484892093</v>
      </c>
      <c r="BQ151">
        <f t="shared" si="52"/>
        <v>0</v>
      </c>
      <c r="BR151">
        <f t="shared" si="53"/>
        <v>0</v>
      </c>
      <c r="BS151">
        <f t="shared" si="54"/>
        <v>0</v>
      </c>
    </row>
    <row r="152" spans="1:71" ht="18" x14ac:dyDescent="0.25">
      <c r="A152" s="98">
        <f>[4]EnergyCurve!$D174</f>
        <v>41456</v>
      </c>
      <c r="B152" s="324">
        <f t="array" ref="B152">SUM(IF(MONTH(NymexData!$AI$12:$AI$250)&amp;YEAR(NymexData!$AI$12:$AI$250)=MONTH(A152)&amp;YEAR(A152),NymexData!$AJ$12:$AJ$250))</f>
        <v>-37.057973750000002</v>
      </c>
      <c r="C152" s="324">
        <f t="shared" si="41"/>
        <v>0</v>
      </c>
      <c r="D152" s="326">
        <f t="shared" si="42"/>
        <v>-37.057973750000002</v>
      </c>
      <c r="E152" s="327">
        <f t="array" ref="E152">SUM(IF(MONTH(NymexData!$S$12:$S$250)&amp;YEAR(NymexData!$S$12:$S$250)=MONTH(A152)&amp;YEAR(A152),NymexData!$T$12:$T$250))</f>
        <v>4.6185</v>
      </c>
      <c r="F152" s="327">
        <f t="shared" si="43"/>
        <v>-1.699999999999946E-2</v>
      </c>
      <c r="G152" s="328">
        <f t="array" ref="G152">IF(NymexData!$AA$12="",GasPosn!E152,SUM(IF(MONTH(NymexData!$AA$12:$AA$250)&amp;YEAR(NymexData!$AA$12:$AA$250)=MONTH(A152)&amp;YEAR(A152),NymexData!$AB$12:$AB$250)))</f>
        <v>4.6015000000000006</v>
      </c>
      <c r="H152" s="99">
        <f t="shared" si="44"/>
        <v>6299.8555374998004</v>
      </c>
      <c r="I152" s="92">
        <f t="shared" si="45"/>
        <v>0</v>
      </c>
      <c r="J152" s="92">
        <f t="shared" si="46"/>
        <v>6299.8555374998004</v>
      </c>
      <c r="O152" s="47">
        <f t="shared" si="47"/>
        <v>41456</v>
      </c>
      <c r="BD152" s="48">
        <f t="shared" si="48"/>
        <v>0</v>
      </c>
      <c r="BE152" s="334">
        <f t="shared" si="49"/>
        <v>0</v>
      </c>
      <c r="BG152" s="51">
        <f t="shared" si="50"/>
        <v>41456</v>
      </c>
      <c r="BH152" s="335">
        <f t="shared" si="51"/>
        <v>0</v>
      </c>
      <c r="BI152" s="52">
        <f>VLOOKUP(GasPosn!A152,'Pricing Summary'!$AB$12:$AD$250,3)</f>
        <v>31</v>
      </c>
      <c r="BJ152" s="50">
        <f>VLOOKUP(A152,Interest!$AF$8:$AK$367,6)</f>
        <v>0.52548852781388833</v>
      </c>
      <c r="BL152">
        <f>J152*VLOOKUP(A152,NymexData!$J$12:$K$244,2)</f>
        <v>10288.739869126783</v>
      </c>
      <c r="BO152">
        <f>Interest!AK148</f>
        <v>0.52548852781388833</v>
      </c>
      <c r="BP152">
        <f>G152*Interest!AK148</f>
        <v>2.4180354607356076</v>
      </c>
      <c r="BQ152">
        <f t="shared" si="52"/>
        <v>0</v>
      </c>
      <c r="BR152">
        <f t="shared" si="53"/>
        <v>0</v>
      </c>
      <c r="BS152">
        <f t="shared" si="54"/>
        <v>0</v>
      </c>
    </row>
    <row r="153" spans="1:71" ht="18" x14ac:dyDescent="0.25">
      <c r="A153" s="100">
        <f>[4]EnergyCurve!$D175</f>
        <v>41487</v>
      </c>
      <c r="B153" s="329">
        <f t="array" ref="B153">SUM(IF(MONTH(NymexData!$AI$12:$AI$250)&amp;YEAR(NymexData!$AI$12:$AI$250)=MONTH(A153)&amp;YEAR(A153),NymexData!$AJ$12:$AJ$250))</f>
        <v>-36.844537719999998</v>
      </c>
      <c r="C153" s="330">
        <f t="shared" si="41"/>
        <v>0</v>
      </c>
      <c r="D153" s="331">
        <f t="shared" si="42"/>
        <v>-36.844537719999998</v>
      </c>
      <c r="E153" s="332">
        <f t="array" ref="E153">SUM(IF(MONTH(NymexData!$S$12:$S$250)&amp;YEAR(NymexData!$S$12:$S$250)=MONTH(A153)&amp;YEAR(A153),NymexData!$T$12:$T$250))</f>
        <v>4.6565000000000003</v>
      </c>
      <c r="F153" s="332">
        <f t="shared" si="43"/>
        <v>-1.7000000000000348E-2</v>
      </c>
      <c r="G153" s="333">
        <f t="array" ref="G153">IF(NymexData!$AA$12="",GasPosn!E153,SUM(IF(MONTH(NymexData!$AA$12:$AA$250)&amp;YEAR(NymexData!$AA$12:$AA$250)=MONTH(A153)&amp;YEAR(A153),NymexData!$AB$12:$AB$250)))</f>
        <v>4.6395</v>
      </c>
      <c r="H153" s="85">
        <f t="shared" si="44"/>
        <v>6263.5714124001279</v>
      </c>
      <c r="I153" s="88">
        <f t="shared" si="45"/>
        <v>0</v>
      </c>
      <c r="J153" s="88">
        <f t="shared" si="46"/>
        <v>6263.5714124001279</v>
      </c>
      <c r="O153" s="47">
        <f t="shared" si="47"/>
        <v>41487</v>
      </c>
      <c r="BD153" s="48">
        <f t="shared" si="48"/>
        <v>0</v>
      </c>
      <c r="BE153" s="334">
        <f t="shared" si="49"/>
        <v>0</v>
      </c>
      <c r="BG153" s="51">
        <f t="shared" si="50"/>
        <v>41487</v>
      </c>
      <c r="BH153" s="335">
        <f t="shared" si="51"/>
        <v>0</v>
      </c>
      <c r="BI153" s="52">
        <f>VLOOKUP(GasPosn!A153,'Pricing Summary'!$AB$12:$AD$250,3)</f>
        <v>31</v>
      </c>
      <c r="BJ153" s="50">
        <f>VLOOKUP(A153,Interest!$AF$8:$AK$367,6)</f>
        <v>0.52270743329691649</v>
      </c>
      <c r="BL153">
        <f>J153*VLOOKUP(A153,NymexData!$J$12:$K$244,2)</f>
        <v>10235.080292556906</v>
      </c>
      <c r="BO153">
        <f>Interest!AK149</f>
        <v>0.52270743329691649</v>
      </c>
      <c r="BP153">
        <f>G153*Interest!AK149</f>
        <v>2.425101136781044</v>
      </c>
      <c r="BQ153">
        <f t="shared" si="52"/>
        <v>0</v>
      </c>
      <c r="BR153">
        <f t="shared" si="53"/>
        <v>0</v>
      </c>
      <c r="BS153">
        <f t="shared" si="54"/>
        <v>0</v>
      </c>
    </row>
    <row r="154" spans="1:71" ht="18" x14ac:dyDescent="0.25">
      <c r="A154" s="98">
        <f>[4]EnergyCurve!$D176</f>
        <v>41518</v>
      </c>
      <c r="B154" s="324">
        <f t="array" ref="B154">SUM(IF(MONTH(NymexData!$AI$12:$AI$250)&amp;YEAR(NymexData!$AI$12:$AI$250)=MONTH(A154)&amp;YEAR(A154),NymexData!$AJ$12:$AJ$250))</f>
        <v>-35.450200889999998</v>
      </c>
      <c r="C154" s="324">
        <f t="shared" si="41"/>
        <v>0</v>
      </c>
      <c r="D154" s="326">
        <f t="shared" si="42"/>
        <v>-35.450200889999998</v>
      </c>
      <c r="E154" s="327">
        <f t="array" ref="E154">SUM(IF(MONTH(NymexData!$S$12:$S$250)&amp;YEAR(NymexData!$S$12:$S$250)=MONTH(A154)&amp;YEAR(A154),NymexData!$T$12:$T$250))</f>
        <v>4.6505000000000001</v>
      </c>
      <c r="F154" s="327">
        <f t="shared" si="43"/>
        <v>-1.699999999999946E-2</v>
      </c>
      <c r="G154" s="328">
        <f t="array" ref="G154">IF(NymexData!$AA$12="",GasPosn!E154,SUM(IF(MONTH(NymexData!$AA$12:$AA$250)&amp;YEAR(NymexData!$AA$12:$AA$250)=MONTH(A154)&amp;YEAR(A154),NymexData!$AB$12:$AB$250)))</f>
        <v>4.6335000000000006</v>
      </c>
      <c r="H154" s="99">
        <f t="shared" si="44"/>
        <v>6026.5341512998075</v>
      </c>
      <c r="I154" s="92">
        <f t="shared" si="45"/>
        <v>0</v>
      </c>
      <c r="J154" s="92">
        <f t="shared" si="46"/>
        <v>6026.5341512998075</v>
      </c>
      <c r="O154" s="47">
        <f t="shared" si="47"/>
        <v>41518</v>
      </c>
      <c r="BD154" s="48">
        <f t="shared" si="48"/>
        <v>0</v>
      </c>
      <c r="BE154" s="334">
        <f t="shared" si="49"/>
        <v>0</v>
      </c>
      <c r="BG154" s="51">
        <f t="shared" si="50"/>
        <v>41518</v>
      </c>
      <c r="BH154" s="335">
        <f t="shared" si="51"/>
        <v>0</v>
      </c>
      <c r="BI154" s="52">
        <f>VLOOKUP(GasPosn!A154,'Pricing Summary'!$AB$12:$AD$250,3)</f>
        <v>30</v>
      </c>
      <c r="BJ154" s="50">
        <f>VLOOKUP(A154,Interest!$AF$8:$AK$367,6)</f>
        <v>0.52001401376883349</v>
      </c>
      <c r="BL154">
        <f>J154*VLOOKUP(A154,NymexData!$J$12:$K$244,2)</f>
        <v>9853.174589647404</v>
      </c>
      <c r="BO154">
        <f>Interest!AK150</f>
        <v>0.52001401376883349</v>
      </c>
      <c r="BP154">
        <f>G154*Interest!AK150</f>
        <v>2.4094849327978904</v>
      </c>
      <c r="BQ154">
        <f t="shared" si="52"/>
        <v>0</v>
      </c>
      <c r="BR154">
        <f t="shared" si="53"/>
        <v>0</v>
      </c>
      <c r="BS154">
        <f t="shared" si="54"/>
        <v>0</v>
      </c>
    </row>
    <row r="155" spans="1:71" ht="18" x14ac:dyDescent="0.25">
      <c r="A155" s="100">
        <f>[4]EnergyCurve!$D177</f>
        <v>41548</v>
      </c>
      <c r="B155" s="329">
        <f t="array" ref="B155">SUM(IF(MONTH(NymexData!$AI$12:$AI$250)&amp;YEAR(NymexData!$AI$12:$AI$250)=MONTH(A155)&amp;YEAR(A155),NymexData!$AJ$12:$AJ$250))</f>
        <v>-36.426807310000001</v>
      </c>
      <c r="C155" s="330">
        <f t="shared" si="41"/>
        <v>0</v>
      </c>
      <c r="D155" s="331">
        <f t="shared" si="42"/>
        <v>-36.426807310000001</v>
      </c>
      <c r="E155" s="332">
        <f t="array" ref="E155">SUM(IF(MONTH(NymexData!$S$12:$S$250)&amp;YEAR(NymexData!$S$12:$S$250)=MONTH(A155)&amp;YEAR(A155),NymexData!$T$12:$T$250))</f>
        <v>4.6505000000000001</v>
      </c>
      <c r="F155" s="332">
        <f t="shared" si="43"/>
        <v>-1.699999999999946E-2</v>
      </c>
      <c r="G155" s="333">
        <f t="array" ref="G155">IF(NymexData!$AA$12="",GasPosn!E155,SUM(IF(MONTH(NymexData!$AA$12:$AA$250)&amp;YEAR(NymexData!$AA$12:$AA$250)=MONTH(A155)&amp;YEAR(A155),NymexData!$AB$12:$AB$250)))</f>
        <v>4.6335000000000006</v>
      </c>
      <c r="H155" s="85">
        <f t="shared" si="44"/>
        <v>6192.5572426998042</v>
      </c>
      <c r="I155" s="88">
        <f t="shared" si="45"/>
        <v>0</v>
      </c>
      <c r="J155" s="88">
        <f t="shared" si="46"/>
        <v>6192.5572426998042</v>
      </c>
      <c r="O155" s="47">
        <f t="shared" si="47"/>
        <v>41548</v>
      </c>
      <c r="BD155" s="48">
        <f t="shared" si="48"/>
        <v>0</v>
      </c>
      <c r="BE155" s="334">
        <f t="shared" si="49"/>
        <v>0</v>
      </c>
      <c r="BG155" s="51">
        <f t="shared" si="50"/>
        <v>41548</v>
      </c>
      <c r="BH155" s="335">
        <f t="shared" si="51"/>
        <v>0</v>
      </c>
      <c r="BI155" s="52">
        <f>VLOOKUP(GasPosn!A155,'Pricing Summary'!$AB$12:$AD$250,3)</f>
        <v>31</v>
      </c>
      <c r="BJ155" s="50">
        <f>VLOOKUP(A155,Interest!$AF$8:$AK$367,6)</f>
        <v>0.5172634105889079</v>
      </c>
      <c r="BL155">
        <f>J155*VLOOKUP(A155,NymexData!$J$12:$K$244,2)</f>
        <v>10130.055623909735</v>
      </c>
      <c r="BO155">
        <f>Interest!AK151</f>
        <v>0.5172634105889079</v>
      </c>
      <c r="BP155">
        <f>G155*Interest!AK151</f>
        <v>2.3967400129637051</v>
      </c>
      <c r="BQ155">
        <f t="shared" si="52"/>
        <v>0</v>
      </c>
      <c r="BR155">
        <f t="shared" si="53"/>
        <v>0</v>
      </c>
      <c r="BS155">
        <f t="shared" si="54"/>
        <v>0</v>
      </c>
    </row>
    <row r="156" spans="1:71" ht="18" x14ac:dyDescent="0.25">
      <c r="A156" s="98">
        <f>[4]EnergyCurve!$D178</f>
        <v>41579</v>
      </c>
      <c r="B156" s="324">
        <f t="array" ref="B156">SUM(IF(MONTH(NymexData!$AI$12:$AI$250)&amp;YEAR(NymexData!$AI$12:$AI$250)=MONTH(A156)&amp;YEAR(A156),NymexData!$AJ$12:$AJ$250))</f>
        <v>-35.047419210000001</v>
      </c>
      <c r="C156" s="324">
        <f t="shared" si="41"/>
        <v>0</v>
      </c>
      <c r="D156" s="326">
        <f t="shared" si="42"/>
        <v>-35.047419210000001</v>
      </c>
      <c r="E156" s="327">
        <f t="array" ref="E156">SUM(IF(MONTH(NymexData!$S$12:$S$250)&amp;YEAR(NymexData!$S$12:$S$250)=MONTH(A156)&amp;YEAR(A156),NymexData!$T$12:$T$250))</f>
        <v>4.7985000000000007</v>
      </c>
      <c r="F156" s="327">
        <f t="shared" si="43"/>
        <v>-1.6000000000000902E-2</v>
      </c>
      <c r="G156" s="328">
        <f t="array" ref="G156">IF(NymexData!$AA$12="",GasPosn!E156,SUM(IF(MONTH(NymexData!$AA$12:$AA$250)&amp;YEAR(NymexData!$AA$12:$AA$250)=MONTH(A156)&amp;YEAR(A156),NymexData!$AB$12:$AB$250)))</f>
        <v>4.7824999999999998</v>
      </c>
      <c r="H156" s="99">
        <f t="shared" si="44"/>
        <v>5607.5870736003162</v>
      </c>
      <c r="I156" s="92">
        <f t="shared" si="45"/>
        <v>0</v>
      </c>
      <c r="J156" s="92">
        <f t="shared" si="46"/>
        <v>5607.5870736003162</v>
      </c>
      <c r="O156" s="47">
        <f t="shared" si="47"/>
        <v>41579</v>
      </c>
      <c r="BD156" s="48">
        <f t="shared" si="48"/>
        <v>0</v>
      </c>
      <c r="BE156" s="334">
        <f t="shared" si="49"/>
        <v>0</v>
      </c>
      <c r="BG156" s="51">
        <f t="shared" si="50"/>
        <v>41579</v>
      </c>
      <c r="BH156" s="335">
        <f t="shared" si="51"/>
        <v>0</v>
      </c>
      <c r="BI156" s="52">
        <f>VLOOKUP(GasPosn!A156,'Pricing Summary'!$AB$12:$AD$250,3)</f>
        <v>30</v>
      </c>
      <c r="BJ156" s="50">
        <f>VLOOKUP(A156,Interest!$AF$8:$AK$367,6)</f>
        <v>0.5145885127579406</v>
      </c>
      <c r="BL156">
        <f>J156*VLOOKUP(A156,NymexData!$J$12:$K$244,2)</f>
        <v>9178.2636378589614</v>
      </c>
      <c r="BO156">
        <f>Interest!AK152</f>
        <v>0.5145885127579406</v>
      </c>
      <c r="BP156">
        <f>G156*Interest!AK152</f>
        <v>2.461019562264851</v>
      </c>
      <c r="BQ156">
        <f t="shared" si="52"/>
        <v>0</v>
      </c>
      <c r="BR156">
        <f t="shared" si="53"/>
        <v>0</v>
      </c>
      <c r="BS156">
        <f t="shared" si="54"/>
        <v>0</v>
      </c>
    </row>
    <row r="157" spans="1:71" ht="18" x14ac:dyDescent="0.25">
      <c r="A157" s="100">
        <f>[4]EnergyCurve!$D179</f>
        <v>41609</v>
      </c>
      <c r="B157" s="329">
        <f t="array" ref="B157">SUM(IF(MONTH(NymexData!$AI$12:$AI$250)&amp;YEAR(NymexData!$AI$12:$AI$250)=MONTH(A157)&amp;YEAR(A157),NymexData!$AJ$12:$AJ$250))</f>
        <v>-36.012074609999999</v>
      </c>
      <c r="C157" s="330">
        <f t="shared" si="41"/>
        <v>0</v>
      </c>
      <c r="D157" s="331">
        <f t="shared" si="42"/>
        <v>-36.012074609999999</v>
      </c>
      <c r="E157" s="332">
        <f t="array" ref="E157">SUM(IF(MONTH(NymexData!$S$12:$S$250)&amp;YEAR(NymexData!$S$12:$S$250)=MONTH(A157)&amp;YEAR(A157),NymexData!$T$12:$T$250))</f>
        <v>4.9504999999999999</v>
      </c>
      <c r="F157" s="332">
        <f t="shared" si="43"/>
        <v>-1.6000000000000014E-2</v>
      </c>
      <c r="G157" s="333">
        <f t="array" ref="G157">IF(NymexData!$AA$12="",GasPosn!E157,SUM(IF(MONTH(NymexData!$AA$12:$AA$250)&amp;YEAR(NymexData!$AA$12:$AA$250)=MONTH(A157)&amp;YEAR(A157),NymexData!$AB$12:$AB$250)))</f>
        <v>4.9344999999999999</v>
      </c>
      <c r="H157" s="85">
        <f t="shared" si="44"/>
        <v>5761.9319376000049</v>
      </c>
      <c r="I157" s="88">
        <f t="shared" si="45"/>
        <v>0</v>
      </c>
      <c r="J157" s="88">
        <f t="shared" si="46"/>
        <v>5761.9319376000049</v>
      </c>
      <c r="O157" s="47">
        <f t="shared" si="47"/>
        <v>41609</v>
      </c>
      <c r="BD157" s="48">
        <f t="shared" si="48"/>
        <v>0</v>
      </c>
      <c r="BE157" s="334">
        <f t="shared" si="49"/>
        <v>0</v>
      </c>
      <c r="BG157" s="51">
        <f t="shared" si="50"/>
        <v>41609</v>
      </c>
      <c r="BH157" s="335">
        <f t="shared" si="51"/>
        <v>0</v>
      </c>
      <c r="BI157" s="52">
        <f>VLOOKUP(GasPosn!A157,'Pricing Summary'!$AB$12:$AD$250,3)</f>
        <v>31</v>
      </c>
      <c r="BJ157" s="50">
        <f>VLOOKUP(A157,Interest!$AF$8:$AK$367,6)</f>
        <v>0.51185712761453872</v>
      </c>
      <c r="BL157">
        <f>J157*VLOOKUP(A157,NymexData!$J$12:$K$244,2)</f>
        <v>9436.0259795871334</v>
      </c>
      <c r="BO157">
        <f>Interest!AK153</f>
        <v>0.51185712761453872</v>
      </c>
      <c r="BP157">
        <f>G157*Interest!AK153</f>
        <v>2.5257589962139413</v>
      </c>
      <c r="BQ157">
        <f t="shared" si="52"/>
        <v>0</v>
      </c>
      <c r="BR157">
        <f t="shared" si="53"/>
        <v>0</v>
      </c>
      <c r="BS157">
        <f t="shared" si="54"/>
        <v>0</v>
      </c>
    </row>
    <row r="158" spans="1:71" ht="18" x14ac:dyDescent="0.25">
      <c r="A158" s="98">
        <f>[4]EnergyCurve!$D180</f>
        <v>41640</v>
      </c>
      <c r="B158" s="324">
        <f t="array" ref="B158">SUM(IF(MONTH(NymexData!$AI$12:$AI$250)&amp;YEAR(NymexData!$AI$12:$AI$250)=MONTH(A158)&amp;YEAR(A158),NymexData!$AJ$12:$AJ$250))</f>
        <v>-35.802459550000002</v>
      </c>
      <c r="C158" s="324">
        <f t="shared" si="41"/>
        <v>0</v>
      </c>
      <c r="D158" s="326">
        <f t="shared" si="42"/>
        <v>-35.802459550000002</v>
      </c>
      <c r="E158" s="327">
        <f t="array" ref="E158">SUM(IF(MONTH(NymexData!$S$12:$S$250)&amp;YEAR(NymexData!$S$12:$S$250)=MONTH(A158)&amp;YEAR(A158),NymexData!$T$12:$T$250))</f>
        <v>5.0230000000000006</v>
      </c>
      <c r="F158" s="327">
        <f t="shared" si="43"/>
        <v>-1.1000000000000121E-2</v>
      </c>
      <c r="G158" s="328">
        <f t="array" ref="G158">IF(NymexData!$AA$12="",GasPosn!E158,SUM(IF(MONTH(NymexData!$AA$12:$AA$250)&amp;YEAR(NymexData!$AA$12:$AA$250)=MONTH(A158)&amp;YEAR(A158),NymexData!$AB$12:$AB$250)))</f>
        <v>5.0120000000000005</v>
      </c>
      <c r="H158" s="99">
        <f t="shared" si="44"/>
        <v>3938.2705505000431</v>
      </c>
      <c r="I158" s="92">
        <f t="shared" si="45"/>
        <v>0</v>
      </c>
      <c r="J158" s="92">
        <f t="shared" si="46"/>
        <v>3938.2705505000431</v>
      </c>
      <c r="O158" s="47">
        <f t="shared" si="47"/>
        <v>41640</v>
      </c>
      <c r="BD158" s="48">
        <f t="shared" si="48"/>
        <v>0</v>
      </c>
      <c r="BE158" s="334">
        <f t="shared" si="49"/>
        <v>0</v>
      </c>
      <c r="BG158" s="51">
        <f t="shared" si="50"/>
        <v>41640</v>
      </c>
      <c r="BH158" s="335">
        <f t="shared" si="51"/>
        <v>0</v>
      </c>
      <c r="BI158" s="52">
        <f>VLOOKUP(GasPosn!A158,'Pricing Summary'!$AB$12:$AD$250,3)</f>
        <v>31</v>
      </c>
      <c r="BJ158" s="50">
        <f>VLOOKUP(A158,Interest!$AF$8:$AK$367,6)</f>
        <v>0.50912413728153472</v>
      </c>
      <c r="BL158">
        <f>J158*VLOOKUP(A158,NymexData!$J$12:$K$244,2)</f>
        <v>6453.1627744192238</v>
      </c>
      <c r="BO158">
        <f>Interest!AK154</f>
        <v>0.50912413728153472</v>
      </c>
      <c r="BP158">
        <f>G158*Interest!AK154</f>
        <v>2.5517301760550524</v>
      </c>
      <c r="BQ158">
        <f t="shared" si="52"/>
        <v>0</v>
      </c>
      <c r="BR158">
        <f t="shared" si="53"/>
        <v>0</v>
      </c>
      <c r="BS158">
        <f t="shared" si="54"/>
        <v>0</v>
      </c>
    </row>
    <row r="159" spans="1:71" ht="18" x14ac:dyDescent="0.25">
      <c r="A159" s="100">
        <f>[4]EnergyCurve!$D181</f>
        <v>41671</v>
      </c>
      <c r="B159" s="329">
        <f t="array" ref="B159">SUM(IF(MONTH(NymexData!$AI$12:$AI$250)&amp;YEAR(NymexData!$AI$12:$AI$250)=MONTH(A159)&amp;YEAR(A159),NymexData!$AJ$12:$AJ$250))</f>
        <v>-32.149076960000002</v>
      </c>
      <c r="C159" s="330">
        <f t="shared" si="41"/>
        <v>0</v>
      </c>
      <c r="D159" s="331">
        <f t="shared" si="42"/>
        <v>-32.149076960000002</v>
      </c>
      <c r="E159" s="332">
        <f t="array" ref="E159">SUM(IF(MONTH(NymexData!$S$12:$S$250)&amp;YEAR(NymexData!$S$12:$S$250)=MONTH(A159)&amp;YEAR(A159),NymexData!$T$12:$T$250))</f>
        <v>4.9359999999999999</v>
      </c>
      <c r="F159" s="332">
        <f t="shared" si="43"/>
        <v>-1.1999999999999567E-2</v>
      </c>
      <c r="G159" s="333">
        <f t="array" ref="G159">IF(NymexData!$AA$12="",GasPosn!E159,SUM(IF(MONTH(NymexData!$AA$12:$AA$250)&amp;YEAR(NymexData!$AA$12:$AA$250)=MONTH(A159)&amp;YEAR(A159),NymexData!$AB$12:$AB$250)))</f>
        <v>4.9240000000000004</v>
      </c>
      <c r="H159" s="85">
        <f t="shared" si="44"/>
        <v>3857.8892351998607</v>
      </c>
      <c r="I159" s="88">
        <f t="shared" si="45"/>
        <v>0</v>
      </c>
      <c r="J159" s="88">
        <f t="shared" si="46"/>
        <v>3857.8892351998607</v>
      </c>
      <c r="O159" s="47">
        <f t="shared" si="47"/>
        <v>41671</v>
      </c>
      <c r="BD159" s="48">
        <f t="shared" si="48"/>
        <v>0</v>
      </c>
      <c r="BE159" s="334">
        <f t="shared" si="49"/>
        <v>0</v>
      </c>
      <c r="BG159" s="51">
        <f t="shared" si="50"/>
        <v>41671</v>
      </c>
      <c r="BH159" s="335">
        <f t="shared" si="51"/>
        <v>0</v>
      </c>
      <c r="BI159" s="52">
        <f>VLOOKUP(GasPosn!A159,'Pricing Summary'!$AB$12:$AD$250,3)</f>
        <v>28</v>
      </c>
      <c r="BJ159" s="50">
        <f>VLOOKUP(A159,Interest!$AF$8:$AK$367,6)</f>
        <v>0.50662979517540663</v>
      </c>
      <c r="BL159">
        <f>J159*VLOOKUP(A159,NymexData!$J$12:$K$244,2)</f>
        <v>6325.0593437775597</v>
      </c>
      <c r="BO159">
        <f>Interest!AK155</f>
        <v>0.50662979517540663</v>
      </c>
      <c r="BP159">
        <f>G159*Interest!AK155</f>
        <v>2.4946451114437025</v>
      </c>
      <c r="BQ159">
        <f t="shared" si="52"/>
        <v>0</v>
      </c>
      <c r="BR159">
        <f t="shared" si="53"/>
        <v>0</v>
      </c>
      <c r="BS159">
        <f t="shared" si="54"/>
        <v>0</v>
      </c>
    </row>
    <row r="160" spans="1:71" ht="18" x14ac:dyDescent="0.25">
      <c r="A160" s="98">
        <f>[4]EnergyCurve!$D182</f>
        <v>41699</v>
      </c>
      <c r="B160" s="324">
        <f t="array" ref="B160">SUM(IF(MONTH(NymexData!$AI$12:$AI$250)&amp;YEAR(NymexData!$AI$12:$AI$250)=MONTH(A160)&amp;YEAR(A160),NymexData!$AJ$12:$AJ$250))</f>
        <v>-35.405660439999998</v>
      </c>
      <c r="C160" s="324">
        <f t="shared" si="41"/>
        <v>0</v>
      </c>
      <c r="D160" s="326">
        <f t="shared" si="42"/>
        <v>-35.405660439999998</v>
      </c>
      <c r="E160" s="327">
        <f t="array" ref="E160">SUM(IF(MONTH(NymexData!$S$12:$S$250)&amp;YEAR(NymexData!$S$12:$S$250)=MONTH(A160)&amp;YEAR(A160),NymexData!$T$12:$T$250))</f>
        <v>4.7970000000000006</v>
      </c>
      <c r="F160" s="327">
        <f t="shared" si="43"/>
        <v>-1.2000000000000455E-2</v>
      </c>
      <c r="G160" s="328">
        <f t="array" ref="G160">IF(NymexData!$AA$12="",GasPosn!E160,SUM(IF(MONTH(NymexData!$AA$12:$AA$250)&amp;YEAR(NymexData!$AA$12:$AA$250)=MONTH(A160)&amp;YEAR(A160),NymexData!$AB$12:$AB$250)))</f>
        <v>4.7850000000000001</v>
      </c>
      <c r="H160" s="99">
        <f t="shared" si="44"/>
        <v>4248.6792528001615</v>
      </c>
      <c r="I160" s="92">
        <f t="shared" si="45"/>
        <v>0</v>
      </c>
      <c r="J160" s="92">
        <f t="shared" si="46"/>
        <v>4248.6792528001615</v>
      </c>
      <c r="O160" s="47">
        <f t="shared" si="47"/>
        <v>41699</v>
      </c>
      <c r="BD160" s="48">
        <f t="shared" si="48"/>
        <v>0</v>
      </c>
      <c r="BE160" s="334">
        <f t="shared" si="49"/>
        <v>0</v>
      </c>
      <c r="BG160" s="51">
        <f t="shared" si="50"/>
        <v>41699</v>
      </c>
      <c r="BH160" s="335">
        <f t="shared" si="51"/>
        <v>0</v>
      </c>
      <c r="BI160" s="52">
        <f>VLOOKUP(GasPosn!A160,'Pricing Summary'!$AB$12:$AD$250,3)</f>
        <v>31</v>
      </c>
      <c r="BJ160" s="50">
        <f>VLOOKUP(A160,Interest!$AF$8:$AK$367,6)</f>
        <v>0.5039495725048464</v>
      </c>
      <c r="BL160">
        <f>J160*VLOOKUP(A160,NymexData!$J$12:$K$244,2)</f>
        <v>6969.378732339268</v>
      </c>
      <c r="BO160">
        <f>Interest!AK156</f>
        <v>0.5039495725048464</v>
      </c>
      <c r="BP160">
        <f>G160*Interest!AK156</f>
        <v>2.4113987044356899</v>
      </c>
      <c r="BQ160">
        <f t="shared" si="52"/>
        <v>0</v>
      </c>
      <c r="BR160">
        <f t="shared" si="53"/>
        <v>0</v>
      </c>
      <c r="BS160">
        <f t="shared" si="54"/>
        <v>0</v>
      </c>
    </row>
    <row r="161" spans="1:71" ht="18" x14ac:dyDescent="0.25">
      <c r="A161" s="100">
        <f>[4]EnergyCurve!$D183</f>
        <v>41730</v>
      </c>
      <c r="B161" s="329">
        <f t="array" ref="B161">SUM(IF(MONTH(NymexData!$AI$12:$AI$250)&amp;YEAR(NymexData!$AI$12:$AI$250)=MONTH(A161)&amp;YEAR(A161),NymexData!$AJ$12:$AJ$250))</f>
        <v>-34.06287236</v>
      </c>
      <c r="C161" s="330">
        <f t="shared" si="41"/>
        <v>0</v>
      </c>
      <c r="D161" s="331">
        <f t="shared" si="42"/>
        <v>-34.06287236</v>
      </c>
      <c r="E161" s="332">
        <f t="array" ref="E161">SUM(IF(MONTH(NymexData!$S$12:$S$250)&amp;YEAR(NymexData!$S$12:$S$250)=MONTH(A161)&amp;YEAR(A161),NymexData!$T$12:$T$250))</f>
        <v>4.6429999999999998</v>
      </c>
      <c r="F161" s="332">
        <f t="shared" si="43"/>
        <v>-1.1999999999999567E-2</v>
      </c>
      <c r="G161" s="333">
        <f t="array" ref="G161">IF(NymexData!$AA$12="",GasPosn!E161,SUM(IF(MONTH(NymexData!$AA$12:$AA$250)&amp;YEAR(NymexData!$AA$12:$AA$250)=MONTH(A161)&amp;YEAR(A161),NymexData!$AB$12:$AB$250)))</f>
        <v>4.6310000000000002</v>
      </c>
      <c r="H161" s="85">
        <f t="shared" si="44"/>
        <v>4087.5446831998529</v>
      </c>
      <c r="I161" s="88">
        <f t="shared" si="45"/>
        <v>0</v>
      </c>
      <c r="J161" s="88">
        <f t="shared" si="46"/>
        <v>4087.5446831998529</v>
      </c>
      <c r="O161" s="47">
        <f t="shared" si="47"/>
        <v>41730</v>
      </c>
      <c r="BD161" s="48">
        <f t="shared" si="48"/>
        <v>0</v>
      </c>
      <c r="BE161" s="334">
        <f t="shared" si="49"/>
        <v>0</v>
      </c>
      <c r="BG161" s="51">
        <f t="shared" si="50"/>
        <v>41730</v>
      </c>
      <c r="BH161" s="335">
        <f t="shared" si="51"/>
        <v>0</v>
      </c>
      <c r="BI161" s="52">
        <f>VLOOKUP(GasPosn!A161,'Pricing Summary'!$AB$12:$AD$250,3)</f>
        <v>30</v>
      </c>
      <c r="BJ161" s="50">
        <f>VLOOKUP(A161,Interest!$AF$8:$AK$367,6)</f>
        <v>0.50132054351666722</v>
      </c>
      <c r="BL161">
        <f>J161*VLOOKUP(A161,NymexData!$J$12:$K$244,2)</f>
        <v>6708.9362601165367</v>
      </c>
      <c r="BO161">
        <f>Interest!AK157</f>
        <v>0.50132054351666722</v>
      </c>
      <c r="BP161">
        <f>G161*Interest!AK157</f>
        <v>2.3216154370256858</v>
      </c>
      <c r="BQ161">
        <f t="shared" si="52"/>
        <v>0</v>
      </c>
      <c r="BR161">
        <f t="shared" si="53"/>
        <v>0</v>
      </c>
      <c r="BS161">
        <f t="shared" si="54"/>
        <v>0</v>
      </c>
    </row>
    <row r="162" spans="1:71" ht="18" x14ac:dyDescent="0.25">
      <c r="A162" s="98">
        <f>[4]EnergyCurve!$D184</f>
        <v>41760</v>
      </c>
      <c r="B162" s="324">
        <f t="array" ref="B162">SUM(IF(MONTH(NymexData!$AI$12:$AI$250)&amp;YEAR(NymexData!$AI$12:$AI$250)=MONTH(A162)&amp;YEAR(A162),NymexData!$AJ$12:$AJ$250))</f>
        <v>-34.998372529999997</v>
      </c>
      <c r="C162" s="324">
        <f t="shared" si="41"/>
        <v>0</v>
      </c>
      <c r="D162" s="326">
        <f t="shared" si="42"/>
        <v>-34.998372529999997</v>
      </c>
      <c r="E162" s="327">
        <f t="array" ref="E162">SUM(IF(MONTH(NymexData!$S$12:$S$250)&amp;YEAR(NymexData!$S$12:$S$250)=MONTH(A162)&amp;YEAR(A162),NymexData!$T$12:$T$250))</f>
        <v>4.6480000000000006</v>
      </c>
      <c r="F162" s="327">
        <f t="shared" si="43"/>
        <v>-1.2000000000000455E-2</v>
      </c>
      <c r="G162" s="328">
        <f t="array" ref="G162">IF(NymexData!$AA$12="",GasPosn!E162,SUM(IF(MONTH(NymexData!$AA$12:$AA$250)&amp;YEAR(NymexData!$AA$12:$AA$250)=MONTH(A162)&amp;YEAR(A162),NymexData!$AB$12:$AB$250)))</f>
        <v>4.6360000000000001</v>
      </c>
      <c r="H162" s="99">
        <f t="shared" si="44"/>
        <v>4199.804703600159</v>
      </c>
      <c r="I162" s="92">
        <f t="shared" si="45"/>
        <v>0</v>
      </c>
      <c r="J162" s="92">
        <f t="shared" si="46"/>
        <v>4199.804703600159</v>
      </c>
      <c r="O162" s="47">
        <f t="shared" si="47"/>
        <v>41760</v>
      </c>
      <c r="BD162" s="48">
        <f t="shared" si="48"/>
        <v>0</v>
      </c>
      <c r="BE162" s="334">
        <f t="shared" si="49"/>
        <v>0</v>
      </c>
      <c r="BG162" s="51">
        <f t="shared" si="50"/>
        <v>41760</v>
      </c>
      <c r="BH162" s="335">
        <f t="shared" si="51"/>
        <v>0</v>
      </c>
      <c r="BI162" s="52">
        <f>VLOOKUP(GasPosn!A162,'Pricing Summary'!$AB$12:$AD$250,3)</f>
        <v>31</v>
      </c>
      <c r="BJ162" s="50">
        <f>VLOOKUP(A162,Interest!$AF$8:$AK$367,6)</f>
        <v>0.49863672555826866</v>
      </c>
      <c r="BL162">
        <f>J162*VLOOKUP(A162,NymexData!$J$12:$K$244,2)</f>
        <v>6897.0728157659632</v>
      </c>
      <c r="BO162">
        <f>Interest!AK158</f>
        <v>0.49863672555826866</v>
      </c>
      <c r="BP162">
        <f>G162*Interest!AK158</f>
        <v>2.3116798596881334</v>
      </c>
      <c r="BQ162">
        <f t="shared" si="52"/>
        <v>0</v>
      </c>
      <c r="BR162">
        <f t="shared" si="53"/>
        <v>0</v>
      </c>
      <c r="BS162">
        <f t="shared" si="54"/>
        <v>0</v>
      </c>
    </row>
    <row r="163" spans="1:71" ht="18" x14ac:dyDescent="0.25">
      <c r="A163" s="100">
        <f>[4]EnergyCurve!$D185</f>
        <v>41791</v>
      </c>
      <c r="B163" s="329">
        <f t="array" ref="B163">SUM(IF(MONTH(NymexData!$AI$12:$AI$250)&amp;YEAR(NymexData!$AI$12:$AI$250)=MONTH(A163)&amp;YEAR(A163),NymexData!$AJ$12:$AJ$250))</f>
        <v>-33.670205500000002</v>
      </c>
      <c r="C163" s="330">
        <f t="shared" si="41"/>
        <v>0</v>
      </c>
      <c r="D163" s="331">
        <f t="shared" si="42"/>
        <v>-33.670205500000002</v>
      </c>
      <c r="E163" s="332">
        <f t="array" ref="E163">SUM(IF(MONTH(NymexData!$S$12:$S$250)&amp;YEAR(NymexData!$S$12:$S$250)=MONTH(A163)&amp;YEAR(A163),NymexData!$T$12:$T$250))</f>
        <v>4.6859999999999999</v>
      </c>
      <c r="F163" s="332">
        <f t="shared" si="43"/>
        <v>-1.1999999999999567E-2</v>
      </c>
      <c r="G163" s="333">
        <f t="array" ref="G163">IF(NymexData!$AA$12="",GasPosn!E163,SUM(IF(MONTH(NymexData!$AA$12:$AA$250)&amp;YEAR(NymexData!$AA$12:$AA$250)=MONTH(A163)&amp;YEAR(A163),NymexData!$AB$12:$AB$250)))</f>
        <v>4.6740000000000004</v>
      </c>
      <c r="H163" s="85">
        <f t="shared" si="44"/>
        <v>4040.4246599998542</v>
      </c>
      <c r="I163" s="88">
        <f t="shared" si="45"/>
        <v>0</v>
      </c>
      <c r="J163" s="88">
        <f t="shared" si="46"/>
        <v>4040.4246599998542</v>
      </c>
      <c r="O163" s="47">
        <f t="shared" si="47"/>
        <v>41791</v>
      </c>
      <c r="BD163" s="48">
        <f t="shared" si="48"/>
        <v>0</v>
      </c>
      <c r="BE163" s="334">
        <f t="shared" si="49"/>
        <v>0</v>
      </c>
      <c r="BG163" s="51">
        <f t="shared" si="50"/>
        <v>41791</v>
      </c>
      <c r="BH163" s="335">
        <f t="shared" si="51"/>
        <v>0</v>
      </c>
      <c r="BI163" s="52">
        <f>VLOOKUP(GasPosn!A163,'Pricing Summary'!$AB$12:$AD$250,3)</f>
        <v>30</v>
      </c>
      <c r="BJ163" s="50">
        <f>VLOOKUP(A163,Interest!$AF$8:$AK$367,6)</f>
        <v>0.49602622894944143</v>
      </c>
      <c r="BL163">
        <f>J163*VLOOKUP(A163,NymexData!$J$12:$K$244,2)</f>
        <v>6639.2210046547971</v>
      </c>
      <c r="BO163">
        <f>Interest!AK159</f>
        <v>0.49602622894944143</v>
      </c>
      <c r="BP163">
        <f>G163*Interest!AK159</f>
        <v>2.3184265941096895</v>
      </c>
      <c r="BQ163">
        <f t="shared" si="52"/>
        <v>0</v>
      </c>
      <c r="BR163">
        <f t="shared" si="53"/>
        <v>0</v>
      </c>
      <c r="BS163">
        <f t="shared" si="54"/>
        <v>0</v>
      </c>
    </row>
    <row r="164" spans="1:71" ht="18" x14ac:dyDescent="0.25">
      <c r="A164" s="98">
        <f>[4]EnergyCurve!$D186</f>
        <v>41821</v>
      </c>
      <c r="B164" s="324">
        <f t="array" ref="B164">SUM(IF(MONTH(NymexData!$AI$12:$AI$250)&amp;YEAR(NymexData!$AI$12:$AI$250)=MONTH(A164)&amp;YEAR(A164),NymexData!$AJ$12:$AJ$250))</f>
        <v>-34.594100570000002</v>
      </c>
      <c r="C164" s="324">
        <f t="shared" si="41"/>
        <v>0</v>
      </c>
      <c r="D164" s="326">
        <f t="shared" si="42"/>
        <v>-34.594100570000002</v>
      </c>
      <c r="E164" s="327">
        <f t="array" ref="E164">SUM(IF(MONTH(NymexData!$S$12:$S$250)&amp;YEAR(NymexData!$S$12:$S$250)=MONTH(A164)&amp;YEAR(A164),NymexData!$T$12:$T$250))</f>
        <v>4.7309999999999999</v>
      </c>
      <c r="F164" s="327">
        <f t="shared" si="43"/>
        <v>-1.1999999999999567E-2</v>
      </c>
      <c r="G164" s="328">
        <f t="array" ref="G164">IF(NymexData!$AA$12="",GasPosn!E164,SUM(IF(MONTH(NymexData!$AA$12:$AA$250)&amp;YEAR(NymexData!$AA$12:$AA$250)=MONTH(A164)&amp;YEAR(A164),NymexData!$AB$12:$AB$250)))</f>
        <v>4.7190000000000003</v>
      </c>
      <c r="H164" s="99">
        <f t="shared" si="44"/>
        <v>4151.2920683998509</v>
      </c>
      <c r="I164" s="92">
        <f t="shared" si="45"/>
        <v>0</v>
      </c>
      <c r="J164" s="92">
        <f t="shared" si="46"/>
        <v>4151.2920683998509</v>
      </c>
      <c r="O164" s="47">
        <f t="shared" si="47"/>
        <v>41821</v>
      </c>
      <c r="BD164" s="48">
        <f t="shared" si="48"/>
        <v>0</v>
      </c>
      <c r="BE164" s="334">
        <f t="shared" si="49"/>
        <v>0</v>
      </c>
      <c r="BG164" s="51">
        <f t="shared" si="50"/>
        <v>41821</v>
      </c>
      <c r="BH164" s="335">
        <f t="shared" si="51"/>
        <v>0</v>
      </c>
      <c r="BI164" s="52">
        <f>VLOOKUP(GasPosn!A164,'Pricing Summary'!$AB$12:$AD$250,3)</f>
        <v>31</v>
      </c>
      <c r="BJ164" s="50">
        <f>VLOOKUP(A164,Interest!$AF$8:$AK$367,6)</f>
        <v>0.49336161923123756</v>
      </c>
      <c r="BL164">
        <f>J164*VLOOKUP(A164,NymexData!$J$12:$K$244,2)</f>
        <v>6825.291753732864</v>
      </c>
      <c r="BO164">
        <f>Interest!AK160</f>
        <v>0.49336161923123756</v>
      </c>
      <c r="BP164">
        <f>G164*Interest!AK160</f>
        <v>2.3281734811522101</v>
      </c>
      <c r="BQ164">
        <f t="shared" si="52"/>
        <v>0</v>
      </c>
      <c r="BR164">
        <f t="shared" si="53"/>
        <v>0</v>
      </c>
      <c r="BS164">
        <f t="shared" si="54"/>
        <v>0</v>
      </c>
    </row>
    <row r="165" spans="1:71" ht="18" x14ac:dyDescent="0.25">
      <c r="A165" s="100">
        <f>[4]EnergyCurve!$D187</f>
        <v>41852</v>
      </c>
      <c r="B165" s="329">
        <f t="array" ref="B165">SUM(IF(MONTH(NymexData!$AI$12:$AI$250)&amp;YEAR(NymexData!$AI$12:$AI$250)=MONTH(A165)&amp;YEAR(A165),NymexData!$AJ$12:$AJ$250))</f>
        <v>-34.389808039999998</v>
      </c>
      <c r="C165" s="330">
        <f t="shared" si="41"/>
        <v>0</v>
      </c>
      <c r="D165" s="331">
        <f t="shared" si="42"/>
        <v>-34.389808039999998</v>
      </c>
      <c r="E165" s="332">
        <f t="array" ref="E165">SUM(IF(MONTH(NymexData!$S$12:$S$250)&amp;YEAR(NymexData!$S$12:$S$250)=MONTH(A165)&amp;YEAR(A165),NymexData!$T$12:$T$250))</f>
        <v>4.7690000000000001</v>
      </c>
      <c r="F165" s="332">
        <f t="shared" si="43"/>
        <v>-1.1999999999999567E-2</v>
      </c>
      <c r="G165" s="333">
        <f t="array" ref="G165">IF(NymexData!$AA$12="",GasPosn!E165,SUM(IF(MONTH(NymexData!$AA$12:$AA$250)&amp;YEAR(NymexData!$AA$12:$AA$250)=MONTH(A165)&amp;YEAR(A165),NymexData!$AB$12:$AB$250)))</f>
        <v>4.7570000000000006</v>
      </c>
      <c r="H165" s="85">
        <f t="shared" si="44"/>
        <v>4126.7769647998502</v>
      </c>
      <c r="I165" s="88">
        <f t="shared" si="45"/>
        <v>0</v>
      </c>
      <c r="J165" s="88">
        <f t="shared" si="46"/>
        <v>4126.7769647998502</v>
      </c>
      <c r="O165" s="47">
        <f t="shared" si="47"/>
        <v>41852</v>
      </c>
      <c r="BD165" s="48">
        <f t="shared" si="48"/>
        <v>0</v>
      </c>
      <c r="BE165" s="334">
        <f t="shared" si="49"/>
        <v>0</v>
      </c>
      <c r="BG165" s="51">
        <f t="shared" si="50"/>
        <v>41852</v>
      </c>
      <c r="BH165" s="335">
        <f t="shared" si="51"/>
        <v>0</v>
      </c>
      <c r="BI165" s="52">
        <f>VLOOKUP(GasPosn!A165,'Pricing Summary'!$AB$12:$AD$250,3)</f>
        <v>31</v>
      </c>
      <c r="BJ165" s="50">
        <f>VLOOKUP(A165,Interest!$AF$8:$AK$367,6)</f>
        <v>0.49069528807090268</v>
      </c>
      <c r="BL165">
        <f>J165*VLOOKUP(A165,NymexData!$J$12:$K$244,2)</f>
        <v>6789.0137620644227</v>
      </c>
      <c r="BO165">
        <f>Interest!AK161</f>
        <v>0.49069528807090268</v>
      </c>
      <c r="BP165">
        <f>G165*Interest!AK161</f>
        <v>2.3342374853532841</v>
      </c>
      <c r="BQ165">
        <f t="shared" si="52"/>
        <v>0</v>
      </c>
      <c r="BR165">
        <f t="shared" si="53"/>
        <v>0</v>
      </c>
      <c r="BS165">
        <f t="shared" si="54"/>
        <v>0</v>
      </c>
    </row>
    <row r="166" spans="1:71" ht="18" x14ac:dyDescent="0.25">
      <c r="A166" s="98">
        <f>[4]EnergyCurve!$D188</f>
        <v>41883</v>
      </c>
      <c r="B166" s="324">
        <f t="array" ref="B166">SUM(IF(MONTH(NymexData!$AI$12:$AI$250)&amp;YEAR(NymexData!$AI$12:$AI$250)=MONTH(A166)&amp;YEAR(A166),NymexData!$AJ$12:$AJ$250))</f>
        <v>-33.083512229999997</v>
      </c>
      <c r="C166" s="324">
        <f t="shared" si="41"/>
        <v>0</v>
      </c>
      <c r="D166" s="326">
        <f t="shared" si="42"/>
        <v>-33.083512229999997</v>
      </c>
      <c r="E166" s="327">
        <f t="array" ref="E166">SUM(IF(MONTH(NymexData!$S$12:$S$250)&amp;YEAR(NymexData!$S$12:$S$250)=MONTH(A166)&amp;YEAR(A166),NymexData!$T$12:$T$250))</f>
        <v>4.7629999999999999</v>
      </c>
      <c r="F166" s="327">
        <f t="shared" si="43"/>
        <v>-1.1999999999999567E-2</v>
      </c>
      <c r="G166" s="328">
        <f t="array" ref="G166">IF(NymexData!$AA$12="",GasPosn!E166,SUM(IF(MONTH(NymexData!$AA$12:$AA$250)&amp;YEAR(NymexData!$AA$12:$AA$250)=MONTH(A166)&amp;YEAR(A166),NymexData!$AB$12:$AB$250)))</f>
        <v>4.7510000000000003</v>
      </c>
      <c r="H166" s="99">
        <f t="shared" si="44"/>
        <v>3970.0214675998564</v>
      </c>
      <c r="I166" s="92">
        <f t="shared" si="45"/>
        <v>0</v>
      </c>
      <c r="J166" s="92">
        <f t="shared" si="46"/>
        <v>3970.0214675998564</v>
      </c>
      <c r="O166" s="47">
        <f t="shared" si="47"/>
        <v>41883</v>
      </c>
      <c r="BD166" s="48">
        <f t="shared" si="48"/>
        <v>0</v>
      </c>
      <c r="BE166" s="334">
        <f t="shared" si="49"/>
        <v>0</v>
      </c>
      <c r="BG166" s="51">
        <f t="shared" si="50"/>
        <v>41883</v>
      </c>
      <c r="BH166" s="335">
        <f t="shared" si="51"/>
        <v>0</v>
      </c>
      <c r="BI166" s="52">
        <f>VLOOKUP(GasPosn!A166,'Pricing Summary'!$AB$12:$AD$250,3)</f>
        <v>30</v>
      </c>
      <c r="BJ166" s="50">
        <f>VLOOKUP(A166,Interest!$AF$8:$AK$367,6)</f>
        <v>0.48811273816354228</v>
      </c>
      <c r="BL166">
        <f>J166*VLOOKUP(A166,NymexData!$J$12:$K$244,2)</f>
        <v>6535.0364792382416</v>
      </c>
      <c r="BO166">
        <f>Interest!AK162</f>
        <v>0.48811273816354228</v>
      </c>
      <c r="BP166">
        <f>G166*Interest!AK162</f>
        <v>2.3190236190149895</v>
      </c>
      <c r="BQ166">
        <f t="shared" si="52"/>
        <v>0</v>
      </c>
      <c r="BR166">
        <f t="shared" si="53"/>
        <v>0</v>
      </c>
      <c r="BS166">
        <f t="shared" si="54"/>
        <v>0</v>
      </c>
    </row>
    <row r="167" spans="1:71" ht="18" x14ac:dyDescent="0.25">
      <c r="A167" s="100">
        <f>[4]EnergyCurve!$D189</f>
        <v>41913</v>
      </c>
      <c r="B167" s="329">
        <f t="array" ref="B167">SUM(IF(MONTH(NymexData!$AI$12:$AI$250)&amp;YEAR(NymexData!$AI$12:$AI$250)=MONTH(A167)&amp;YEAR(A167),NymexData!$AJ$12:$AJ$250))</f>
        <v>-33.990092369999999</v>
      </c>
      <c r="C167" s="330">
        <f t="shared" si="41"/>
        <v>0</v>
      </c>
      <c r="D167" s="331">
        <f t="shared" si="42"/>
        <v>-33.990092369999999</v>
      </c>
      <c r="E167" s="332">
        <f t="array" ref="E167">SUM(IF(MONTH(NymexData!$S$12:$S$250)&amp;YEAR(NymexData!$S$12:$S$250)=MONTH(A167)&amp;YEAR(A167),NymexData!$T$12:$T$250))</f>
        <v>4.7629999999999999</v>
      </c>
      <c r="F167" s="332">
        <f t="shared" si="43"/>
        <v>-1.1999999999999567E-2</v>
      </c>
      <c r="G167" s="333">
        <f t="array" ref="G167">IF(NymexData!$AA$12="",GasPosn!E167,SUM(IF(MONTH(NymexData!$AA$12:$AA$250)&amp;YEAR(NymexData!$AA$12:$AA$250)=MONTH(A167)&amp;YEAR(A167),NymexData!$AB$12:$AB$250)))</f>
        <v>4.7510000000000003</v>
      </c>
      <c r="H167" s="85">
        <f t="shared" si="44"/>
        <v>4078.8110843998525</v>
      </c>
      <c r="I167" s="88">
        <f t="shared" si="45"/>
        <v>0</v>
      </c>
      <c r="J167" s="88">
        <f t="shared" si="46"/>
        <v>4078.8110843998525</v>
      </c>
      <c r="O167" s="47">
        <f t="shared" si="47"/>
        <v>41913</v>
      </c>
      <c r="BD167" s="48">
        <f t="shared" si="48"/>
        <v>0</v>
      </c>
      <c r="BE167" s="334">
        <f t="shared" si="49"/>
        <v>0</v>
      </c>
      <c r="BG167" s="51">
        <f t="shared" si="50"/>
        <v>41913</v>
      </c>
      <c r="BH167" s="335">
        <f t="shared" si="51"/>
        <v>0</v>
      </c>
      <c r="BI167" s="52">
        <f>VLOOKUP(GasPosn!A167,'Pricing Summary'!$AB$12:$AD$250,3)</f>
        <v>31</v>
      </c>
      <c r="BJ167" s="50">
        <f>VLOOKUP(A167,Interest!$AF$8:$AK$367,6)</f>
        <v>0.48547708338791595</v>
      </c>
      <c r="BL167">
        <f>J167*VLOOKUP(A167,NymexData!$J$12:$K$244,2)</f>
        <v>6718.0228808502206</v>
      </c>
      <c r="BO167">
        <f>Interest!AK163</f>
        <v>0.48547708338791595</v>
      </c>
      <c r="BP167">
        <f>G167*Interest!AK163</f>
        <v>2.3065016231759889</v>
      </c>
      <c r="BQ167">
        <f t="shared" si="52"/>
        <v>0</v>
      </c>
      <c r="BR167">
        <f t="shared" si="53"/>
        <v>0</v>
      </c>
      <c r="BS167">
        <f t="shared" si="54"/>
        <v>0</v>
      </c>
    </row>
    <row r="168" spans="1:71" ht="18" x14ac:dyDescent="0.25">
      <c r="A168" s="98">
        <f>[4]EnergyCurve!$D190</f>
        <v>41944</v>
      </c>
      <c r="B168" s="324">
        <f t="array" ref="B168">SUM(IF(MONTH(NymexData!$AI$12:$AI$250)&amp;YEAR(NymexData!$AI$12:$AI$250)=MONTH(A168)&amp;YEAR(A168),NymexData!$AJ$12:$AJ$250))</f>
        <v>-32.698178140000003</v>
      </c>
      <c r="C168" s="324">
        <f t="shared" si="41"/>
        <v>0</v>
      </c>
      <c r="D168" s="326">
        <f t="shared" si="42"/>
        <v>-32.698178140000003</v>
      </c>
      <c r="E168" s="327">
        <f t="array" ref="E168">SUM(IF(MONTH(NymexData!$S$12:$S$250)&amp;YEAR(NymexData!$S$12:$S$250)=MONTH(A168)&amp;YEAR(A168),NymexData!$T$12:$T$250))</f>
        <v>4.9110000000000005</v>
      </c>
      <c r="F168" s="327">
        <f t="shared" si="43"/>
        <v>-1.1000000000000121E-2</v>
      </c>
      <c r="G168" s="328">
        <f t="array" ref="G168">IF(NymexData!$AA$12="",GasPosn!E168,SUM(IF(MONTH(NymexData!$AA$12:$AA$250)&amp;YEAR(NymexData!$AA$12:$AA$250)=MONTH(A168)&amp;YEAR(A168),NymexData!$AB$12:$AB$250)))</f>
        <v>4.9000000000000004</v>
      </c>
      <c r="H168" s="99">
        <f t="shared" si="44"/>
        <v>3596.7995954000398</v>
      </c>
      <c r="I168" s="92">
        <f t="shared" si="45"/>
        <v>0</v>
      </c>
      <c r="J168" s="92">
        <f t="shared" si="46"/>
        <v>3596.7995954000398</v>
      </c>
      <c r="O168" s="47">
        <f t="shared" si="47"/>
        <v>41944</v>
      </c>
      <c r="BD168" s="48">
        <f t="shared" si="48"/>
        <v>0</v>
      </c>
      <c r="BE168" s="334">
        <f t="shared" si="49"/>
        <v>0</v>
      </c>
      <c r="BG168" s="51">
        <f t="shared" si="50"/>
        <v>41944</v>
      </c>
      <c r="BH168" s="335">
        <f t="shared" si="51"/>
        <v>0</v>
      </c>
      <c r="BI168" s="52">
        <f>VLOOKUP(GasPosn!A168,'Pricing Summary'!$AB$12:$AD$250,3)</f>
        <v>30</v>
      </c>
      <c r="BJ168" s="50">
        <f>VLOOKUP(A168,Interest!$AF$8:$AK$367,6)</f>
        <v>0.48291305783499106</v>
      </c>
      <c r="BL168">
        <f>J168*VLOOKUP(A168,NymexData!$J$12:$K$244,2)</f>
        <v>5927.7101655606039</v>
      </c>
      <c r="BO168">
        <f>Interest!AK164</f>
        <v>0.48291305783499106</v>
      </c>
      <c r="BP168">
        <f>G168*Interest!AK164</f>
        <v>2.3662739833914563</v>
      </c>
      <c r="BQ168">
        <f t="shared" si="52"/>
        <v>0</v>
      </c>
      <c r="BR168">
        <f t="shared" si="53"/>
        <v>0</v>
      </c>
      <c r="BS168">
        <f t="shared" si="54"/>
        <v>0</v>
      </c>
    </row>
    <row r="169" spans="1:71" ht="18" x14ac:dyDescent="0.25">
      <c r="A169" s="100">
        <f>[4]EnergyCurve!$D191</f>
        <v>41974</v>
      </c>
      <c r="B169" s="329">
        <f t="array" ref="B169">SUM(IF(MONTH(NymexData!$AI$12:$AI$250)&amp;YEAR(NymexData!$AI$12:$AI$250)=MONTH(A169)&amp;YEAR(A169),NymexData!$AJ$12:$AJ$250))</f>
        <v>-33.593402099999999</v>
      </c>
      <c r="C169" s="330">
        <f t="shared" si="41"/>
        <v>0</v>
      </c>
      <c r="D169" s="331">
        <f t="shared" si="42"/>
        <v>-33.593402099999999</v>
      </c>
      <c r="E169" s="332">
        <f t="array" ref="E169">SUM(IF(MONTH(NymexData!$S$12:$S$250)&amp;YEAR(NymexData!$S$12:$S$250)=MONTH(A169)&amp;YEAR(A169),NymexData!$T$12:$T$250))</f>
        <v>5.0630000000000006</v>
      </c>
      <c r="F169" s="332">
        <f t="shared" si="43"/>
        <v>-1.1000000000000121E-2</v>
      </c>
      <c r="G169" s="333">
        <f t="array" ref="G169">IF(NymexData!$AA$12="",GasPosn!E169,SUM(IF(MONTH(NymexData!$AA$12:$AA$250)&amp;YEAR(NymexData!$AA$12:$AA$250)=MONTH(A169)&amp;YEAR(A169),NymexData!$AB$12:$AB$250)))</f>
        <v>5.0520000000000005</v>
      </c>
      <c r="H169" s="85">
        <f t="shared" si="44"/>
        <v>3695.2742310000408</v>
      </c>
      <c r="I169" s="88">
        <f t="shared" si="45"/>
        <v>0</v>
      </c>
      <c r="J169" s="88">
        <f t="shared" si="46"/>
        <v>3695.2742310000408</v>
      </c>
      <c r="O169" s="47">
        <f t="shared" si="47"/>
        <v>41974</v>
      </c>
      <c r="BD169" s="48">
        <f t="shared" si="48"/>
        <v>0</v>
      </c>
      <c r="BE169" s="334">
        <f t="shared" si="49"/>
        <v>0</v>
      </c>
      <c r="BG169" s="51">
        <f t="shared" si="50"/>
        <v>41974</v>
      </c>
      <c r="BH169" s="335">
        <f t="shared" si="51"/>
        <v>0</v>
      </c>
      <c r="BI169" s="52">
        <f>VLOOKUP(GasPosn!A169,'Pricing Summary'!$AB$12:$AD$250,3)</f>
        <v>31</v>
      </c>
      <c r="BJ169" s="50">
        <f>VLOOKUP(A169,Interest!$AF$8:$AK$367,6)</f>
        <v>0.48029658858779761</v>
      </c>
      <c r="BL169">
        <f>J169*VLOOKUP(A169,NymexData!$J$12:$K$244,2)</f>
        <v>6093.5920229597077</v>
      </c>
      <c r="BO169">
        <f>Interest!AK165</f>
        <v>0.48029658858779761</v>
      </c>
      <c r="BP169">
        <f>G169*Interest!AK165</f>
        <v>2.4264583655455536</v>
      </c>
      <c r="BQ169">
        <f t="shared" si="52"/>
        <v>0</v>
      </c>
      <c r="BR169">
        <f t="shared" si="53"/>
        <v>0</v>
      </c>
      <c r="BS169">
        <f t="shared" si="54"/>
        <v>0</v>
      </c>
    </row>
    <row r="170" spans="1:71" ht="18" x14ac:dyDescent="0.25">
      <c r="A170" s="98">
        <f>[4]EnergyCurve!$D192</f>
        <v>42005</v>
      </c>
      <c r="B170" s="324">
        <f t="array" ref="B170">SUM(IF(MONTH(NymexData!$AI$12:$AI$250)&amp;YEAR(NymexData!$AI$12:$AI$250)=MONTH(A170)&amp;YEAR(A170),NymexData!$AJ$12:$AJ$250))</f>
        <v>-33.392965770000004</v>
      </c>
      <c r="C170" s="324">
        <f t="shared" si="41"/>
        <v>0</v>
      </c>
      <c r="D170" s="326">
        <f t="shared" si="42"/>
        <v>-33.392965770000004</v>
      </c>
      <c r="E170" s="327">
        <f t="array" ref="E170">SUM(IF(MONTH(NymexData!$S$12:$S$250)&amp;YEAR(NymexData!$S$12:$S$250)=MONTH(A170)&amp;YEAR(A170),NymexData!$T$12:$T$250))</f>
        <v>5.1355000000000004</v>
      </c>
      <c r="F170" s="327">
        <f t="shared" si="43"/>
        <v>-6.0000000000002274E-3</v>
      </c>
      <c r="G170" s="328">
        <f t="array" ref="G170">IF(NymexData!$AA$12="",GasPosn!E170,SUM(IF(MONTH(NymexData!$AA$12:$AA$250)&amp;YEAR(NymexData!$AA$12:$AA$250)=MONTH(A170)&amp;YEAR(A170),NymexData!$AB$12:$AB$250)))</f>
        <v>5.1295000000000002</v>
      </c>
      <c r="H170" s="99">
        <f t="shared" si="44"/>
        <v>2003.5779462000762</v>
      </c>
      <c r="I170" s="92">
        <f t="shared" si="45"/>
        <v>0</v>
      </c>
      <c r="J170" s="92">
        <f t="shared" si="46"/>
        <v>2003.5779462000762</v>
      </c>
      <c r="O170" s="47">
        <f t="shared" si="47"/>
        <v>42005</v>
      </c>
      <c r="BD170" s="48">
        <f t="shared" si="48"/>
        <v>0</v>
      </c>
      <c r="BE170" s="334">
        <f t="shared" si="49"/>
        <v>0</v>
      </c>
      <c r="BG170" s="51">
        <f t="shared" si="50"/>
        <v>42005</v>
      </c>
      <c r="BH170" s="335">
        <f t="shared" si="51"/>
        <v>0</v>
      </c>
      <c r="BI170" s="52">
        <f>VLOOKUP(GasPosn!A170,'Pricing Summary'!$AB$12:$AD$250,3)</f>
        <v>31</v>
      </c>
      <c r="BJ170" s="50">
        <f>VLOOKUP(A170,Interest!$AF$8:$AK$367,6)</f>
        <v>0.47767832362818635</v>
      </c>
      <c r="BL170">
        <f>J170*VLOOKUP(A170,NymexData!$J$12:$K$244,2)</f>
        <v>3305.9717439489427</v>
      </c>
      <c r="BO170">
        <f>Interest!AK166</f>
        <v>0.47767832362818635</v>
      </c>
      <c r="BP170">
        <f>G170*Interest!AK166</f>
        <v>2.4502509610507821</v>
      </c>
      <c r="BQ170">
        <f t="shared" si="52"/>
        <v>0</v>
      </c>
      <c r="BR170">
        <f t="shared" si="53"/>
        <v>0</v>
      </c>
      <c r="BS170">
        <f t="shared" si="54"/>
        <v>0</v>
      </c>
    </row>
    <row r="171" spans="1:71" ht="18" x14ac:dyDescent="0.25">
      <c r="A171" s="100">
        <f>[4]EnergyCurve!$D193</f>
        <v>42036</v>
      </c>
      <c r="B171" s="329">
        <f t="array" ref="B171">SUM(IF(MONTH(NymexData!$AI$12:$AI$250)&amp;YEAR(NymexData!$AI$12:$AI$250)=MONTH(A171)&amp;YEAR(A171),NymexData!$AJ$12:$AJ$250))</f>
        <v>-29.981055909999998</v>
      </c>
      <c r="C171" s="330">
        <f t="shared" si="41"/>
        <v>0</v>
      </c>
      <c r="D171" s="331">
        <f t="shared" si="42"/>
        <v>-29.981055909999998</v>
      </c>
      <c r="E171" s="332">
        <f t="array" ref="E171">SUM(IF(MONTH(NymexData!$S$12:$S$250)&amp;YEAR(NymexData!$S$12:$S$250)=MONTH(A171)&amp;YEAR(A171),NymexData!$T$12:$T$250))</f>
        <v>5.0485000000000007</v>
      </c>
      <c r="F171" s="332">
        <f t="shared" si="43"/>
        <v>-7.0000000000005613E-3</v>
      </c>
      <c r="G171" s="333">
        <f t="array" ref="G171">IF(NymexData!$AA$12="",GasPosn!E171,SUM(IF(MONTH(NymexData!$AA$12:$AA$250)&amp;YEAR(NymexData!$AA$12:$AA$250)=MONTH(A171)&amp;YEAR(A171),NymexData!$AB$12:$AB$250)))</f>
        <v>5.0415000000000001</v>
      </c>
      <c r="H171" s="85">
        <f t="shared" si="44"/>
        <v>2098.6739137001682</v>
      </c>
      <c r="I171" s="88">
        <f t="shared" si="45"/>
        <v>0</v>
      </c>
      <c r="J171" s="88">
        <f t="shared" si="46"/>
        <v>2098.6739137001682</v>
      </c>
      <c r="O171" s="47">
        <f t="shared" si="47"/>
        <v>42036</v>
      </c>
      <c r="BD171" s="48">
        <f t="shared" si="48"/>
        <v>0</v>
      </c>
      <c r="BE171" s="334">
        <f t="shared" si="49"/>
        <v>0</v>
      </c>
      <c r="BG171" s="51">
        <f t="shared" si="50"/>
        <v>42036</v>
      </c>
      <c r="BH171" s="335">
        <f t="shared" si="51"/>
        <v>0</v>
      </c>
      <c r="BI171" s="52">
        <f>VLOOKUP(GasPosn!A171,'Pricing Summary'!$AB$12:$AD$250,3)</f>
        <v>28</v>
      </c>
      <c r="BJ171" s="50">
        <f>VLOOKUP(A171,Interest!$AF$8:$AK$367,6)</f>
        <v>0.47528712227979969</v>
      </c>
      <c r="BL171">
        <f>J171*VLOOKUP(A171,NymexData!$J$12:$K$244,2)</f>
        <v>3465.0201246828187</v>
      </c>
      <c r="BO171">
        <f>Interest!AK167</f>
        <v>0.47528712227979969</v>
      </c>
      <c r="BP171">
        <f>G171*Interest!AK167</f>
        <v>2.3961600269736101</v>
      </c>
      <c r="BQ171">
        <f t="shared" si="52"/>
        <v>0</v>
      </c>
      <c r="BR171">
        <f t="shared" si="53"/>
        <v>0</v>
      </c>
      <c r="BS171">
        <f t="shared" si="54"/>
        <v>0</v>
      </c>
    </row>
    <row r="172" spans="1:71" ht="18" x14ac:dyDescent="0.25">
      <c r="A172" s="98">
        <f>[4]EnergyCurve!$D194</f>
        <v>42064</v>
      </c>
      <c r="B172" s="324">
        <f t="array" ref="B172">SUM(IF(MONTH(NymexData!$AI$12:$AI$250)&amp;YEAR(NymexData!$AI$12:$AI$250)=MONTH(A172)&amp;YEAR(A172),NymexData!$AJ$12:$AJ$250))</f>
        <v>-33.013652139999998</v>
      </c>
      <c r="C172" s="324">
        <f t="shared" si="41"/>
        <v>0</v>
      </c>
      <c r="D172" s="326">
        <f t="shared" si="42"/>
        <v>-33.013652139999998</v>
      </c>
      <c r="E172" s="327">
        <f t="array" ref="E172">SUM(IF(MONTH(NymexData!$S$12:$S$250)&amp;YEAR(NymexData!$S$12:$S$250)=MONTH(A172)&amp;YEAR(A172),NymexData!$T$12:$T$250))</f>
        <v>4.9095000000000004</v>
      </c>
      <c r="F172" s="327">
        <f t="shared" si="43"/>
        <v>-7.0000000000005613E-3</v>
      </c>
      <c r="G172" s="328">
        <f t="array" ref="G172">IF(NymexData!$AA$12="",GasPosn!E172,SUM(IF(MONTH(NymexData!$AA$12:$AA$250)&amp;YEAR(NymexData!$AA$12:$AA$250)=MONTH(A172)&amp;YEAR(A172),NymexData!$AB$12:$AB$250)))</f>
        <v>4.9024999999999999</v>
      </c>
      <c r="H172" s="99">
        <f t="shared" si="44"/>
        <v>2310.9556498001853</v>
      </c>
      <c r="I172" s="92">
        <f t="shared" si="45"/>
        <v>0</v>
      </c>
      <c r="J172" s="92">
        <f t="shared" si="46"/>
        <v>2310.9556498001853</v>
      </c>
      <c r="O172" s="47">
        <f t="shared" si="47"/>
        <v>42064</v>
      </c>
      <c r="BD172" s="48">
        <f t="shared" si="48"/>
        <v>0</v>
      </c>
      <c r="BE172" s="334">
        <f t="shared" si="49"/>
        <v>0</v>
      </c>
      <c r="BG172" s="51">
        <f t="shared" si="50"/>
        <v>42064</v>
      </c>
      <c r="BH172" s="335">
        <f t="shared" si="51"/>
        <v>0</v>
      </c>
      <c r="BI172" s="52">
        <f>VLOOKUP(GasPosn!A172,'Pricing Summary'!$AB$12:$AD$250,3)</f>
        <v>31</v>
      </c>
      <c r="BJ172" s="50">
        <f>VLOOKUP(A172,Interest!$AF$8:$AK$367,6)</f>
        <v>0.47272205640180232</v>
      </c>
      <c r="BL172">
        <f>J172*VLOOKUP(A172,NymexData!$J$12:$K$244,2)</f>
        <v>3817.647734692845</v>
      </c>
      <c r="BO172">
        <f>Interest!AK168</f>
        <v>0.47272205640180232</v>
      </c>
      <c r="BP172">
        <f>G172*Interest!AK168</f>
        <v>2.3175198815098357</v>
      </c>
      <c r="BQ172">
        <f t="shared" si="52"/>
        <v>0</v>
      </c>
      <c r="BR172">
        <f t="shared" si="53"/>
        <v>0</v>
      </c>
      <c r="BS172">
        <f t="shared" si="54"/>
        <v>0</v>
      </c>
    </row>
    <row r="173" spans="1:71" ht="18" x14ac:dyDescent="0.25">
      <c r="A173" s="100">
        <f>[4]EnergyCurve!$D195</f>
        <v>42095</v>
      </c>
      <c r="B173" s="329">
        <f t="array" ref="B173">SUM(IF(MONTH(NymexData!$AI$12:$AI$250)&amp;YEAR(NymexData!$AI$12:$AI$250)=MONTH(A173)&amp;YEAR(A173),NymexData!$AJ$12:$AJ$250))</f>
        <v>-31.756924089999998</v>
      </c>
      <c r="C173" s="330">
        <f t="shared" si="41"/>
        <v>0</v>
      </c>
      <c r="D173" s="331">
        <f t="shared" si="42"/>
        <v>-31.756924089999998</v>
      </c>
      <c r="E173" s="332">
        <f t="array" ref="E173">SUM(IF(MONTH(NymexData!$S$12:$S$250)&amp;YEAR(NymexData!$S$12:$S$250)=MONTH(A173)&amp;YEAR(A173),NymexData!$T$12:$T$250))</f>
        <v>4.7555000000000005</v>
      </c>
      <c r="F173" s="332">
        <f t="shared" si="43"/>
        <v>-7.0000000000005613E-3</v>
      </c>
      <c r="G173" s="333">
        <f t="array" ref="G173">IF(NymexData!$AA$12="",GasPosn!E173,SUM(IF(MONTH(NymexData!$AA$12:$AA$250)&amp;YEAR(NymexData!$AA$12:$AA$250)=MONTH(A173)&amp;YEAR(A173),NymexData!$AB$12:$AB$250)))</f>
        <v>4.7484999999999999</v>
      </c>
      <c r="H173" s="85">
        <f t="shared" si="44"/>
        <v>2222.9846863001781</v>
      </c>
      <c r="I173" s="88">
        <f t="shared" si="45"/>
        <v>0</v>
      </c>
      <c r="J173" s="88">
        <f t="shared" si="46"/>
        <v>2222.9846863001781</v>
      </c>
      <c r="O173" s="47">
        <f t="shared" si="47"/>
        <v>42095</v>
      </c>
      <c r="BD173" s="48">
        <f t="shared" si="48"/>
        <v>0</v>
      </c>
      <c r="BE173" s="334">
        <f t="shared" si="49"/>
        <v>0</v>
      </c>
      <c r="BG173" s="51">
        <f t="shared" si="50"/>
        <v>42095</v>
      </c>
      <c r="BH173" s="335">
        <f t="shared" si="51"/>
        <v>0</v>
      </c>
      <c r="BI173" s="52">
        <f>VLOOKUP(GasPosn!A173,'Pricing Summary'!$AB$12:$AD$250,3)</f>
        <v>30</v>
      </c>
      <c r="BJ173" s="50">
        <f>VLOOKUP(A173,Interest!$AF$8:$AK$367,6)</f>
        <v>0.47020385279031113</v>
      </c>
      <c r="BL173">
        <f>J173*VLOOKUP(A173,NymexData!$J$12:$K$244,2)</f>
        <v>3674.6151848424843</v>
      </c>
      <c r="BO173">
        <f>Interest!AK169</f>
        <v>0.47020385279031113</v>
      </c>
      <c r="BP173">
        <f>G173*Interest!AK169</f>
        <v>2.2327629949747925</v>
      </c>
      <c r="BQ173">
        <f t="shared" si="52"/>
        <v>0</v>
      </c>
      <c r="BR173">
        <f t="shared" si="53"/>
        <v>0</v>
      </c>
      <c r="BS173">
        <f t="shared" si="54"/>
        <v>0</v>
      </c>
    </row>
    <row r="174" spans="1:71" ht="18" x14ac:dyDescent="0.25">
      <c r="A174" s="98">
        <f>[4]EnergyCurve!$D196</f>
        <v>42125</v>
      </c>
      <c r="B174" s="324">
        <f t="array" ref="B174">SUM(IF(MONTH(NymexData!$AI$12:$AI$250)&amp;YEAR(NymexData!$AI$12:$AI$250)=MONTH(A174)&amp;YEAR(A174),NymexData!$AJ$12:$AJ$250))</f>
        <v>-32.624462450000003</v>
      </c>
      <c r="C174" s="324">
        <f t="shared" si="41"/>
        <v>0</v>
      </c>
      <c r="D174" s="326">
        <f t="shared" si="42"/>
        <v>-32.624462450000003</v>
      </c>
      <c r="E174" s="327">
        <f t="array" ref="E174">SUM(IF(MONTH(NymexData!$S$12:$S$250)&amp;YEAR(NymexData!$S$12:$S$250)=MONTH(A174)&amp;YEAR(A174),NymexData!$T$12:$T$250))</f>
        <v>4.7605000000000004</v>
      </c>
      <c r="F174" s="327">
        <f t="shared" si="43"/>
        <v>-7.0000000000005613E-3</v>
      </c>
      <c r="G174" s="328">
        <f t="array" ref="G174">IF(NymexData!$AA$12="",GasPosn!E174,SUM(IF(MONTH(NymexData!$AA$12:$AA$250)&amp;YEAR(NymexData!$AA$12:$AA$250)=MONTH(A174)&amp;YEAR(A174),NymexData!$AB$12:$AB$250)))</f>
        <v>4.7534999999999998</v>
      </c>
      <c r="H174" s="99">
        <f t="shared" si="44"/>
        <v>2283.7123715001835</v>
      </c>
      <c r="I174" s="92">
        <f t="shared" si="45"/>
        <v>0</v>
      </c>
      <c r="J174" s="92">
        <f t="shared" si="46"/>
        <v>2283.7123715001835</v>
      </c>
      <c r="O174" s="47">
        <f t="shared" si="47"/>
        <v>42125</v>
      </c>
      <c r="BD174" s="48">
        <f t="shared" si="48"/>
        <v>0</v>
      </c>
      <c r="BE174" s="334">
        <f t="shared" si="49"/>
        <v>0</v>
      </c>
      <c r="BG174" s="51">
        <f t="shared" si="50"/>
        <v>42125</v>
      </c>
      <c r="BH174" s="335">
        <f t="shared" si="51"/>
        <v>0</v>
      </c>
      <c r="BI174" s="52">
        <f>VLOOKUP(GasPosn!A174,'Pricing Summary'!$AB$12:$AD$250,3)</f>
        <v>31</v>
      </c>
      <c r="BJ174" s="50">
        <f>VLOOKUP(A174,Interest!$AF$8:$AK$367,6)</f>
        <v>0.46763481710785015</v>
      </c>
      <c r="BL174">
        <f>J174*VLOOKUP(A174,NymexData!$J$12:$K$244,2)</f>
        <v>3777.2943682947398</v>
      </c>
      <c r="BO174">
        <f>Interest!AK170</f>
        <v>0.46763481710785015</v>
      </c>
      <c r="BP174">
        <f>G174*Interest!AK170</f>
        <v>2.2229021031221654</v>
      </c>
      <c r="BQ174">
        <f t="shared" si="52"/>
        <v>0</v>
      </c>
      <c r="BR174">
        <f t="shared" si="53"/>
        <v>0</v>
      </c>
      <c r="BS174">
        <f t="shared" si="54"/>
        <v>0</v>
      </c>
    </row>
    <row r="175" spans="1:71" ht="18" x14ac:dyDescent="0.25">
      <c r="A175" s="100">
        <f>[4]EnergyCurve!$D197</f>
        <v>42156</v>
      </c>
      <c r="B175" s="329">
        <f t="array" ref="B175">SUM(IF(MONTH(NymexData!$AI$12:$AI$250)&amp;YEAR(NymexData!$AI$12:$AI$250)=MONTH(A175)&amp;YEAR(A175),NymexData!$AJ$12:$AJ$250))</f>
        <v>-31.381780590000002</v>
      </c>
      <c r="C175" s="330">
        <f t="shared" si="41"/>
        <v>0</v>
      </c>
      <c r="D175" s="331">
        <f t="shared" si="42"/>
        <v>-31.381780590000002</v>
      </c>
      <c r="E175" s="332">
        <f t="array" ref="E175">SUM(IF(MONTH(NymexData!$S$12:$S$250)&amp;YEAR(NymexData!$S$12:$S$250)=MONTH(A175)&amp;YEAR(A175),NymexData!$T$12:$T$250))</f>
        <v>4.7985000000000007</v>
      </c>
      <c r="F175" s="332">
        <f t="shared" si="43"/>
        <v>-7.0000000000005613E-3</v>
      </c>
      <c r="G175" s="333">
        <f t="array" ref="G175">IF(NymexData!$AA$12="",GasPosn!E175,SUM(IF(MONTH(NymexData!$AA$12:$AA$250)&amp;YEAR(NymexData!$AA$12:$AA$250)=MONTH(A175)&amp;YEAR(A175),NymexData!$AB$12:$AB$250)))</f>
        <v>4.7915000000000001</v>
      </c>
      <c r="H175" s="85">
        <f t="shared" si="44"/>
        <v>2196.7246413001762</v>
      </c>
      <c r="I175" s="88">
        <f t="shared" si="45"/>
        <v>0</v>
      </c>
      <c r="J175" s="88">
        <f t="shared" si="46"/>
        <v>2196.7246413001762</v>
      </c>
      <c r="O175" s="47">
        <f t="shared" si="47"/>
        <v>42156</v>
      </c>
      <c r="BD175" s="48">
        <f t="shared" si="48"/>
        <v>0</v>
      </c>
      <c r="BE175" s="334">
        <f t="shared" si="49"/>
        <v>0</v>
      </c>
      <c r="BG175" s="51">
        <f t="shared" si="50"/>
        <v>42156</v>
      </c>
      <c r="BH175" s="335">
        <f t="shared" si="51"/>
        <v>0</v>
      </c>
      <c r="BI175" s="52">
        <f>VLOOKUP(GasPosn!A175,'Pricing Summary'!$AB$12:$AD$250,3)</f>
        <v>30</v>
      </c>
      <c r="BJ175" s="50">
        <f>VLOOKUP(A175,Interest!$AF$8:$AK$367,6)</f>
        <v>0.46513510567919769</v>
      </c>
      <c r="BL175">
        <f>J175*VLOOKUP(A175,NymexData!$J$12:$K$244,2)</f>
        <v>3635.7127351402837</v>
      </c>
      <c r="BO175">
        <f>Interest!AK171</f>
        <v>0.46513510567919769</v>
      </c>
      <c r="BP175">
        <f>G175*Interest!AK171</f>
        <v>2.2286948588618758</v>
      </c>
      <c r="BQ175">
        <f t="shared" si="52"/>
        <v>0</v>
      </c>
      <c r="BR175">
        <f t="shared" si="53"/>
        <v>0</v>
      </c>
      <c r="BS175">
        <f t="shared" si="54"/>
        <v>0</v>
      </c>
    </row>
    <row r="176" spans="1:71" ht="18" x14ac:dyDescent="0.25">
      <c r="A176" s="98">
        <f>[4]EnergyCurve!$D198</f>
        <v>42186</v>
      </c>
      <c r="B176" s="324">
        <f t="array" ref="B176">SUM(IF(MONTH(NymexData!$AI$12:$AI$250)&amp;YEAR(NymexData!$AI$12:$AI$250)=MONTH(A176)&amp;YEAR(A176),NymexData!$AJ$12:$AJ$250))</f>
        <v>-32.23830624</v>
      </c>
      <c r="C176" s="324">
        <f t="shared" si="41"/>
        <v>0</v>
      </c>
      <c r="D176" s="326">
        <f t="shared" si="42"/>
        <v>-32.23830624</v>
      </c>
      <c r="E176" s="327">
        <f t="array" ref="E176">SUM(IF(MONTH(NymexData!$S$12:$S$250)&amp;YEAR(NymexData!$S$12:$S$250)=MONTH(A176)&amp;YEAR(A176),NymexData!$T$12:$T$250))</f>
        <v>4.8435000000000006</v>
      </c>
      <c r="F176" s="327">
        <f t="shared" si="43"/>
        <v>-7.0000000000005613E-3</v>
      </c>
      <c r="G176" s="328">
        <f t="array" ref="G176">IF(NymexData!$AA$12="",GasPosn!E176,SUM(IF(MONTH(NymexData!$AA$12:$AA$250)&amp;YEAR(NymexData!$AA$12:$AA$250)=MONTH(A176)&amp;YEAR(A176),NymexData!$AB$12:$AB$250)))</f>
        <v>4.8365</v>
      </c>
      <c r="H176" s="99">
        <f t="shared" si="44"/>
        <v>2256.681436800181</v>
      </c>
      <c r="I176" s="92">
        <f t="shared" si="45"/>
        <v>0</v>
      </c>
      <c r="J176" s="92">
        <f t="shared" si="46"/>
        <v>2256.681436800181</v>
      </c>
      <c r="O176" s="47">
        <f t="shared" si="47"/>
        <v>42186</v>
      </c>
      <c r="BD176" s="48">
        <f t="shared" si="48"/>
        <v>0</v>
      </c>
      <c r="BE176" s="334">
        <f t="shared" si="49"/>
        <v>0</v>
      </c>
      <c r="BG176" s="51">
        <f t="shared" si="50"/>
        <v>42186</v>
      </c>
      <c r="BH176" s="335">
        <f t="shared" si="51"/>
        <v>0</v>
      </c>
      <c r="BI176" s="52">
        <f>VLOOKUP(GasPosn!A176,'Pricing Summary'!$AB$12:$AD$250,3)</f>
        <v>31</v>
      </c>
      <c r="BJ176" s="50">
        <f>VLOOKUP(A176,Interest!$AF$8:$AK$367,6)</f>
        <v>0.46258520315068224</v>
      </c>
      <c r="BL176">
        <f>J176*VLOOKUP(A176,NymexData!$J$12:$K$244,2)</f>
        <v>3737.2442283865407</v>
      </c>
      <c r="BO176">
        <f>Interest!AK172</f>
        <v>0.46258520315068224</v>
      </c>
      <c r="BP176">
        <f>G176*Interest!AK172</f>
        <v>2.2372933350382747</v>
      </c>
      <c r="BQ176">
        <f t="shared" si="52"/>
        <v>0</v>
      </c>
      <c r="BR176">
        <f t="shared" si="53"/>
        <v>0</v>
      </c>
      <c r="BS176">
        <f t="shared" si="54"/>
        <v>0</v>
      </c>
    </row>
    <row r="177" spans="1:72" ht="18" x14ac:dyDescent="0.25">
      <c r="A177" s="100">
        <f>[4]EnergyCurve!$D199</f>
        <v>42217</v>
      </c>
      <c r="B177" s="329">
        <f t="array" ref="B177">SUM(IF(MONTH(NymexData!$AI$12:$AI$250)&amp;YEAR(NymexData!$AI$12:$AI$250)=MONTH(A177)&amp;YEAR(A177),NymexData!$AJ$12:$AJ$250))</f>
        <v>-32.04322586</v>
      </c>
      <c r="C177" s="330">
        <f t="shared" si="41"/>
        <v>0</v>
      </c>
      <c r="D177" s="331">
        <f t="shared" si="42"/>
        <v>-32.04322586</v>
      </c>
      <c r="E177" s="332">
        <f t="array" ref="E177">SUM(IF(MONTH(NymexData!$S$12:$S$250)&amp;YEAR(NymexData!$S$12:$S$250)=MONTH(A177)&amp;YEAR(A177),NymexData!$T$12:$T$250))</f>
        <v>4.8815</v>
      </c>
      <c r="F177" s="332">
        <f t="shared" si="43"/>
        <v>-6.9999999999996732E-3</v>
      </c>
      <c r="G177" s="333">
        <f t="array" ref="G177">IF(NymexData!$AA$12="",GasPosn!E177,SUM(IF(MONTH(NymexData!$AA$12:$AA$250)&amp;YEAR(NymexData!$AA$12:$AA$250)=MONTH(A177)&amp;YEAR(A177),NymexData!$AB$12:$AB$250)))</f>
        <v>4.8745000000000003</v>
      </c>
      <c r="H177" s="85">
        <f t="shared" si="44"/>
        <v>2243.0258101998952</v>
      </c>
      <c r="I177" s="88">
        <f t="shared" si="45"/>
        <v>0</v>
      </c>
      <c r="J177" s="88">
        <f t="shared" si="46"/>
        <v>2243.0258101998952</v>
      </c>
      <c r="O177" s="47">
        <f t="shared" si="47"/>
        <v>42217</v>
      </c>
      <c r="BD177" s="48">
        <f t="shared" si="48"/>
        <v>0</v>
      </c>
      <c r="BE177" s="334">
        <f t="shared" si="49"/>
        <v>0</v>
      </c>
      <c r="BG177" s="51">
        <f t="shared" si="50"/>
        <v>42217</v>
      </c>
      <c r="BH177" s="335">
        <f t="shared" si="51"/>
        <v>0</v>
      </c>
      <c r="BI177" s="52">
        <f>VLOOKUP(GasPosn!A177,'Pricing Summary'!$AB$12:$AD$250,3)</f>
        <v>31</v>
      </c>
      <c r="BJ177" s="50">
        <f>VLOOKUP(A177,Interest!$AF$8:$AK$367,6)</f>
        <v>0.46003341460601005</v>
      </c>
      <c r="BL177">
        <f>J177*VLOOKUP(A177,NymexData!$J$12:$K$244,2)</f>
        <v>3717.0068987501404</v>
      </c>
      <c r="BO177">
        <f>Interest!AK173</f>
        <v>0.46003341460601005</v>
      </c>
      <c r="BP177">
        <f>G177*Interest!AK173</f>
        <v>2.2424328794969961</v>
      </c>
      <c r="BQ177">
        <f t="shared" si="52"/>
        <v>0</v>
      </c>
      <c r="BR177">
        <f t="shared" si="53"/>
        <v>0</v>
      </c>
      <c r="BS177">
        <f t="shared" si="54"/>
        <v>0</v>
      </c>
    </row>
    <row r="178" spans="1:72" ht="18" x14ac:dyDescent="0.25">
      <c r="A178" s="98">
        <f>[4]EnergyCurve!$D200</f>
        <v>42248</v>
      </c>
      <c r="B178" s="324">
        <f t="array" ref="B178">SUM(IF(MONTH(NymexData!$AI$12:$AI$250)&amp;YEAR(NymexData!$AI$12:$AI$250)=MONTH(A178)&amp;YEAR(A178),NymexData!$AJ$12:$AJ$250))</f>
        <v>-30.82154457</v>
      </c>
      <c r="C178" s="324">
        <f t="shared" si="41"/>
        <v>0</v>
      </c>
      <c r="D178" s="326">
        <f t="shared" si="42"/>
        <v>-30.82154457</v>
      </c>
      <c r="E178" s="327">
        <f t="array" ref="E178">SUM(IF(MONTH(NymexData!$S$12:$S$250)&amp;YEAR(NymexData!$S$12:$S$250)=MONTH(A178)&amp;YEAR(A178),NymexData!$T$12:$T$250))</f>
        <v>4.8755000000000006</v>
      </c>
      <c r="F178" s="327">
        <f t="shared" si="43"/>
        <v>-7.0000000000005613E-3</v>
      </c>
      <c r="G178" s="328">
        <f t="array" ref="G178">IF(NymexData!$AA$12="",GasPosn!E178,SUM(IF(MONTH(NymexData!$AA$12:$AA$250)&amp;YEAR(NymexData!$AA$12:$AA$250)=MONTH(A178)&amp;YEAR(A178),NymexData!$AB$12:$AB$250)))</f>
        <v>4.8685</v>
      </c>
      <c r="H178" s="99">
        <f t="shared" si="44"/>
        <v>2157.5081199001729</v>
      </c>
      <c r="I178" s="92">
        <f t="shared" si="45"/>
        <v>0</v>
      </c>
      <c r="J178" s="92">
        <f t="shared" si="46"/>
        <v>2157.5081199001729</v>
      </c>
      <c r="O178" s="47">
        <f t="shared" si="47"/>
        <v>42248</v>
      </c>
      <c r="BD178" s="48">
        <f t="shared" si="48"/>
        <v>0</v>
      </c>
      <c r="BE178" s="334">
        <f t="shared" si="49"/>
        <v>0</v>
      </c>
      <c r="BG178" s="51">
        <f t="shared" si="50"/>
        <v>42248</v>
      </c>
      <c r="BH178" s="335">
        <f t="shared" si="51"/>
        <v>0</v>
      </c>
      <c r="BI178" s="52">
        <f>VLOOKUP(GasPosn!A178,'Pricing Summary'!$AB$12:$AD$250,3)</f>
        <v>30</v>
      </c>
      <c r="BJ178" s="50">
        <f>VLOOKUP(A178,Interest!$AF$8:$AK$367,6)</f>
        <v>0.45756156655872399</v>
      </c>
      <c r="BL178">
        <f>J178*VLOOKUP(A178,NymexData!$J$12:$K$244,2)</f>
        <v>3577.5945053911742</v>
      </c>
      <c r="BO178">
        <f>Interest!AK174</f>
        <v>0.45756156655872399</v>
      </c>
      <c r="BP178">
        <f>G178*Interest!AK174</f>
        <v>2.2276384867911476</v>
      </c>
      <c r="BQ178">
        <f t="shared" si="52"/>
        <v>0</v>
      </c>
      <c r="BR178">
        <f t="shared" si="53"/>
        <v>0</v>
      </c>
      <c r="BS178">
        <f t="shared" si="54"/>
        <v>0</v>
      </c>
    </row>
    <row r="179" spans="1:72" ht="18" x14ac:dyDescent="0.25">
      <c r="A179" s="100">
        <f>[4]EnergyCurve!$D201</f>
        <v>42278</v>
      </c>
      <c r="B179" s="329">
        <f t="array" ref="B179">SUM(IF(MONTH(NymexData!$AI$12:$AI$250)&amp;YEAR(NymexData!$AI$12:$AI$250)=MONTH(A179)&amp;YEAR(A179),NymexData!$AJ$12:$AJ$250))</f>
        <v>-31.66164698</v>
      </c>
      <c r="C179" s="330">
        <f t="shared" si="41"/>
        <v>0</v>
      </c>
      <c r="D179" s="331">
        <f t="shared" si="42"/>
        <v>-31.66164698</v>
      </c>
      <c r="E179" s="332">
        <f t="array" ref="E179">SUM(IF(MONTH(NymexData!$S$12:$S$250)&amp;YEAR(NymexData!$S$12:$S$250)=MONTH(A179)&amp;YEAR(A179),NymexData!$T$12:$T$250))</f>
        <v>4.8755000000000006</v>
      </c>
      <c r="F179" s="332">
        <f t="shared" si="43"/>
        <v>-7.0000000000005613E-3</v>
      </c>
      <c r="G179" s="333">
        <f t="array" ref="G179">IF(NymexData!$AA$12="",GasPosn!E179,SUM(IF(MONTH(NymexData!$AA$12:$AA$250)&amp;YEAR(NymexData!$AA$12:$AA$250)=MONTH(A179)&amp;YEAR(A179),NymexData!$AB$12:$AB$250)))</f>
        <v>4.8685</v>
      </c>
      <c r="H179" s="85">
        <f t="shared" si="44"/>
        <v>2216.3152886001781</v>
      </c>
      <c r="I179" s="88">
        <f t="shared" si="45"/>
        <v>0</v>
      </c>
      <c r="J179" s="88">
        <f t="shared" si="46"/>
        <v>2216.3152886001781</v>
      </c>
      <c r="O179" s="47">
        <f t="shared" si="47"/>
        <v>42278</v>
      </c>
      <c r="BD179" s="48">
        <f t="shared" si="48"/>
        <v>0</v>
      </c>
      <c r="BE179" s="334">
        <f t="shared" si="49"/>
        <v>0</v>
      </c>
      <c r="BG179" s="51">
        <f t="shared" si="50"/>
        <v>42278</v>
      </c>
      <c r="BH179" s="335">
        <f t="shared" si="51"/>
        <v>0</v>
      </c>
      <c r="BI179" s="52">
        <f>VLOOKUP(GasPosn!A179,'Pricing Summary'!$AB$12:$AD$250,3)</f>
        <v>31</v>
      </c>
      <c r="BJ179" s="50">
        <f>VLOOKUP(A179,Interest!$AF$8:$AK$367,6)</f>
        <v>0.45504048319790508</v>
      </c>
      <c r="BL179">
        <f>J179*VLOOKUP(A179,NymexData!$J$12:$K$244,2)</f>
        <v>3677.4129795527956</v>
      </c>
      <c r="BO179">
        <f>Interest!AK175</f>
        <v>0.45504048319790508</v>
      </c>
      <c r="BP179">
        <f>G179*Interest!AK175</f>
        <v>2.2153645924490011</v>
      </c>
      <c r="BQ179">
        <f t="shared" si="52"/>
        <v>0</v>
      </c>
      <c r="BR179">
        <f t="shared" si="53"/>
        <v>0</v>
      </c>
      <c r="BS179">
        <f t="shared" si="54"/>
        <v>0</v>
      </c>
    </row>
    <row r="180" spans="1:72" ht="18" x14ac:dyDescent="0.25">
      <c r="A180" s="98">
        <f>[4]EnergyCurve!$D202</f>
        <v>42309</v>
      </c>
      <c r="B180" s="324">
        <f t="array" ref="B180">SUM(IF(MONTH(NymexData!$AI$12:$AI$250)&amp;YEAR(NymexData!$AI$12:$AI$250)=MONTH(A180)&amp;YEAR(A180),NymexData!$AJ$12:$AJ$250))</f>
        <v>-30.45376766</v>
      </c>
      <c r="C180" s="324">
        <f t="shared" si="41"/>
        <v>0</v>
      </c>
      <c r="D180" s="326">
        <f t="shared" si="42"/>
        <v>-30.45376766</v>
      </c>
      <c r="E180" s="327">
        <f t="array" ref="E180">SUM(IF(MONTH(NymexData!$S$12:$S$250)&amp;YEAR(NymexData!$S$12:$S$250)=MONTH(A180)&amp;YEAR(A180),NymexData!$T$12:$T$250))</f>
        <v>5.0235000000000003</v>
      </c>
      <c r="F180" s="327">
        <f t="shared" si="43"/>
        <v>-6.0000000000002274E-3</v>
      </c>
      <c r="G180" s="328">
        <f t="array" ref="G180">IF(NymexData!$AA$12="",GasPosn!E180,SUM(IF(MONTH(NymexData!$AA$12:$AA$250)&amp;YEAR(NymexData!$AA$12:$AA$250)=MONTH(A180)&amp;YEAR(A180),NymexData!$AB$12:$AB$250)))</f>
        <v>5.0175000000000001</v>
      </c>
      <c r="H180" s="99">
        <f t="shared" si="44"/>
        <v>1827.2260596000692</v>
      </c>
      <c r="I180" s="92">
        <f t="shared" si="45"/>
        <v>0</v>
      </c>
      <c r="J180" s="92">
        <f t="shared" si="46"/>
        <v>1827.2260596000692</v>
      </c>
      <c r="O180" s="47">
        <f t="shared" si="47"/>
        <v>42309</v>
      </c>
      <c r="BD180" s="48">
        <f t="shared" si="48"/>
        <v>0</v>
      </c>
      <c r="BE180" s="334">
        <f t="shared" si="49"/>
        <v>0</v>
      </c>
      <c r="BG180" s="51">
        <f t="shared" si="50"/>
        <v>42309</v>
      </c>
      <c r="BH180" s="335">
        <f t="shared" si="51"/>
        <v>0</v>
      </c>
      <c r="BI180" s="52">
        <f>VLOOKUP(GasPosn!A180,'Pricing Summary'!$AB$12:$AD$250,3)</f>
        <v>30</v>
      </c>
      <c r="BJ180" s="50">
        <f>VLOOKUP(A180,Interest!$AF$8:$AK$367,6)</f>
        <v>0.45258708941584386</v>
      </c>
      <c r="BL180">
        <f>J180*VLOOKUP(A180,NymexData!$J$12:$K$244,2)</f>
        <v>3033.7939510264459</v>
      </c>
      <c r="BO180">
        <f>Interest!AK176</f>
        <v>0.45258708941584386</v>
      </c>
      <c r="BP180">
        <f>G180*Interest!AK176</f>
        <v>2.2708557211439966</v>
      </c>
      <c r="BQ180">
        <f t="shared" si="52"/>
        <v>0</v>
      </c>
      <c r="BR180">
        <f t="shared" si="53"/>
        <v>0</v>
      </c>
      <c r="BS180">
        <f t="shared" si="54"/>
        <v>0</v>
      </c>
    </row>
    <row r="181" spans="1:72" ht="18" x14ac:dyDescent="0.25">
      <c r="A181" s="100">
        <f>[4]EnergyCurve!$D203</f>
        <v>42339</v>
      </c>
      <c r="B181" s="329">
        <f t="array" ref="B181">SUM(IF(MONTH(NymexData!$AI$12:$AI$250)&amp;YEAR(NymexData!$AI$12:$AI$250)=MONTH(A181)&amp;YEAR(A181),NymexData!$AJ$12:$AJ$250))</f>
        <v>-31.283103959999998</v>
      </c>
      <c r="C181" s="330">
        <f t="shared" si="41"/>
        <v>0</v>
      </c>
      <c r="D181" s="331">
        <f t="shared" si="42"/>
        <v>-31.283103959999998</v>
      </c>
      <c r="E181" s="332">
        <f t="array" ref="E181">SUM(IF(MONTH(NymexData!$S$12:$S$250)&amp;YEAR(NymexData!$S$12:$S$250)=MONTH(A181)&amp;YEAR(A181),NymexData!$T$12:$T$250))</f>
        <v>5.1755000000000004</v>
      </c>
      <c r="F181" s="332">
        <f t="shared" si="43"/>
        <v>-6.0000000000002274E-3</v>
      </c>
      <c r="G181" s="333">
        <f t="array" ref="G181">IF(NymexData!$AA$12="",GasPosn!E181,SUM(IF(MONTH(NymexData!$AA$12:$AA$250)&amp;YEAR(NymexData!$AA$12:$AA$250)=MONTH(A181)&amp;YEAR(A181),NymexData!$AB$12:$AB$250)))</f>
        <v>5.1695000000000002</v>
      </c>
      <c r="H181" s="85">
        <f t="shared" si="44"/>
        <v>1876.9862376000708</v>
      </c>
      <c r="I181" s="88">
        <f t="shared" si="45"/>
        <v>0</v>
      </c>
      <c r="J181" s="88">
        <f t="shared" si="46"/>
        <v>1876.9862376000708</v>
      </c>
      <c r="O181" s="47">
        <f t="shared" si="47"/>
        <v>42339</v>
      </c>
      <c r="BD181" s="48">
        <f t="shared" si="48"/>
        <v>0</v>
      </c>
      <c r="BE181" s="334">
        <f t="shared" si="49"/>
        <v>0</v>
      </c>
      <c r="BG181" s="51">
        <f t="shared" si="50"/>
        <v>42339</v>
      </c>
      <c r="BH181" s="335">
        <f t="shared" si="51"/>
        <v>0</v>
      </c>
      <c r="BI181" s="52">
        <f>VLOOKUP(GasPosn!A181,'Pricing Summary'!$AB$12:$AD$250,3)</f>
        <v>31</v>
      </c>
      <c r="BJ181" s="50">
        <f>VLOOKUP(A181,Interest!$AF$8:$AK$367,6)</f>
        <v>0.45008508682932102</v>
      </c>
      <c r="BL181">
        <f>J181*VLOOKUP(A181,NymexData!$J$12:$K$244,2)</f>
        <v>3118.3892533172384</v>
      </c>
      <c r="BO181">
        <f>Interest!AK177</f>
        <v>0.45008508682932102</v>
      </c>
      <c r="BP181">
        <f>G181*Interest!AK177</f>
        <v>2.3267148563641751</v>
      </c>
      <c r="BQ181">
        <f t="shared" si="52"/>
        <v>0</v>
      </c>
      <c r="BR181">
        <f t="shared" si="53"/>
        <v>0</v>
      </c>
      <c r="BS181">
        <f t="shared" si="54"/>
        <v>0</v>
      </c>
    </row>
    <row r="182" spans="1:72" ht="18" x14ac:dyDescent="0.25">
      <c r="A182" s="98">
        <f>[4]EnergyCurve!$D204</f>
        <v>42370</v>
      </c>
      <c r="B182" s="324">
        <f t="array" ref="B182">SUM(IF(MONTH(NymexData!$AI$12:$AI$250)&amp;YEAR(NymexData!$AI$12:$AI$250)=MONTH(A182)&amp;YEAR(A182),NymexData!$AJ$12:$AJ$250))</f>
        <v>0</v>
      </c>
      <c r="C182" s="324">
        <f t="shared" si="41"/>
        <v>0</v>
      </c>
      <c r="D182" s="326">
        <f t="shared" si="42"/>
        <v>0</v>
      </c>
      <c r="E182" s="327">
        <f t="array" ref="E182">SUM(IF(MONTH(NymexData!$S$12:$S$250)&amp;YEAR(NymexData!$S$12:$S$250)=MONTH(A182)&amp;YEAR(A182),NymexData!$T$12:$T$250))</f>
        <v>5.2480000000000002</v>
      </c>
      <c r="F182" s="327">
        <f t="shared" si="43"/>
        <v>-1.000000000000334E-3</v>
      </c>
      <c r="G182" s="328">
        <f t="array" ref="G182">IF(NymexData!$AA$12="",GasPosn!E182,SUM(IF(MONTH(NymexData!$AA$12:$AA$250)&amp;YEAR(NymexData!$AA$12:$AA$250)=MONTH(A182)&amp;YEAR(A182),NymexData!$AB$12:$AB$250)))</f>
        <v>5.2469999999999999</v>
      </c>
      <c r="H182" s="99">
        <f t="shared" si="44"/>
        <v>0</v>
      </c>
      <c r="I182" s="92">
        <f t="shared" si="45"/>
        <v>0</v>
      </c>
      <c r="J182" s="92">
        <f t="shared" si="46"/>
        <v>0</v>
      </c>
      <c r="O182" s="47">
        <f t="shared" si="47"/>
        <v>42370</v>
      </c>
      <c r="BD182" s="48">
        <f t="shared" si="48"/>
        <v>0</v>
      </c>
      <c r="BE182" s="334">
        <f t="shared" si="49"/>
        <v>0</v>
      </c>
      <c r="BG182" s="51">
        <f t="shared" si="50"/>
        <v>42370</v>
      </c>
      <c r="BH182" s="335">
        <f t="shared" si="51"/>
        <v>0</v>
      </c>
      <c r="BI182" s="52">
        <f>VLOOKUP(GasPosn!A182,'Pricing Summary'!$AB$12:$AD$250,3)</f>
        <v>31</v>
      </c>
      <c r="BJ182" s="50">
        <f>VLOOKUP(A182,Interest!$AF$8:$AK$367,6)</f>
        <v>0.44758114168843754</v>
      </c>
      <c r="BL182">
        <f>J182*VLOOKUP(A182,NymexData!$J$12:$K$244,2)</f>
        <v>0</v>
      </c>
      <c r="BO182">
        <f>Interest!AK178</f>
        <v>0.44758114168843754</v>
      </c>
      <c r="BP182">
        <f>G182*Interest!AK178</f>
        <v>2.348458250439232</v>
      </c>
      <c r="BQ182">
        <f t="shared" si="52"/>
        <v>0</v>
      </c>
      <c r="BR182">
        <f t="shared" si="53"/>
        <v>0</v>
      </c>
      <c r="BS182">
        <f t="shared" si="54"/>
        <v>0</v>
      </c>
    </row>
    <row r="183" spans="1:72" ht="18" x14ac:dyDescent="0.25">
      <c r="A183" s="100">
        <f>[4]EnergyCurve!$D205</f>
        <v>42401</v>
      </c>
      <c r="B183" s="329">
        <f t="array" ref="B183">SUM(IF(MONTH(NymexData!$AI$12:$AI$250)&amp;YEAR(NymexData!$AI$12:$AI$250)=MONTH(A183)&amp;YEAR(A183),NymexData!$AJ$12:$AJ$250))</f>
        <v>0</v>
      </c>
      <c r="C183" s="330">
        <f t="shared" si="41"/>
        <v>0</v>
      </c>
      <c r="D183" s="331">
        <f t="shared" si="42"/>
        <v>0</v>
      </c>
      <c r="E183" s="332">
        <f t="array" ref="E183">SUM(IF(MONTH(NymexData!$S$12:$S$250)&amp;YEAR(NymexData!$S$12:$S$250)=MONTH(A183)&amp;YEAR(A183),NymexData!$T$12:$T$250))</f>
        <v>5.1610000000000005</v>
      </c>
      <c r="F183" s="332">
        <f t="shared" si="43"/>
        <v>-2.0000000000006679E-3</v>
      </c>
      <c r="G183" s="333">
        <f t="array" ref="G183">IF(NymexData!$AA$12="",GasPosn!E183,SUM(IF(MONTH(NymexData!$AA$12:$AA$250)&amp;YEAR(NymexData!$AA$12:$AA$250)=MONTH(A183)&amp;YEAR(A183),NymexData!$AB$12:$AB$250)))</f>
        <v>5.1589999999999998</v>
      </c>
      <c r="H183" s="85">
        <f t="shared" si="44"/>
        <v>0</v>
      </c>
      <c r="I183" s="88">
        <f t="shared" si="45"/>
        <v>0</v>
      </c>
      <c r="J183" s="88">
        <f t="shared" si="46"/>
        <v>0</v>
      </c>
      <c r="O183" s="47">
        <f t="shared" si="47"/>
        <v>42401</v>
      </c>
      <c r="BD183" s="48">
        <f t="shared" si="48"/>
        <v>0</v>
      </c>
      <c r="BE183" s="334">
        <f t="shared" si="49"/>
        <v>0</v>
      </c>
      <c r="BG183" s="51">
        <f t="shared" si="50"/>
        <v>42401</v>
      </c>
      <c r="BH183" s="335">
        <f t="shared" si="51"/>
        <v>0</v>
      </c>
      <c r="BI183" s="52">
        <f>VLOOKUP(GasPosn!A183,'Pricing Summary'!$AB$12:$AD$250,3)</f>
        <v>29</v>
      </c>
      <c r="BJ183" s="50">
        <f>VLOOKUP(A183,Interest!$AF$8:$AK$367,6)</f>
        <v>0.44522422714068738</v>
      </c>
      <c r="BL183">
        <f>J183*VLOOKUP(A183,NymexData!$J$12:$K$244,2)</f>
        <v>0</v>
      </c>
      <c r="BO183">
        <f>Interest!AK179</f>
        <v>0.44522422714068738</v>
      </c>
      <c r="BP183">
        <f>G183*Interest!AK179</f>
        <v>2.2969117878188059</v>
      </c>
      <c r="BQ183">
        <f t="shared" si="52"/>
        <v>0</v>
      </c>
      <c r="BR183">
        <f t="shared" si="53"/>
        <v>0</v>
      </c>
      <c r="BS183">
        <f t="shared" si="54"/>
        <v>0</v>
      </c>
    </row>
    <row r="184" spans="1:72" ht="18" x14ac:dyDescent="0.25">
      <c r="A184" s="98">
        <f>[4]EnergyCurve!$D206</f>
        <v>42430</v>
      </c>
      <c r="B184" s="324">
        <f t="array" ref="B184">SUM(IF(MONTH(NymexData!$AI$12:$AI$250)&amp;YEAR(NymexData!$AI$12:$AI$250)=MONTH(A184)&amp;YEAR(A184),NymexData!$AJ$12:$AJ$250))</f>
        <v>0</v>
      </c>
      <c r="C184" s="324">
        <f t="shared" si="41"/>
        <v>0</v>
      </c>
      <c r="D184" s="326">
        <f t="shared" si="42"/>
        <v>0</v>
      </c>
      <c r="E184" s="327">
        <f t="array" ref="E184">SUM(IF(MONTH(NymexData!$S$12:$S$250)&amp;YEAR(NymexData!$S$12:$S$250)=MONTH(A184)&amp;YEAR(A184),NymexData!$T$12:$T$250))</f>
        <v>5.0220000000000002</v>
      </c>
      <c r="F184" s="327">
        <f t="shared" si="43"/>
        <v>-2.0000000000006679E-3</v>
      </c>
      <c r="G184" s="328">
        <f t="array" ref="G184">IF(NymexData!$AA$12="",GasPosn!E184,SUM(IF(MONTH(NymexData!$AA$12:$AA$250)&amp;YEAR(NymexData!$AA$12:$AA$250)=MONTH(A184)&amp;YEAR(A184),NymexData!$AB$12:$AB$250)))</f>
        <v>5.0199999999999996</v>
      </c>
      <c r="H184" s="99">
        <f t="shared" si="44"/>
        <v>0</v>
      </c>
      <c r="I184" s="92">
        <f t="shared" si="45"/>
        <v>0</v>
      </c>
      <c r="J184" s="92">
        <f t="shared" si="46"/>
        <v>0</v>
      </c>
      <c r="O184" s="47">
        <f t="shared" si="47"/>
        <v>42430</v>
      </c>
      <c r="BD184" s="48">
        <f t="shared" si="48"/>
        <v>0</v>
      </c>
      <c r="BE184" s="334">
        <f t="shared" si="49"/>
        <v>0</v>
      </c>
      <c r="BG184" s="51">
        <f t="shared" si="50"/>
        <v>42430</v>
      </c>
      <c r="BH184" s="335">
        <f t="shared" si="51"/>
        <v>0</v>
      </c>
      <c r="BI184" s="52">
        <f>VLOOKUP(GasPosn!A184,'Pricing Summary'!$AB$12:$AD$250,3)</f>
        <v>31</v>
      </c>
      <c r="BJ184" s="50">
        <f>VLOOKUP(A184,Interest!$AF$8:$AK$367,6)</f>
        <v>0.44276228115182087</v>
      </c>
      <c r="BL184">
        <f>J184*VLOOKUP(A184,NymexData!$J$12:$K$244,2)</f>
        <v>0</v>
      </c>
      <c r="BO184">
        <f>Interest!AK180</f>
        <v>0.44276228115182087</v>
      </c>
      <c r="BP184">
        <f>G184*Interest!AK180</f>
        <v>2.2226666513821405</v>
      </c>
      <c r="BQ184">
        <f t="shared" si="52"/>
        <v>0</v>
      </c>
      <c r="BR184">
        <f t="shared" si="53"/>
        <v>0</v>
      </c>
      <c r="BS184">
        <f t="shared" si="54"/>
        <v>0</v>
      </c>
    </row>
    <row r="185" spans="1:72" ht="19.5" customHeight="1" x14ac:dyDescent="0.25">
      <c r="A185" s="100">
        <f>[4]EnergyCurve!$D207</f>
        <v>42461</v>
      </c>
      <c r="B185" s="329">
        <f t="array" ref="B185">SUM(IF(MONTH(NymexData!$AI$12:$AI$250)&amp;YEAR(NymexData!$AI$12:$AI$250)=MONTH(A185)&amp;YEAR(A185),NymexData!$AJ$12:$AJ$250))</f>
        <v>0</v>
      </c>
      <c r="C185" s="330">
        <f t="shared" si="41"/>
        <v>0</v>
      </c>
      <c r="D185" s="331">
        <f t="shared" si="42"/>
        <v>0</v>
      </c>
      <c r="E185" s="332">
        <f t="array" ref="E185">SUM(IF(MONTH(NymexData!$S$12:$S$250)&amp;YEAR(NymexData!$S$12:$S$250)=MONTH(A185)&amp;YEAR(A185),NymexData!$T$12:$T$250))</f>
        <v>4.8680000000000003</v>
      </c>
      <c r="F185" s="332">
        <f t="shared" si="43"/>
        <v>-1.9999999999997797E-3</v>
      </c>
      <c r="G185" s="333">
        <f t="array" ref="G185">IF(NymexData!$AA$12="",GasPosn!E185,SUM(IF(MONTH(NymexData!$AA$12:$AA$250)&amp;YEAR(NymexData!$AA$12:$AA$250)=MONTH(A185)&amp;YEAR(A185),NymexData!$AB$12:$AB$250)))</f>
        <v>4.8660000000000005</v>
      </c>
      <c r="H185" s="85">
        <f t="shared" si="44"/>
        <v>0</v>
      </c>
      <c r="I185" s="88">
        <f t="shared" si="45"/>
        <v>0</v>
      </c>
      <c r="J185" s="88">
        <f t="shared" si="46"/>
        <v>0</v>
      </c>
      <c r="O185" s="47">
        <f t="shared" si="47"/>
        <v>42461</v>
      </c>
      <c r="BD185" s="48">
        <f t="shared" si="48"/>
        <v>0</v>
      </c>
      <c r="BE185" s="334">
        <f t="shared" si="49"/>
        <v>0</v>
      </c>
      <c r="BG185" s="51">
        <f t="shared" si="50"/>
        <v>42461</v>
      </c>
      <c r="BH185" s="335">
        <f t="shared" si="51"/>
        <v>0</v>
      </c>
      <c r="BI185" s="52">
        <f>VLOOKUP(GasPosn!A185,'Pricing Summary'!$AB$12:$AD$250,3)</f>
        <v>30</v>
      </c>
      <c r="BJ185" s="50">
        <f>VLOOKUP(A185,Interest!$AF$8:$AK$367,6)</f>
        <v>0.44035478743404366</v>
      </c>
      <c r="BL185">
        <f>J185*VLOOKUP(A185,NymexData!$J$12:$K$244,2)</f>
        <v>0</v>
      </c>
      <c r="BO185">
        <f>Interest!AK181</f>
        <v>0.44035478743404366</v>
      </c>
      <c r="BP185">
        <f>G185*Interest!AK181</f>
        <v>2.1427663956540566</v>
      </c>
      <c r="BQ185">
        <f t="shared" si="52"/>
        <v>0</v>
      </c>
      <c r="BR185">
        <f t="shared" si="53"/>
        <v>0</v>
      </c>
      <c r="BS185">
        <f t="shared" si="54"/>
        <v>0</v>
      </c>
    </row>
    <row r="186" spans="1:72" ht="18" x14ac:dyDescent="0.25">
      <c r="A186" s="98">
        <f>[4]EnergyCurve!$D208</f>
        <v>42491</v>
      </c>
      <c r="B186" s="324">
        <f t="array" ref="B186">SUM(IF(MONTH(NymexData!$AI$12:$AI$250)&amp;YEAR(NymexData!$AI$12:$AI$250)=MONTH(A186)&amp;YEAR(A186),NymexData!$AJ$12:$AJ$250))</f>
        <v>0</v>
      </c>
      <c r="C186" s="324">
        <f t="shared" si="41"/>
        <v>0</v>
      </c>
      <c r="D186" s="326">
        <f t="shared" si="42"/>
        <v>0</v>
      </c>
      <c r="E186" s="327">
        <f t="array" ref="E186">SUM(IF(MONTH(NymexData!$S$12:$S$250)&amp;YEAR(NymexData!$S$12:$S$250)=MONTH(A186)&amp;YEAR(A186),NymexData!$T$12:$T$250))</f>
        <v>4.8730000000000002</v>
      </c>
      <c r="F186" s="327">
        <f t="shared" si="43"/>
        <v>-1.9999999999997797E-3</v>
      </c>
      <c r="G186" s="328">
        <f t="array" ref="G186">IF(NymexData!$AA$12="",GasPosn!E186,SUM(IF(MONTH(NymexData!$AA$12:$AA$250)&amp;YEAR(NymexData!$AA$12:$AA$250)=MONTH(A186)&amp;YEAR(A186),NymexData!$AB$12:$AB$250)))</f>
        <v>4.8710000000000004</v>
      </c>
      <c r="H186" s="99">
        <f t="shared" si="44"/>
        <v>0</v>
      </c>
      <c r="I186" s="92">
        <f t="shared" si="45"/>
        <v>0</v>
      </c>
      <c r="J186" s="92">
        <f t="shared" si="46"/>
        <v>0</v>
      </c>
      <c r="O186" s="47">
        <f t="shared" si="47"/>
        <v>42491</v>
      </c>
      <c r="BD186" s="48">
        <f t="shared" si="48"/>
        <v>0</v>
      </c>
      <c r="BE186" s="334">
        <f t="shared" si="49"/>
        <v>0</v>
      </c>
      <c r="BG186" s="51">
        <f t="shared" si="50"/>
        <v>42491</v>
      </c>
      <c r="BH186" s="335">
        <f t="shared" si="51"/>
        <v>0</v>
      </c>
      <c r="BI186" s="52">
        <f>VLOOKUP(GasPosn!A186,'Pricing Summary'!$AB$12:$AD$250,3)</f>
        <v>31</v>
      </c>
      <c r="BJ186" s="50">
        <f>VLOOKUP(A186,Interest!$AF$8:$AK$367,6)</f>
        <v>0.43790022113355137</v>
      </c>
      <c r="BL186">
        <f>J186*VLOOKUP(A186,NymexData!$J$12:$K$244,2)</f>
        <v>0</v>
      </c>
      <c r="BO186">
        <f>Interest!AK182</f>
        <v>0.43790022113355137</v>
      </c>
      <c r="BP186">
        <f>G186*Interest!AK182</f>
        <v>2.1330119771415288</v>
      </c>
      <c r="BQ186">
        <f t="shared" si="52"/>
        <v>0</v>
      </c>
      <c r="BR186">
        <f t="shared" si="53"/>
        <v>0</v>
      </c>
      <c r="BS186">
        <f t="shared" si="54"/>
        <v>0</v>
      </c>
    </row>
    <row r="187" spans="1:72" ht="18" x14ac:dyDescent="0.25">
      <c r="A187" s="100">
        <f>[4]EnergyCurve!$D209</f>
        <v>42522</v>
      </c>
      <c r="B187" s="329">
        <f t="array" ref="B187">SUM(IF(MONTH(NymexData!$AI$12:$AI$250)&amp;YEAR(NymexData!$AI$12:$AI$250)=MONTH(A187)&amp;YEAR(A187),NymexData!$AJ$12:$AJ$250))</f>
        <v>0</v>
      </c>
      <c r="C187" s="330">
        <f t="shared" si="41"/>
        <v>0</v>
      </c>
      <c r="D187" s="331">
        <f t="shared" si="42"/>
        <v>0</v>
      </c>
      <c r="E187" s="332">
        <f t="array" ref="E187">SUM(IF(MONTH(NymexData!$S$12:$S$250)&amp;YEAR(NymexData!$S$12:$S$250)=MONTH(A187)&amp;YEAR(A187),NymexData!$T$12:$T$250))</f>
        <v>4.9110000000000005</v>
      </c>
      <c r="F187" s="332">
        <f t="shared" si="43"/>
        <v>-2.0000000000006679E-3</v>
      </c>
      <c r="G187" s="333">
        <f t="array" ref="G187">IF(NymexData!$AA$12="",GasPosn!E187,SUM(IF(MONTH(NymexData!$AA$12:$AA$250)&amp;YEAR(NymexData!$AA$12:$AA$250)=MONTH(A187)&amp;YEAR(A187),NymexData!$AB$12:$AB$250)))</f>
        <v>4.9089999999999998</v>
      </c>
      <c r="H187" s="85">
        <f t="shared" si="44"/>
        <v>0</v>
      </c>
      <c r="I187" s="88">
        <f t="shared" si="45"/>
        <v>0</v>
      </c>
      <c r="J187" s="88">
        <f t="shared" si="46"/>
        <v>0</v>
      </c>
      <c r="O187" s="47">
        <f t="shared" si="47"/>
        <v>42522</v>
      </c>
      <c r="BD187" s="48">
        <f t="shared" si="48"/>
        <v>0</v>
      </c>
      <c r="BE187" s="334">
        <f t="shared" si="49"/>
        <v>0</v>
      </c>
      <c r="BG187" s="51">
        <f t="shared" si="50"/>
        <v>42522</v>
      </c>
      <c r="BH187" s="335">
        <f t="shared" si="51"/>
        <v>0</v>
      </c>
      <c r="BI187" s="52">
        <f>VLOOKUP(GasPosn!A187,'Pricing Summary'!$AB$12:$AD$250,3)</f>
        <v>30</v>
      </c>
      <c r="BJ187" s="50">
        <f>VLOOKUP(A187,Interest!$AF$8:$AK$367,6)</f>
        <v>0.43551110915365254</v>
      </c>
      <c r="BL187">
        <f>J187*VLOOKUP(A187,NymexData!$J$12:$K$244,2)</f>
        <v>0</v>
      </c>
      <c r="BO187">
        <f>Interest!AK183</f>
        <v>0.43551110915365254</v>
      </c>
      <c r="BP187">
        <f>G187*Interest!AK183</f>
        <v>2.1379240348352804</v>
      </c>
      <c r="BQ187">
        <f t="shared" si="52"/>
        <v>0</v>
      </c>
      <c r="BR187">
        <f t="shared" si="53"/>
        <v>0</v>
      </c>
      <c r="BS187">
        <f t="shared" si="54"/>
        <v>0</v>
      </c>
    </row>
    <row r="188" spans="1:72" ht="18.75" thickBot="1" x14ac:dyDescent="0.3">
      <c r="A188" s="256">
        <f>[4]EnergyCurve!$D210</f>
        <v>42552</v>
      </c>
      <c r="B188" s="341">
        <f t="array" ref="B188">SUM(IF(MONTH(NymexData!$AI$12:$AI$250)&amp;YEAR(NymexData!$AI$12:$AI$250)=MONTH(A188)&amp;YEAR(A188),NymexData!$AJ$12:$AJ$250))</f>
        <v>0</v>
      </c>
      <c r="C188" s="341">
        <f t="shared" si="41"/>
        <v>0</v>
      </c>
      <c r="D188" s="342">
        <f t="shared" si="42"/>
        <v>0</v>
      </c>
      <c r="E188" s="343">
        <f t="array" ref="E188">SUM(IF(MONTH(NymexData!$S$12:$S$250)&amp;YEAR(NymexData!$S$12:$S$250)=MONTH(A188)&amp;YEAR(A188),NymexData!$T$12:$T$250))</f>
        <v>4.9560000000000004</v>
      </c>
      <c r="F188" s="343">
        <f t="shared" si="43"/>
        <v>-1.9999999999997797E-3</v>
      </c>
      <c r="G188" s="344">
        <f t="array" ref="G188">IF(NymexData!$AA$12="",GasPosn!E188,SUM(IF(MONTH(NymexData!$AA$12:$AA$250)&amp;YEAR(NymexData!$AA$12:$AA$250)=MONTH(A188)&amp;YEAR(A188),NymexData!$AB$12:$AB$250)))</f>
        <v>4.9540000000000006</v>
      </c>
      <c r="H188" s="345">
        <f t="shared" si="44"/>
        <v>0</v>
      </c>
      <c r="I188" s="346">
        <f t="shared" si="45"/>
        <v>0</v>
      </c>
      <c r="J188" s="346">
        <f t="shared" si="46"/>
        <v>0</v>
      </c>
      <c r="O188" s="347">
        <f t="shared" si="47"/>
        <v>42552</v>
      </c>
      <c r="BD188" s="348">
        <f t="shared" si="48"/>
        <v>0</v>
      </c>
      <c r="BE188" s="349">
        <f t="shared" si="49"/>
        <v>0</v>
      </c>
      <c r="BG188" s="51">
        <f t="shared" si="50"/>
        <v>42552</v>
      </c>
      <c r="BH188" s="335">
        <f t="shared" si="51"/>
        <v>0</v>
      </c>
      <c r="BI188" s="52">
        <f>VLOOKUP(GasPosn!A188,'Pricing Summary'!$AB$12:$AD$250,3)</f>
        <v>31</v>
      </c>
      <c r="BJ188" s="50">
        <f>VLOOKUP(A188,Interest!$AF$8:$AK$367,6)</f>
        <v>0.43307553114959607</v>
      </c>
      <c r="BL188">
        <f>J188*VLOOKUP(A188,NymexData!$J$12:$K$244,2)</f>
        <v>0</v>
      </c>
      <c r="BO188">
        <f>Interest!AK184</f>
        <v>0.43307553114959607</v>
      </c>
      <c r="BP188">
        <f>G188*Interest!AK184</f>
        <v>2.1454561813150992</v>
      </c>
      <c r="BQ188">
        <f t="shared" si="52"/>
        <v>0</v>
      </c>
      <c r="BR188">
        <f t="shared" si="53"/>
        <v>0</v>
      </c>
      <c r="BS188">
        <f t="shared" si="54"/>
        <v>0</v>
      </c>
    </row>
    <row r="189" spans="1:72" ht="18.75" thickBot="1" x14ac:dyDescent="0.3">
      <c r="A189" s="352"/>
      <c r="B189" s="353"/>
      <c r="C189" s="353"/>
      <c r="D189" s="354"/>
      <c r="E189" s="355"/>
      <c r="F189" s="355"/>
      <c r="G189" s="356"/>
      <c r="H189" s="357"/>
      <c r="I189" s="358"/>
      <c r="J189" s="358"/>
      <c r="K189" s="154"/>
      <c r="N189" s="75"/>
      <c r="O189" s="361"/>
      <c r="P189" s="362"/>
      <c r="Q189" s="363"/>
      <c r="R189" s="360"/>
      <c r="S189" s="359"/>
      <c r="T189" s="360"/>
      <c r="U189" s="359"/>
      <c r="V189" s="360"/>
      <c r="W189" s="359"/>
      <c r="X189" s="360"/>
      <c r="Y189" s="359"/>
      <c r="Z189" s="360"/>
      <c r="AA189" s="359"/>
      <c r="AB189" s="360"/>
      <c r="AC189" s="359"/>
      <c r="AD189" s="360"/>
      <c r="AE189" s="359"/>
      <c r="AF189" s="360"/>
      <c r="AG189" s="359"/>
      <c r="AH189" s="360"/>
      <c r="AI189" s="359"/>
      <c r="AJ189" s="360"/>
      <c r="AK189" s="359"/>
      <c r="AL189" s="360"/>
      <c r="AM189" s="359"/>
      <c r="AN189" s="360"/>
      <c r="AO189" s="359"/>
      <c r="AP189" s="360"/>
      <c r="AQ189" s="359"/>
      <c r="AR189" s="360"/>
      <c r="AS189" s="359"/>
      <c r="AT189" s="360"/>
      <c r="AU189" s="359"/>
      <c r="AV189" s="360"/>
      <c r="AW189" s="359"/>
      <c r="AX189" s="360"/>
      <c r="AY189" s="359"/>
      <c r="AZ189" s="360"/>
      <c r="BA189" s="359"/>
      <c r="BB189" s="360"/>
      <c r="BC189" s="363"/>
      <c r="BD189" s="311"/>
      <c r="BE189" s="364"/>
      <c r="BF189" s="277"/>
      <c r="BG189" s="51"/>
      <c r="BH189" s="335"/>
      <c r="BI189" s="52"/>
      <c r="BJ189" s="50"/>
      <c r="BR189">
        <f>SUM(BR12:BR188)</f>
        <v>64.458605481883055</v>
      </c>
      <c r="BS189">
        <f>SUM(BS12:BS188)</f>
        <v>256.6454946797615</v>
      </c>
      <c r="BT189">
        <f>BS189/BR189</f>
        <v>3.9815551819825687</v>
      </c>
    </row>
    <row r="190" spans="1:72" ht="21" thickBot="1" x14ac:dyDescent="0.35">
      <c r="A190" s="366" t="s">
        <v>154</v>
      </c>
      <c r="D190" s="354"/>
      <c r="E190" s="355"/>
      <c r="F190" s="355"/>
      <c r="G190" s="356"/>
      <c r="H190" s="357"/>
      <c r="I190" s="102" t="s">
        <v>152</v>
      </c>
      <c r="J190" s="103"/>
      <c r="K190" s="154"/>
      <c r="N190" s="75"/>
      <c r="O190" s="361"/>
      <c r="P190" s="362"/>
      <c r="Q190" s="363"/>
      <c r="R190" s="360"/>
      <c r="S190" s="359"/>
      <c r="T190" s="360"/>
      <c r="U190" s="359"/>
      <c r="V190" s="360"/>
      <c r="W190" s="359"/>
      <c r="X190" s="360"/>
      <c r="Y190" s="359"/>
      <c r="Z190" s="360"/>
      <c r="AA190" s="359"/>
      <c r="AB190" s="360"/>
      <c r="AC190" s="359"/>
      <c r="AD190" s="360"/>
      <c r="AE190" s="359"/>
      <c r="AF190" s="360"/>
      <c r="AG190" s="359"/>
      <c r="AH190" s="360"/>
      <c r="AI190" s="359"/>
      <c r="AJ190" s="360"/>
      <c r="AK190" s="359"/>
      <c r="AL190" s="360"/>
      <c r="AM190" s="359"/>
      <c r="AN190" s="360"/>
      <c r="AO190" s="359"/>
      <c r="AP190" s="360"/>
      <c r="AQ190" s="359"/>
      <c r="AR190" s="360"/>
      <c r="AS190" s="359"/>
      <c r="AT190" s="360"/>
      <c r="AU190" s="359"/>
      <c r="AV190" s="360"/>
      <c r="AW190" s="359"/>
      <c r="AX190" s="360"/>
      <c r="AY190" s="359"/>
      <c r="AZ190" s="360"/>
      <c r="BA190" s="359"/>
      <c r="BB190" s="360"/>
      <c r="BC190" s="363"/>
      <c r="BD190" s="311"/>
      <c r="BE190" s="364"/>
      <c r="BF190" s="277"/>
      <c r="BG190" s="51"/>
      <c r="BH190" s="335"/>
      <c r="BI190" s="52"/>
      <c r="BJ190" s="50"/>
    </row>
    <row r="191" spans="1:72" ht="18.75" thickBot="1" x14ac:dyDescent="0.3">
      <c r="A191" s="64" t="s">
        <v>155</v>
      </c>
      <c r="B191" s="367">
        <v>37257</v>
      </c>
      <c r="C191" s="368">
        <f>BT317</f>
        <v>-0.4651072079116132</v>
      </c>
      <c r="D191" s="354"/>
      <c r="E191" s="355"/>
      <c r="F191" s="355"/>
      <c r="G191" s="356"/>
      <c r="H191" s="357"/>
      <c r="I191" s="104" t="s">
        <v>0</v>
      </c>
      <c r="J191" s="246">
        <f>SUM(H200:H316)</f>
        <v>242709.17185227788</v>
      </c>
      <c r="K191" s="154"/>
      <c r="N191" s="75"/>
      <c r="O191" s="361"/>
      <c r="P191" s="362"/>
      <c r="Q191" s="363"/>
      <c r="R191" s="360"/>
      <c r="S191" s="359"/>
      <c r="T191" s="360"/>
      <c r="U191" s="359"/>
      <c r="V191" s="360"/>
      <c r="W191" s="359"/>
      <c r="X191" s="360"/>
      <c r="Y191" s="359"/>
      <c r="Z191" s="360"/>
      <c r="AA191" s="359"/>
      <c r="AB191" s="360"/>
      <c r="AC191" s="359"/>
      <c r="AD191" s="360"/>
      <c r="AE191" s="359"/>
      <c r="AF191" s="360"/>
      <c r="AG191" s="359"/>
      <c r="AH191" s="360"/>
      <c r="AI191" s="359"/>
      <c r="AJ191" s="360"/>
      <c r="AK191" s="359"/>
      <c r="AL191" s="360"/>
      <c r="AM191" s="359"/>
      <c r="AN191" s="360"/>
      <c r="AO191" s="359"/>
      <c r="AP191" s="360"/>
      <c r="AQ191" s="359"/>
      <c r="AR191" s="360"/>
      <c r="AS191" s="359"/>
      <c r="AT191" s="360"/>
      <c r="AU191" s="359"/>
      <c r="AV191" s="360"/>
      <c r="AW191" s="359"/>
      <c r="AX191" s="360"/>
      <c r="AY191" s="359"/>
      <c r="AZ191" s="360"/>
      <c r="BA191" s="359"/>
      <c r="BB191" s="360"/>
      <c r="BC191" s="363"/>
      <c r="BD191" s="311"/>
      <c r="BE191" s="364"/>
      <c r="BF191" s="277"/>
      <c r="BG191" s="51"/>
      <c r="BH191" s="335"/>
      <c r="BI191" s="52"/>
      <c r="BJ191" s="50"/>
    </row>
    <row r="192" spans="1:72" ht="18.75" thickBot="1" x14ac:dyDescent="0.3">
      <c r="A192" s="40" t="s">
        <v>156</v>
      </c>
      <c r="B192" s="369">
        <v>37621</v>
      </c>
      <c r="D192" s="354"/>
      <c r="E192" s="355"/>
      <c r="F192" s="355"/>
      <c r="G192" s="356"/>
      <c r="H192" s="357"/>
      <c r="I192" s="104" t="s">
        <v>1</v>
      </c>
      <c r="J192" s="246">
        <f>SUM(I200:I316)</f>
        <v>0</v>
      </c>
      <c r="K192" s="277"/>
      <c r="N192" s="75"/>
      <c r="O192" s="361"/>
      <c r="P192" s="362"/>
      <c r="Q192" s="363"/>
      <c r="R192" s="360"/>
      <c r="S192" s="359"/>
      <c r="T192" s="360"/>
      <c r="U192" s="359"/>
      <c r="V192" s="360"/>
      <c r="W192" s="359"/>
      <c r="X192" s="360"/>
      <c r="Y192" s="359"/>
      <c r="Z192" s="360"/>
      <c r="AA192" s="359"/>
      <c r="AB192" s="360"/>
      <c r="AC192" s="359"/>
      <c r="AD192" s="360"/>
      <c r="AE192" s="359"/>
      <c r="AF192" s="360"/>
      <c r="AG192" s="359"/>
      <c r="AH192" s="360"/>
      <c r="AI192" s="359"/>
      <c r="AJ192" s="360"/>
      <c r="AK192" s="359"/>
      <c r="AL192" s="360"/>
      <c r="AM192" s="359"/>
      <c r="AN192" s="360"/>
      <c r="AO192" s="359"/>
      <c r="AP192" s="360"/>
      <c r="AQ192" s="359"/>
      <c r="AR192" s="360"/>
      <c r="AS192" s="359"/>
      <c r="AT192" s="360"/>
      <c r="AU192" s="359"/>
      <c r="AV192" s="360"/>
      <c r="AW192" s="359"/>
      <c r="AX192" s="360"/>
      <c r="AY192" s="359"/>
      <c r="AZ192" s="360"/>
      <c r="BA192" s="359"/>
      <c r="BB192" s="360"/>
      <c r="BC192" s="363"/>
      <c r="BD192" s="311"/>
      <c r="BE192" s="364"/>
      <c r="BF192" s="277"/>
      <c r="BG192" s="51"/>
      <c r="BH192" s="335"/>
      <c r="BI192" s="52"/>
      <c r="BJ192" s="50"/>
    </row>
    <row r="193" spans="1:71" ht="18.75" thickBot="1" x14ac:dyDescent="0.3">
      <c r="A193" s="352"/>
      <c r="B193" s="353"/>
      <c r="C193" s="353"/>
      <c r="D193" s="354"/>
      <c r="E193" s="355"/>
      <c r="F193" s="355"/>
      <c r="G193" s="356"/>
      <c r="H193" s="357"/>
      <c r="I193" s="102" t="s">
        <v>143</v>
      </c>
      <c r="J193" s="247">
        <f>J191+J192</f>
        <v>242709.17185227788</v>
      </c>
      <c r="K193" s="277"/>
      <c r="N193" s="75"/>
      <c r="O193" s="361"/>
      <c r="P193" s="362"/>
      <c r="Q193" s="363"/>
      <c r="R193" s="360"/>
      <c r="S193" s="359"/>
      <c r="T193" s="360"/>
      <c r="U193" s="359"/>
      <c r="V193" s="360"/>
      <c r="W193" s="359"/>
      <c r="X193" s="360"/>
      <c r="Y193" s="359"/>
      <c r="Z193" s="360"/>
      <c r="AA193" s="359"/>
      <c r="AB193" s="360"/>
      <c r="AC193" s="359"/>
      <c r="AD193" s="360"/>
      <c r="AE193" s="359"/>
      <c r="AF193" s="360"/>
      <c r="AG193" s="359"/>
      <c r="AH193" s="360"/>
      <c r="AI193" s="359"/>
      <c r="AJ193" s="360"/>
      <c r="AK193" s="359"/>
      <c r="AL193" s="360"/>
      <c r="AM193" s="359"/>
      <c r="AN193" s="360"/>
      <c r="AO193" s="359"/>
      <c r="AP193" s="360"/>
      <c r="AQ193" s="359"/>
      <c r="AR193" s="360"/>
      <c r="AS193" s="359"/>
      <c r="AT193" s="360"/>
      <c r="AU193" s="359"/>
      <c r="AV193" s="360"/>
      <c r="AW193" s="359"/>
      <c r="AX193" s="360"/>
      <c r="AY193" s="359"/>
      <c r="AZ193" s="360"/>
      <c r="BA193" s="359"/>
      <c r="BB193" s="360"/>
      <c r="BC193" s="363"/>
      <c r="BD193" s="311"/>
      <c r="BE193" s="364"/>
      <c r="BF193" s="277"/>
      <c r="BG193" s="51"/>
      <c r="BH193" s="335"/>
      <c r="BI193" s="52"/>
      <c r="BJ193" s="50"/>
    </row>
    <row r="194" spans="1:71" ht="16.5" thickBot="1" x14ac:dyDescent="0.3">
      <c r="I194" s="102" t="s">
        <v>144</v>
      </c>
      <c r="J194" s="247">
        <f>SUM(BL200:BL316)</f>
        <v>382307.38261916174</v>
      </c>
      <c r="K194" s="277"/>
      <c r="N194" s="75"/>
      <c r="O194" s="361"/>
      <c r="P194" s="362"/>
      <c r="Q194" s="363"/>
      <c r="R194" s="360"/>
      <c r="S194" s="359"/>
      <c r="T194" s="360"/>
      <c r="U194" s="359"/>
      <c r="V194" s="360"/>
      <c r="W194" s="359"/>
      <c r="X194" s="360"/>
      <c r="Y194" s="359"/>
      <c r="Z194" s="360"/>
      <c r="AA194" s="359"/>
      <c r="AB194" s="360"/>
      <c r="AC194" s="359"/>
      <c r="AD194" s="360"/>
      <c r="AE194" s="359"/>
      <c r="AF194" s="360"/>
      <c r="AG194" s="359"/>
      <c r="AH194" s="360"/>
      <c r="AI194" s="359"/>
      <c r="AJ194" s="360"/>
      <c r="AK194" s="359"/>
      <c r="AL194" s="360"/>
      <c r="AM194" s="359"/>
      <c r="AN194" s="360"/>
      <c r="AO194" s="359"/>
      <c r="AP194" s="360"/>
      <c r="AQ194" s="359"/>
      <c r="AR194" s="360"/>
      <c r="AS194" s="359"/>
      <c r="AT194" s="360"/>
      <c r="AU194" s="359"/>
      <c r="AV194" s="360"/>
      <c r="AW194" s="359"/>
      <c r="AX194" s="360"/>
      <c r="AY194" s="359"/>
      <c r="AZ194" s="360"/>
      <c r="BA194" s="359"/>
      <c r="BB194" s="360"/>
      <c r="BC194" s="363"/>
      <c r="BD194" s="311"/>
      <c r="BE194" s="364"/>
      <c r="BF194" s="277"/>
    </row>
    <row r="195" spans="1:71" ht="15.75" x14ac:dyDescent="0.25">
      <c r="I195" s="277"/>
      <c r="J195" s="277"/>
      <c r="K195" s="277"/>
      <c r="N195" s="75"/>
      <c r="O195" s="361"/>
      <c r="P195" s="362"/>
      <c r="Q195" s="363"/>
      <c r="R195" s="360"/>
      <c r="S195" s="359"/>
      <c r="T195" s="360"/>
      <c r="U195" s="359"/>
      <c r="V195" s="360"/>
      <c r="W195" s="359"/>
      <c r="X195" s="360"/>
      <c r="Y195" s="359"/>
      <c r="Z195" s="360"/>
      <c r="AA195" s="359"/>
      <c r="AB195" s="360"/>
      <c r="AC195" s="359"/>
      <c r="AD195" s="360"/>
      <c r="AE195" s="359"/>
      <c r="AF195" s="360"/>
      <c r="AG195" s="359"/>
      <c r="AH195" s="360"/>
      <c r="AI195" s="359"/>
      <c r="AJ195" s="360"/>
      <c r="AK195" s="359"/>
      <c r="AL195" s="360"/>
      <c r="AM195" s="359"/>
      <c r="AN195" s="360"/>
      <c r="AO195" s="359"/>
      <c r="AP195" s="360"/>
      <c r="AQ195" s="359"/>
      <c r="AR195" s="360"/>
      <c r="AS195" s="359"/>
      <c r="AT195" s="360"/>
      <c r="AU195" s="359"/>
      <c r="AV195" s="360"/>
      <c r="AW195" s="359"/>
      <c r="AX195" s="360"/>
      <c r="AY195" s="359"/>
      <c r="AZ195" s="360"/>
      <c r="BA195" s="359"/>
      <c r="BB195" s="360"/>
      <c r="BC195" s="363"/>
      <c r="BD195" s="311"/>
      <c r="BE195" s="364"/>
      <c r="BF195" s="277"/>
    </row>
    <row r="196" spans="1:71" ht="34.5" thickBot="1" x14ac:dyDescent="0.55000000000000004">
      <c r="A196" s="236" t="s">
        <v>148</v>
      </c>
      <c r="B196" s="70"/>
      <c r="C196" s="69"/>
      <c r="D196" s="69"/>
      <c r="E196" s="69"/>
      <c r="F196" s="69"/>
      <c r="G196" s="69"/>
      <c r="H196" s="69"/>
      <c r="I196" s="71"/>
      <c r="J196" s="71"/>
      <c r="K196" s="71"/>
      <c r="L196" s="69"/>
      <c r="M196" s="69"/>
      <c r="N196" s="75"/>
      <c r="O196" s="361"/>
      <c r="P196" s="362"/>
      <c r="Q196" s="363"/>
      <c r="R196" s="360"/>
      <c r="S196" s="359"/>
      <c r="T196" s="360"/>
      <c r="U196" s="359"/>
      <c r="V196" s="360"/>
      <c r="W196" s="359"/>
      <c r="X196" s="360"/>
      <c r="Y196" s="359"/>
      <c r="Z196" s="360"/>
      <c r="AA196" s="359"/>
      <c r="AB196" s="360"/>
      <c r="AC196" s="359"/>
      <c r="AD196" s="360"/>
      <c r="AE196" s="359"/>
      <c r="AF196" s="360"/>
      <c r="AG196" s="359"/>
      <c r="AH196" s="360"/>
      <c r="AI196" s="359"/>
      <c r="AJ196" s="360"/>
      <c r="AK196" s="359"/>
      <c r="AL196" s="360"/>
      <c r="AM196" s="359"/>
      <c r="AN196" s="360"/>
      <c r="AO196" s="359"/>
      <c r="AP196" s="360"/>
      <c r="AQ196" s="359"/>
      <c r="AR196" s="360"/>
      <c r="AS196" s="359"/>
      <c r="AT196" s="360"/>
      <c r="AU196" s="359"/>
      <c r="AV196" s="360"/>
      <c r="AW196" s="359"/>
      <c r="AX196" s="360"/>
      <c r="AY196" s="359"/>
      <c r="AZ196" s="360"/>
      <c r="BA196" s="359"/>
      <c r="BB196" s="360"/>
      <c r="BC196" s="363"/>
      <c r="BD196" s="311"/>
      <c r="BE196" s="364"/>
      <c r="BF196" s="71"/>
      <c r="BG196" s="25"/>
      <c r="BH196" s="25"/>
      <c r="BI196" s="25"/>
      <c r="BJ196" s="25"/>
      <c r="BK196" s="25"/>
    </row>
    <row r="197" spans="1:71" s="277" customFormat="1" ht="18.75" thickBot="1" x14ac:dyDescent="0.3">
      <c r="A197" s="69"/>
      <c r="B197" s="70"/>
      <c r="C197" s="69"/>
      <c r="D197" s="69"/>
      <c r="E197" s="337"/>
      <c r="F197" s="338"/>
      <c r="G197" s="339"/>
      <c r="H197" s="340"/>
      <c r="I197" s="340"/>
      <c r="J197" s="340"/>
      <c r="K197" s="71"/>
      <c r="L197" s="64" t="s">
        <v>130</v>
      </c>
      <c r="M197" s="69"/>
      <c r="N197"/>
      <c r="O197" s="361"/>
      <c r="P197" s="362"/>
      <c r="Q197" s="363"/>
      <c r="R197" s="365"/>
      <c r="S197" s="363"/>
      <c r="T197" s="365"/>
      <c r="U197" s="363"/>
      <c r="V197" s="365"/>
      <c r="W197" s="363"/>
      <c r="X197" s="365"/>
      <c r="Y197" s="363"/>
      <c r="Z197" s="365"/>
      <c r="AA197" s="363"/>
      <c r="AB197" s="365"/>
      <c r="AC197" s="363"/>
      <c r="AD197" s="365"/>
      <c r="AE197" s="363"/>
      <c r="AF197" s="365"/>
      <c r="AG197" s="363"/>
      <c r="AH197" s="365"/>
      <c r="AI197" s="363"/>
      <c r="AJ197" s="365"/>
      <c r="AK197" s="363"/>
      <c r="AL197" s="365"/>
      <c r="AM197" s="363"/>
      <c r="AN197" s="365"/>
      <c r="AO197" s="363"/>
      <c r="AP197" s="365"/>
      <c r="AQ197" s="363"/>
      <c r="AR197" s="365"/>
      <c r="AS197" s="363"/>
      <c r="AT197" s="365"/>
      <c r="AU197" s="363"/>
      <c r="AV197" s="365"/>
      <c r="AW197" s="363"/>
      <c r="AX197" s="365"/>
      <c r="AY197" s="363"/>
      <c r="AZ197" s="365"/>
      <c r="BA197" s="363"/>
      <c r="BB197" s="365"/>
      <c r="BC197" s="363"/>
      <c r="BD197" s="311"/>
      <c r="BE197" s="364"/>
      <c r="BF197" s="71"/>
      <c r="BG197" s="71"/>
      <c r="BH197" s="71"/>
      <c r="BI197" s="71"/>
      <c r="BJ197" s="71"/>
      <c r="BK197" s="71"/>
      <c r="BL197"/>
    </row>
    <row r="198" spans="1:71" ht="13.5" thickBot="1" x14ac:dyDescent="0.25">
      <c r="A198" s="64"/>
      <c r="B198" s="64" t="s">
        <v>2</v>
      </c>
      <c r="C198" s="64" t="s">
        <v>131</v>
      </c>
      <c r="D198" s="64" t="s">
        <v>4</v>
      </c>
      <c r="E198" s="153" t="s">
        <v>18</v>
      </c>
      <c r="F198" s="153"/>
      <c r="G198" s="153" t="s">
        <v>19</v>
      </c>
      <c r="H198" s="153" t="s">
        <v>5</v>
      </c>
      <c r="I198" s="336" t="s">
        <v>6</v>
      </c>
      <c r="J198" s="336"/>
      <c r="L198" s="323">
        <v>1368153</v>
      </c>
      <c r="M198" s="69"/>
      <c r="O198" s="33"/>
      <c r="P198" s="34">
        <v>1</v>
      </c>
      <c r="Q198" s="35"/>
      <c r="R198" s="34">
        <v>2</v>
      </c>
      <c r="S198" s="35"/>
      <c r="T198" s="34">
        <v>3</v>
      </c>
      <c r="U198" s="35"/>
      <c r="V198" s="34">
        <v>4</v>
      </c>
      <c r="W198" s="35"/>
      <c r="X198" s="34">
        <v>5</v>
      </c>
      <c r="Y198" s="35"/>
      <c r="Z198" s="34">
        <v>6</v>
      </c>
      <c r="AA198" s="35"/>
      <c r="AB198" s="34">
        <v>7</v>
      </c>
      <c r="AC198" s="35"/>
      <c r="AD198" s="34">
        <v>8</v>
      </c>
      <c r="AE198" s="35"/>
      <c r="AF198" s="34">
        <v>9</v>
      </c>
      <c r="AG198" s="35"/>
      <c r="AH198" s="34">
        <v>10</v>
      </c>
      <c r="AI198" s="35"/>
      <c r="AJ198" s="34">
        <v>11</v>
      </c>
      <c r="AK198" s="35"/>
      <c r="AL198" s="34">
        <v>12</v>
      </c>
      <c r="AM198" s="35"/>
      <c r="AN198" s="34">
        <v>13</v>
      </c>
      <c r="AO198" s="35"/>
      <c r="AP198" s="34">
        <v>14</v>
      </c>
      <c r="AQ198" s="35"/>
      <c r="AR198" s="34">
        <v>15</v>
      </c>
      <c r="AS198" s="35"/>
      <c r="AT198" s="34">
        <v>16</v>
      </c>
      <c r="AU198" s="35"/>
      <c r="AV198" s="34">
        <v>17</v>
      </c>
      <c r="AW198" s="35"/>
      <c r="AX198" s="34">
        <v>18</v>
      </c>
      <c r="AY198" s="35"/>
      <c r="AZ198" s="34">
        <v>19</v>
      </c>
      <c r="BA198" s="35"/>
      <c r="BB198" s="34">
        <v>20</v>
      </c>
      <c r="BC198" s="35"/>
      <c r="BD198" s="36" t="s">
        <v>26</v>
      </c>
      <c r="BE198" s="37" t="s">
        <v>27</v>
      </c>
      <c r="BF198" s="32"/>
      <c r="BG198" s="32"/>
      <c r="BH198" s="32" t="s">
        <v>28</v>
      </c>
      <c r="BI198" s="32"/>
      <c r="BJ198" s="32" t="s">
        <v>29</v>
      </c>
      <c r="BK198" s="32"/>
      <c r="BL198" t="s">
        <v>145</v>
      </c>
    </row>
    <row r="199" spans="1:71" ht="13.5" thickBot="1" x14ac:dyDescent="0.25">
      <c r="A199" s="40" t="s">
        <v>7</v>
      </c>
      <c r="B199" s="40" t="s">
        <v>132</v>
      </c>
      <c r="C199" s="40" t="s">
        <v>132</v>
      </c>
      <c r="D199" s="40" t="s">
        <v>132</v>
      </c>
      <c r="E199" s="40" t="s">
        <v>32</v>
      </c>
      <c r="F199" s="40" t="s">
        <v>33</v>
      </c>
      <c r="G199" s="40" t="s">
        <v>32</v>
      </c>
      <c r="H199" s="40" t="s">
        <v>11</v>
      </c>
      <c r="I199" s="42" t="s">
        <v>12</v>
      </c>
      <c r="J199" s="42" t="s">
        <v>13</v>
      </c>
      <c r="M199" s="69"/>
      <c r="O199" s="40" t="s">
        <v>7</v>
      </c>
      <c r="P199" s="41" t="s">
        <v>37</v>
      </c>
      <c r="Q199" s="42" t="s">
        <v>32</v>
      </c>
      <c r="R199" s="41" t="s">
        <v>37</v>
      </c>
      <c r="S199" s="42" t="s">
        <v>32</v>
      </c>
      <c r="T199" s="41" t="s">
        <v>37</v>
      </c>
      <c r="U199" s="42" t="s">
        <v>32</v>
      </c>
      <c r="V199" s="41" t="s">
        <v>37</v>
      </c>
      <c r="W199" s="42" t="s">
        <v>32</v>
      </c>
      <c r="X199" s="41" t="s">
        <v>37</v>
      </c>
      <c r="Y199" s="42" t="s">
        <v>32</v>
      </c>
      <c r="Z199" s="41" t="s">
        <v>37</v>
      </c>
      <c r="AA199" s="42" t="s">
        <v>32</v>
      </c>
      <c r="AB199" s="41" t="s">
        <v>37</v>
      </c>
      <c r="AC199" s="42" t="s">
        <v>32</v>
      </c>
      <c r="AD199" s="41" t="s">
        <v>37</v>
      </c>
      <c r="AE199" s="42" t="s">
        <v>32</v>
      </c>
      <c r="AF199" s="41" t="s">
        <v>37</v>
      </c>
      <c r="AG199" s="42" t="s">
        <v>32</v>
      </c>
      <c r="AH199" s="41" t="s">
        <v>37</v>
      </c>
      <c r="AI199" s="42" t="s">
        <v>32</v>
      </c>
      <c r="AJ199" s="41" t="s">
        <v>37</v>
      </c>
      <c r="AK199" s="42" t="s">
        <v>32</v>
      </c>
      <c r="AL199" s="41" t="s">
        <v>37</v>
      </c>
      <c r="AM199" s="42" t="s">
        <v>32</v>
      </c>
      <c r="AN199" s="41" t="s">
        <v>37</v>
      </c>
      <c r="AO199" s="42" t="s">
        <v>32</v>
      </c>
      <c r="AP199" s="41" t="s">
        <v>37</v>
      </c>
      <c r="AQ199" s="42" t="s">
        <v>32</v>
      </c>
      <c r="AR199" s="41" t="s">
        <v>37</v>
      </c>
      <c r="AS199" s="42" t="s">
        <v>32</v>
      </c>
      <c r="AT199" s="41" t="s">
        <v>37</v>
      </c>
      <c r="AU199" s="42" t="s">
        <v>32</v>
      </c>
      <c r="AV199" s="41" t="s">
        <v>37</v>
      </c>
      <c r="AW199" s="42" t="s">
        <v>32</v>
      </c>
      <c r="AX199" s="41" t="s">
        <v>37</v>
      </c>
      <c r="AY199" s="42" t="s">
        <v>32</v>
      </c>
      <c r="AZ199" s="41" t="s">
        <v>37</v>
      </c>
      <c r="BA199" s="42" t="s">
        <v>32</v>
      </c>
      <c r="BB199" s="41" t="s">
        <v>37</v>
      </c>
      <c r="BC199" s="42" t="s">
        <v>32</v>
      </c>
      <c r="BD199" s="43" t="s">
        <v>37</v>
      </c>
      <c r="BE199" s="44" t="s">
        <v>32</v>
      </c>
      <c r="BF199" s="32"/>
      <c r="BG199" s="32"/>
      <c r="BH199" s="32" t="s">
        <v>133</v>
      </c>
      <c r="BI199" s="32"/>
      <c r="BJ199" s="32"/>
      <c r="BK199" s="32"/>
      <c r="BO199" s="238" t="s">
        <v>53</v>
      </c>
      <c r="BP199" s="238" t="s">
        <v>157</v>
      </c>
      <c r="BR199" s="238" t="s">
        <v>158</v>
      </c>
      <c r="BS199" s="238" t="s">
        <v>159</v>
      </c>
    </row>
    <row r="200" spans="1:71" ht="18" x14ac:dyDescent="0.25">
      <c r="A200" s="98">
        <f>A12</f>
        <v>37225</v>
      </c>
      <c r="B200" s="324">
        <f t="array" ref="B200">SUM(IF(MONTH(NymexData!$AL$12:$AL$250)&amp;YEAR(NymexData!$AL$12:$AL$250)=MONTH(A200)&amp;YEAR(A200),NymexData!$AM$12:$AM$250))</f>
        <v>1.04309E-2</v>
      </c>
      <c r="C200" s="325">
        <f>BD200*BJ200*BI200</f>
        <v>0</v>
      </c>
      <c r="D200" s="326">
        <f>C200+B200</f>
        <v>1.04309E-2</v>
      </c>
      <c r="E200" s="327">
        <f t="array" ref="E200">SUM(IF(MONTH(NymexData!$A$12:$A$250)&amp;YEAR(NymexData!$A$12:$A$250)=MONTH(A200)&amp;YEAR(A200),NymexData!$B$12:$B$250))</f>
        <v>-0.6227360328101299</v>
      </c>
      <c r="F200" s="327">
        <f>G200-E200</f>
        <v>2.0281114542498591E-3</v>
      </c>
      <c r="G200" s="328">
        <f t="array" ref="G200">IF(NymexData!$H$12="",GasPosn!E200,SUM(IF(MONTH(NymexData!$H$12:$H$250)&amp;YEAR(NymexData!$H$12:$H$250)=MONTH(A200)&amp;YEAR(A200),NymexData!$I$12:$I$250)))</f>
        <v>-0.62070792135588004</v>
      </c>
      <c r="H200" s="99">
        <f>B200*10000*F200</f>
        <v>0.21155027768134854</v>
      </c>
      <c r="I200" s="92">
        <f>(((G200-Q200)*P200+(G200-S200)*R200+(G200-U200)*T200+(G200-W200)*V200+(G200-Y200)*X200+(G200-AA200)*Z200+(G200-AC200)*AB200+(G200-AE200)*AD200+(G200-AG200)*AF200+(G200-AI200)*AH200+(G200-AK200)*AJ200+(G200-AM200)*AL200+(G200-AO200)*AN200+(G200-AQ200)*AP200+(G200-AS200)*AR200+(G200-AU200)*AT200+(G200-AW200)*AV200+(G200-AY200)*AX200+(G200-BA200)*AZ200+(G200-BC200)*BB200)*BJ200*BI200)*10000</f>
        <v>0</v>
      </c>
      <c r="J200" s="92">
        <f t="shared" ref="J200:J263" si="55">H200+I200</f>
        <v>0.21155027768134854</v>
      </c>
      <c r="M200" s="69"/>
      <c r="O200" s="47">
        <f t="shared" ref="O200:O263" si="56">A200</f>
        <v>37225</v>
      </c>
      <c r="BD200" s="48">
        <f>(P200+R200+T200+V200+X200+Z200+AB200+AD200+AF200+AH200+AJ200+AL200+AN200+AP200+AR200+AT200+AV200+AX200+AZ200+BB200)</f>
        <v>0</v>
      </c>
      <c r="BE200" s="334">
        <f>IF(AND(BD200=0,BH200=0),0,(ABS(P200)*Q200+ABS(R200)*S200+ABS(T200)*U200+ABS(V200)*W200+ABS(X200)*Y200+ABS(Z200)*AA200+ABS(AB200)*AC200+ABS(AD200)*AE200+ABS(AF200)*AG200+ABS(AH200)*AI200+ABS(AJ200)*AK200+ABS(AL200)*AM200+ABS(AN200)*AO200+ABS(AP200)*AQ200+ABS(AR200)*AS200+ABS(AT200)*AU200+ABS(AV200)*AW200+ABS(AX200)*AY200+ABS(AZ200)*BA200+ABS(BB200)*BC200)/BH200)</f>
        <v>0</v>
      </c>
      <c r="BF200" s="50"/>
      <c r="BG200" s="51">
        <f t="shared" ref="BG200:BG263" si="57">O200</f>
        <v>37225</v>
      </c>
      <c r="BH200" s="335">
        <f>(ABS(P200)+ABS(R200)+ABS(T200)+ABS(V200)+ABS(X200)+ABS(Z200)+ABS(AB200)+ABS(AD200)+ABS(AF200)+ABS(AH200)+ABS(AJ200)+ABS(AL200)+ABS(AN200)+ABS(AP200)+ABS(AR200)+ABS(AT200)+ABS(AV200)+ABS(AX200)+ABS(AZ200)+ABS(BB200))</f>
        <v>0</v>
      </c>
      <c r="BI200" s="52">
        <f>VLOOKUP(GasPosn!A200,'Pricing Summary'!$AB$12:$AD$250,3)</f>
        <v>30</v>
      </c>
      <c r="BJ200" s="50">
        <f>VLOOKUP(A200,Interest!$AF$8:$AK$367,6)</f>
        <v>0.99709512318270321</v>
      </c>
      <c r="BK200" s="335"/>
      <c r="BL200">
        <f>J200*VLOOKUP(A200,NymexData!$J$12:$K$244,2)</f>
        <v>0.33277936292967997</v>
      </c>
      <c r="BO200">
        <f>BO12</f>
        <v>0.99709512318270321</v>
      </c>
      <c r="BP200">
        <f>G200*BO200</f>
        <v>-0.61890484130482082</v>
      </c>
      <c r="BQ200">
        <f>IF(AND(A200&gt;=$B$191,A200&lt;=$B$192),1,0)</f>
        <v>0</v>
      </c>
      <c r="BR200">
        <f>BO200*BQ200</f>
        <v>0</v>
      </c>
      <c r="BS200">
        <f>BP200*BQ200</f>
        <v>0</v>
      </c>
    </row>
    <row r="201" spans="1:71" ht="18" x14ac:dyDescent="0.25">
      <c r="A201" s="100">
        <f t="shared" ref="A201:A264" si="58">A13</f>
        <v>37226</v>
      </c>
      <c r="B201" s="329">
        <f t="array" ref="B201">SUM(IF(MONTH(NymexData!$AL$12:$AL$250)&amp;YEAR(NymexData!$AL$12:$AL$250)=MONTH(A201)&amp;YEAR(A201),NymexData!$AM$12:$AM$250))</f>
        <v>1.075417E-2</v>
      </c>
      <c r="C201" s="330">
        <f t="shared" ref="C201:C264" si="59">BD201*BJ201*BI201</f>
        <v>0</v>
      </c>
      <c r="D201" s="331">
        <f t="shared" ref="D201:D264" si="60">C201+B201</f>
        <v>1.075417E-2</v>
      </c>
      <c r="E201" s="332">
        <f t="array" ref="E201">SUM(IF(MONTH(NymexData!$A$12:$A$250)&amp;YEAR(NymexData!$A$12:$A$250)=MONTH(A201)&amp;YEAR(A201),NymexData!$B$12:$B$250))</f>
        <v>-0.34499999999999997</v>
      </c>
      <c r="F201" s="332">
        <f t="shared" ref="F201:F264" si="61">G201-E201</f>
        <v>-1.0000000000000009E-2</v>
      </c>
      <c r="G201" s="333">
        <f t="array" ref="G201">IF(NymexData!$H$12="",GasPosn!E201,SUM(IF(MONTH(NymexData!$H$12:$H$250)&amp;YEAR(NymexData!$H$12:$H$250)=MONTH(A201)&amp;YEAR(A201),NymexData!$I$12:$I$250)))</f>
        <v>-0.35499999999999998</v>
      </c>
      <c r="H201" s="85">
        <f t="shared" ref="H201:H264" si="62">B201*10000*F201</f>
        <v>-1.075417000000001</v>
      </c>
      <c r="I201" s="88">
        <f t="shared" ref="I201:I264" si="63">(((G201-Q201)*P201+(G201-S201)*R201+(G201-U201)*T201+(G201-W201)*V201+(G201-Y201)*X201+(G201-AA201)*Z201+(G201-AC201)*AB201+(G201-AE201)*AD201+(G201-AG201)*AF201+(G201-AI201)*AH201+(G201-AK201)*AJ201+(G201-AM201)*AL201+(G201-AO201)*AN201+(G201-AQ201)*AP201+(G201-AS201)*AR201+(G201-AU201)*AT201+(G201-AW201)*AV201+(G201-AY201)*AX201+(G201-BA201)*AZ201+(G201-BC201)*BB201)*BJ201*BI201)*10000</f>
        <v>0</v>
      </c>
      <c r="J201" s="88">
        <f t="shared" si="55"/>
        <v>-1.075417000000001</v>
      </c>
      <c r="M201" s="69"/>
      <c r="O201" s="47">
        <f t="shared" si="56"/>
        <v>37226</v>
      </c>
      <c r="BD201" s="48">
        <f t="shared" ref="BD201:BD232" si="64">(P201+R201+T201+V201+X201+Z201+AB201+AD201+AF201+AH201+AJ201+AL201+AN201+AP201+AR201+AT201+AV201+AX201+AZ201+BB201)</f>
        <v>0</v>
      </c>
      <c r="BE201" s="334">
        <f t="shared" ref="BE201:BE232" si="65">IF(AND(BD201=0,BH201=0),0,(ABS(P201)*Q201+ABS(R201)*S201+ABS(T201)*U201+ABS(V201)*W201+ABS(X201)*Y201+ABS(Z201)*AA201+ABS(AB201)*AC201+ABS(AD201)*AE201+ABS(AF201)*AG201+ABS(AH201)*AI201+ABS(AJ201)*AK201+ABS(AL201)*AM201+ABS(AN201)*AO201+ABS(AP201)*AQ201+ABS(AR201)*AS201+ABS(AT201)*AU201+ABS(AV201)*AW201+ABS(AX201)*AY201+ABS(AZ201)*BA201+ABS(BB201)*BC201)/BH201)</f>
        <v>0</v>
      </c>
      <c r="BF201" s="50"/>
      <c r="BG201" s="51">
        <f t="shared" si="57"/>
        <v>37226</v>
      </c>
      <c r="BH201" s="335">
        <f t="shared" ref="BH201:BH232" si="66">(ABS(P201)+ABS(R201)+ABS(T201)+ABS(V201)+ABS(X201)+ABS(Z201)+ABS(AB201)+ABS(AD201)+ABS(AF201)+ABS(AH201)+ABS(AJ201)+ABS(AL201)+ABS(AN201)+ABS(AP201)+ABS(AR201)+ABS(AT201)+ABS(AV201)+ABS(AX201)+ABS(AZ201)+ABS(BB201))</f>
        <v>0</v>
      </c>
      <c r="BI201" s="52">
        <f>VLOOKUP(GasPosn!A201,'Pricing Summary'!$AB$12:$AD$250,3)</f>
        <v>31</v>
      </c>
      <c r="BJ201" s="50">
        <f>VLOOKUP(A201,Interest!$AF$8:$AK$367,6)</f>
        <v>0.99520793381540129</v>
      </c>
      <c r="BK201" s="50"/>
      <c r="BL201">
        <f>J201*VLOOKUP(A201,NymexData!$J$12:$K$244,2)</f>
        <v>-1.6921626388955684</v>
      </c>
      <c r="BO201">
        <f t="shared" ref="BO201:BO264" si="67">BO13</f>
        <v>0.99520793381540129</v>
      </c>
      <c r="BP201">
        <f t="shared" ref="BP201:BP264" si="68">G201*BO201</f>
        <v>-0.35329881650446743</v>
      </c>
      <c r="BQ201">
        <f t="shared" ref="BQ201:BQ264" si="69">IF(AND(A201&gt;=$B$191,A201&lt;=$B$192),1,0)</f>
        <v>0</v>
      </c>
      <c r="BR201">
        <f t="shared" ref="BR201:BR264" si="70">BO201*BQ201</f>
        <v>0</v>
      </c>
      <c r="BS201">
        <f t="shared" ref="BS201:BS264" si="71">BP201*BQ201</f>
        <v>0</v>
      </c>
    </row>
    <row r="202" spans="1:71" ht="18" x14ac:dyDescent="0.25">
      <c r="A202" s="98">
        <f t="shared" si="58"/>
        <v>37257</v>
      </c>
      <c r="B202" s="324">
        <f t="array" ref="B202">SUM(IF(MONTH(NymexData!$AL$12:$AL$250)&amp;YEAR(NymexData!$AL$12:$AL$250)=MONTH(A202)&amp;YEAR(A202),NymexData!$AM$12:$AM$250))</f>
        <v>-23.132735050000001</v>
      </c>
      <c r="C202" s="324">
        <f t="shared" si="59"/>
        <v>0</v>
      </c>
      <c r="D202" s="326">
        <f t="shared" si="60"/>
        <v>-23.132735050000001</v>
      </c>
      <c r="E202" s="327">
        <f t="array" ref="E202">SUM(IF(MONTH(NymexData!$A$12:$A$250)&amp;YEAR(NymexData!$A$12:$A$250)=MONTH(A202)&amp;YEAR(A202),NymexData!$B$12:$B$250))</f>
        <v>-0.43</v>
      </c>
      <c r="F202" s="327">
        <f t="shared" si="61"/>
        <v>-1.0000000000000009E-2</v>
      </c>
      <c r="G202" s="328">
        <f t="array" ref="G202">IF(NymexData!$H$12="",GasPosn!E202,SUM(IF(MONTH(NymexData!$H$12:$H$250)&amp;YEAR(NymexData!$H$12:$H$250)=MONTH(A202)&amp;YEAR(A202),NymexData!$I$12:$I$250)))</f>
        <v>-0.44</v>
      </c>
      <c r="H202" s="99">
        <f t="shared" si="62"/>
        <v>2313.2735050000019</v>
      </c>
      <c r="I202" s="92">
        <f t="shared" si="63"/>
        <v>0</v>
      </c>
      <c r="J202" s="92">
        <f t="shared" si="55"/>
        <v>2313.2735050000019</v>
      </c>
      <c r="M202" s="69"/>
      <c r="O202" s="47">
        <f t="shared" si="56"/>
        <v>37257</v>
      </c>
      <c r="BD202" s="48">
        <f t="shared" si="64"/>
        <v>0</v>
      </c>
      <c r="BE202" s="334">
        <f t="shared" si="65"/>
        <v>0</v>
      </c>
      <c r="BF202" s="50"/>
      <c r="BG202" s="51">
        <f t="shared" si="57"/>
        <v>37257</v>
      </c>
      <c r="BH202" s="335">
        <f t="shared" si="66"/>
        <v>0</v>
      </c>
      <c r="BI202" s="52">
        <f>VLOOKUP(GasPosn!A202,'Pricing Summary'!$AB$12:$AD$250,3)</f>
        <v>31</v>
      </c>
      <c r="BJ202" s="50">
        <f>VLOOKUP(A202,Interest!$AF$8:$AK$367,6)</f>
        <v>0.9933227729493781</v>
      </c>
      <c r="BK202" s="50"/>
      <c r="BL202">
        <f>J202*VLOOKUP(A202,NymexData!$J$12:$K$244,2)</f>
        <v>3640.478597875097</v>
      </c>
      <c r="BO202">
        <f t="shared" si="67"/>
        <v>0.9933227729493781</v>
      </c>
      <c r="BP202">
        <f t="shared" si="68"/>
        <v>-0.43706202009772638</v>
      </c>
      <c r="BQ202">
        <f t="shared" si="69"/>
        <v>1</v>
      </c>
      <c r="BR202">
        <f t="shared" si="70"/>
        <v>0.9933227729493781</v>
      </c>
      <c r="BS202">
        <f t="shared" si="71"/>
        <v>-0.43706202009772638</v>
      </c>
    </row>
    <row r="203" spans="1:71" ht="18" x14ac:dyDescent="0.25">
      <c r="A203" s="100">
        <f t="shared" si="58"/>
        <v>37288</v>
      </c>
      <c r="B203" s="329">
        <f t="array" ref="B203">SUM(IF(MONTH(NymexData!$AL$12:$AL$250)&amp;YEAR(NymexData!$AL$12:$AL$250)=MONTH(A203)&amp;YEAR(A203),NymexData!$AM$12:$AM$250))</f>
        <v>-20.85057819</v>
      </c>
      <c r="C203" s="330">
        <f t="shared" si="59"/>
        <v>0</v>
      </c>
      <c r="D203" s="331">
        <f t="shared" si="60"/>
        <v>-20.85057819</v>
      </c>
      <c r="E203" s="332">
        <f t="array" ref="E203">SUM(IF(MONTH(NymexData!$A$12:$A$250)&amp;YEAR(NymexData!$A$12:$A$250)=MONTH(A203)&amp;YEAR(A203),NymexData!$B$12:$B$250))</f>
        <v>-0.44500000000000001</v>
      </c>
      <c r="F203" s="332">
        <f t="shared" si="61"/>
        <v>-2.4999999999999967E-2</v>
      </c>
      <c r="G203" s="333">
        <f t="array" ref="G203">IF(NymexData!$H$12="",GasPosn!E203,SUM(IF(MONTH(NymexData!$H$12:$H$250)&amp;YEAR(NymexData!$H$12:$H$250)=MONTH(A203)&amp;YEAR(A203),NymexData!$I$12:$I$250)))</f>
        <v>-0.47</v>
      </c>
      <c r="H203" s="85">
        <f t="shared" si="62"/>
        <v>5212.6445474999928</v>
      </c>
      <c r="I203" s="88">
        <f t="shared" si="63"/>
        <v>0</v>
      </c>
      <c r="J203" s="88">
        <f t="shared" si="55"/>
        <v>5212.6445474999928</v>
      </c>
      <c r="M203" s="69"/>
      <c r="O203" s="47">
        <f t="shared" si="56"/>
        <v>37288</v>
      </c>
      <c r="BD203" s="48">
        <f t="shared" si="64"/>
        <v>0</v>
      </c>
      <c r="BE203" s="334">
        <f t="shared" si="65"/>
        <v>0</v>
      </c>
      <c r="BF203" s="50"/>
      <c r="BG203" s="51">
        <f t="shared" si="57"/>
        <v>37288</v>
      </c>
      <c r="BH203" s="335">
        <f t="shared" si="66"/>
        <v>0</v>
      </c>
      <c r="BI203" s="52">
        <f>VLOOKUP(GasPosn!A203,'Pricing Summary'!$AB$12:$AD$250,3)</f>
        <v>28</v>
      </c>
      <c r="BJ203" s="50">
        <f>VLOOKUP(A203,Interest!$AF$8:$AK$367,6)</f>
        <v>0.99158646099193282</v>
      </c>
      <c r="BK203" s="50"/>
      <c r="BL203">
        <f>J203*VLOOKUP(A203,NymexData!$J$12:$K$244,2)</f>
        <v>8203.6820154503876</v>
      </c>
      <c r="BO203">
        <f t="shared" si="67"/>
        <v>0.99158646099193282</v>
      </c>
      <c r="BP203">
        <f t="shared" si="68"/>
        <v>-0.46604563666620841</v>
      </c>
      <c r="BQ203">
        <f t="shared" si="69"/>
        <v>1</v>
      </c>
      <c r="BR203">
        <f t="shared" si="70"/>
        <v>0.99158646099193282</v>
      </c>
      <c r="BS203">
        <f t="shared" si="71"/>
        <v>-0.46604563666620841</v>
      </c>
    </row>
    <row r="204" spans="1:71" ht="18" x14ac:dyDescent="0.25">
      <c r="A204" s="98">
        <f t="shared" si="58"/>
        <v>37316</v>
      </c>
      <c r="B204" s="324">
        <f t="array" ref="B204">SUM(IF(MONTH(NymexData!$AL$12:$AL$250)&amp;YEAR(NymexData!$AL$12:$AL$250)=MONTH(A204)&amp;YEAR(A204),NymexData!$AM$12:$AM$250))</f>
        <v>-23.044653570000001</v>
      </c>
      <c r="C204" s="324">
        <f t="shared" si="59"/>
        <v>0</v>
      </c>
      <c r="D204" s="326">
        <f t="shared" si="60"/>
        <v>-23.044653570000001</v>
      </c>
      <c r="E204" s="327">
        <f t="array" ref="E204">SUM(IF(MONTH(NymexData!$A$12:$A$250)&amp;YEAR(NymexData!$A$12:$A$250)=MONTH(A204)&amp;YEAR(A204),NymexData!$B$12:$B$250))</f>
        <v>-0.46</v>
      </c>
      <c r="F204" s="327">
        <f t="shared" si="61"/>
        <v>-3.999999999999998E-2</v>
      </c>
      <c r="G204" s="328">
        <f t="array" ref="G204">IF(NymexData!$H$12="",GasPosn!E204,SUM(IF(MONTH(NymexData!$H$12:$H$250)&amp;YEAR(NymexData!$H$12:$H$250)=MONTH(A204)&amp;YEAR(A204),NymexData!$I$12:$I$250)))</f>
        <v>-0.5</v>
      </c>
      <c r="H204" s="99">
        <f t="shared" si="62"/>
        <v>9217.8614279999965</v>
      </c>
      <c r="I204" s="92">
        <f t="shared" si="63"/>
        <v>0</v>
      </c>
      <c r="J204" s="92">
        <f t="shared" si="55"/>
        <v>9217.8614279999965</v>
      </c>
      <c r="M204" s="69"/>
      <c r="O204" s="47">
        <f t="shared" si="56"/>
        <v>37316</v>
      </c>
      <c r="BD204" s="48">
        <f t="shared" si="64"/>
        <v>0</v>
      </c>
      <c r="BE204" s="334">
        <f t="shared" si="65"/>
        <v>0</v>
      </c>
      <c r="BF204" s="50"/>
      <c r="BG204" s="51">
        <f t="shared" si="57"/>
        <v>37316</v>
      </c>
      <c r="BH204" s="335">
        <f t="shared" si="66"/>
        <v>0</v>
      </c>
      <c r="BI204" s="52">
        <f>VLOOKUP(GasPosn!A204,'Pricing Summary'!$AB$12:$AD$250,3)</f>
        <v>31</v>
      </c>
      <c r="BJ204" s="50">
        <f>VLOOKUP(A204,Interest!$AF$8:$AK$367,6)</f>
        <v>0.98978170501446594</v>
      </c>
      <c r="BK204" s="50"/>
      <c r="BL204">
        <f>J204*VLOOKUP(A204,NymexData!$J$12:$K$244,2)</f>
        <v>14510.104095244735</v>
      </c>
      <c r="BO204">
        <f t="shared" si="67"/>
        <v>0.98978170501446594</v>
      </c>
      <c r="BP204">
        <f t="shared" si="68"/>
        <v>-0.49489085250723297</v>
      </c>
      <c r="BQ204">
        <f t="shared" si="69"/>
        <v>1</v>
      </c>
      <c r="BR204">
        <f t="shared" si="70"/>
        <v>0.98978170501446594</v>
      </c>
      <c r="BS204">
        <f t="shared" si="71"/>
        <v>-0.49489085250723297</v>
      </c>
    </row>
    <row r="205" spans="1:71" ht="18" x14ac:dyDescent="0.25">
      <c r="A205" s="100">
        <f t="shared" si="58"/>
        <v>37347</v>
      </c>
      <c r="B205" s="329">
        <f t="array" ref="B205">SUM(IF(MONTH(NymexData!$AL$12:$AL$250)&amp;YEAR(NymexData!$AL$12:$AL$250)=MONTH(A205)&amp;YEAR(A205),NymexData!$AM$12:$AM$250))</f>
        <v>-66.775537630000002</v>
      </c>
      <c r="C205" s="330">
        <f t="shared" si="59"/>
        <v>0</v>
      </c>
      <c r="D205" s="331">
        <f t="shared" si="60"/>
        <v>-66.775537630000002</v>
      </c>
      <c r="E205" s="332">
        <f t="array" ref="E205">SUM(IF(MONTH(NymexData!$A$12:$A$250)&amp;YEAR(NymexData!$A$12:$A$250)=MONTH(A205)&amp;YEAR(A205),NymexData!$B$12:$B$250))</f>
        <v>-0.47499999999999998</v>
      </c>
      <c r="F205" s="332">
        <f t="shared" si="61"/>
        <v>-5.0000000000000044E-3</v>
      </c>
      <c r="G205" s="333">
        <f t="array" ref="G205">IF(NymexData!$H$12="",GasPosn!E205,SUM(IF(MONTH(NymexData!$H$12:$H$250)&amp;YEAR(NymexData!$H$12:$H$250)=MONTH(A205)&amp;YEAR(A205),NymexData!$I$12:$I$250)))</f>
        <v>-0.48</v>
      </c>
      <c r="H205" s="85">
        <f t="shared" si="62"/>
        <v>3338.7768815000031</v>
      </c>
      <c r="I205" s="88">
        <f t="shared" si="63"/>
        <v>0</v>
      </c>
      <c r="J205" s="88">
        <f t="shared" si="55"/>
        <v>3338.7768815000031</v>
      </c>
      <c r="M205" s="69"/>
      <c r="O205" s="47">
        <f t="shared" si="56"/>
        <v>37347</v>
      </c>
      <c r="BD205" s="48">
        <f t="shared" si="64"/>
        <v>0</v>
      </c>
      <c r="BE205" s="334">
        <f t="shared" si="65"/>
        <v>0</v>
      </c>
      <c r="BF205" s="50"/>
      <c r="BG205" s="51">
        <f t="shared" si="57"/>
        <v>37347</v>
      </c>
      <c r="BH205" s="335">
        <f t="shared" si="66"/>
        <v>0</v>
      </c>
      <c r="BI205" s="52">
        <f>VLOOKUP(GasPosn!A205,'Pricing Summary'!$AB$12:$AD$250,3)</f>
        <v>30</v>
      </c>
      <c r="BJ205" s="50">
        <f>VLOOKUP(A205,Interest!$AF$8:$AK$367,6)</f>
        <v>0.98802618088084315</v>
      </c>
      <c r="BK205" s="50"/>
      <c r="BL205">
        <f>J205*VLOOKUP(A205,NymexData!$J$12:$K$244,2)</f>
        <v>5256.7199359019141</v>
      </c>
      <c r="BO205">
        <f t="shared" si="67"/>
        <v>0.98802618088084315</v>
      </c>
      <c r="BP205">
        <f t="shared" si="68"/>
        <v>-0.4742525668228047</v>
      </c>
      <c r="BQ205">
        <f t="shared" si="69"/>
        <v>1</v>
      </c>
      <c r="BR205">
        <f t="shared" si="70"/>
        <v>0.98802618088084315</v>
      </c>
      <c r="BS205">
        <f t="shared" si="71"/>
        <v>-0.4742525668228047</v>
      </c>
    </row>
    <row r="206" spans="1:71" ht="18" x14ac:dyDescent="0.25">
      <c r="A206" s="98">
        <f t="shared" si="58"/>
        <v>37377</v>
      </c>
      <c r="B206" s="324">
        <f t="array" ref="B206">SUM(IF(MONTH(NymexData!$AL$12:$AL$250)&amp;YEAR(NymexData!$AL$12:$AL$250)=MONTH(A206)&amp;YEAR(A206),NymexData!$AM$12:$AM$250))</f>
        <v>-68.865652130000001</v>
      </c>
      <c r="C206" s="324">
        <f t="shared" si="59"/>
        <v>0</v>
      </c>
      <c r="D206" s="326">
        <f t="shared" si="60"/>
        <v>-68.865652130000001</v>
      </c>
      <c r="E206" s="327">
        <f t="array" ref="E206">SUM(IF(MONTH(NymexData!$A$12:$A$250)&amp;YEAR(NymexData!$A$12:$A$250)=MONTH(A206)&amp;YEAR(A206),NymexData!$B$12:$B$250))</f>
        <v>-0.47499999999999998</v>
      </c>
      <c r="F206" s="327">
        <f t="shared" si="61"/>
        <v>-5.0000000000000044E-3</v>
      </c>
      <c r="G206" s="328">
        <f t="array" ref="G206">IF(NymexData!$H$12="",GasPosn!E206,SUM(IF(MONTH(NymexData!$H$12:$H$250)&amp;YEAR(NymexData!$H$12:$H$250)=MONTH(A206)&amp;YEAR(A206),NymexData!$I$12:$I$250)))</f>
        <v>-0.48</v>
      </c>
      <c r="H206" s="99">
        <f t="shared" si="62"/>
        <v>3443.2826065000031</v>
      </c>
      <c r="I206" s="92">
        <f t="shared" si="63"/>
        <v>0</v>
      </c>
      <c r="J206" s="92">
        <f t="shared" si="55"/>
        <v>3443.2826065000031</v>
      </c>
      <c r="M206" s="69"/>
      <c r="O206" s="47">
        <f t="shared" si="56"/>
        <v>37377</v>
      </c>
      <c r="BD206" s="48">
        <f t="shared" si="64"/>
        <v>0</v>
      </c>
      <c r="BE206" s="334">
        <f t="shared" si="65"/>
        <v>0</v>
      </c>
      <c r="BF206" s="50"/>
      <c r="BG206" s="51">
        <f t="shared" si="57"/>
        <v>37377</v>
      </c>
      <c r="BH206" s="335">
        <f t="shared" si="66"/>
        <v>0</v>
      </c>
      <c r="BI206" s="52">
        <f>VLOOKUP(GasPosn!A206,'Pricing Summary'!$AB$12:$AD$250,3)</f>
        <v>31</v>
      </c>
      <c r="BJ206" s="50">
        <f>VLOOKUP(A206,Interest!$AF$8:$AK$367,6)</f>
        <v>0.98608528624425162</v>
      </c>
      <c r="BK206" s="50"/>
      <c r="BL206">
        <f>J206*VLOOKUP(A206,NymexData!$J$12:$K$244,2)</f>
        <v>5421.8006943239552</v>
      </c>
      <c r="BO206">
        <f t="shared" si="67"/>
        <v>0.98608528624425162</v>
      </c>
      <c r="BP206">
        <f t="shared" si="68"/>
        <v>-0.47332093739724074</v>
      </c>
      <c r="BQ206">
        <f t="shared" si="69"/>
        <v>1</v>
      </c>
      <c r="BR206">
        <f t="shared" si="70"/>
        <v>0.98608528624425162</v>
      </c>
      <c r="BS206">
        <f t="shared" si="71"/>
        <v>-0.47332093739724074</v>
      </c>
    </row>
    <row r="207" spans="1:71" ht="18" x14ac:dyDescent="0.25">
      <c r="A207" s="100">
        <f t="shared" si="58"/>
        <v>37408</v>
      </c>
      <c r="B207" s="329">
        <f t="array" ref="B207">SUM(IF(MONTH(NymexData!$AL$12:$AL$250)&amp;YEAR(NymexData!$AL$12:$AL$250)=MONTH(A207)&amp;YEAR(A207),NymexData!$AM$12:$AM$250))</f>
        <v>-66.51019848</v>
      </c>
      <c r="C207" s="330">
        <f t="shared" si="59"/>
        <v>0</v>
      </c>
      <c r="D207" s="331">
        <f t="shared" si="60"/>
        <v>-66.51019848</v>
      </c>
      <c r="E207" s="332">
        <f t="array" ref="E207">SUM(IF(MONTH(NymexData!$A$12:$A$250)&amp;YEAR(NymexData!$A$12:$A$250)=MONTH(A207)&amp;YEAR(A207),NymexData!$B$12:$B$250))</f>
        <v>-0.47499999999999998</v>
      </c>
      <c r="F207" s="332">
        <f t="shared" si="61"/>
        <v>-5.0000000000000044E-3</v>
      </c>
      <c r="G207" s="333">
        <f t="array" ref="G207">IF(NymexData!$H$12="",GasPosn!E207,SUM(IF(MONTH(NymexData!$H$12:$H$250)&amp;YEAR(NymexData!$H$12:$H$250)=MONTH(A207)&amp;YEAR(A207),NymexData!$I$12:$I$250)))</f>
        <v>-0.48</v>
      </c>
      <c r="H207" s="85">
        <f t="shared" si="62"/>
        <v>3325.5099240000027</v>
      </c>
      <c r="I207" s="88">
        <f t="shared" si="63"/>
        <v>0</v>
      </c>
      <c r="J207" s="88">
        <f t="shared" si="55"/>
        <v>3325.5099240000027</v>
      </c>
      <c r="M207" s="218"/>
      <c r="O207" s="47">
        <f t="shared" si="56"/>
        <v>37408</v>
      </c>
      <c r="BD207" s="48">
        <f t="shared" si="64"/>
        <v>0</v>
      </c>
      <c r="BE207" s="334">
        <f t="shared" si="65"/>
        <v>0</v>
      </c>
      <c r="BF207" s="50"/>
      <c r="BG207" s="51">
        <f t="shared" si="57"/>
        <v>37408</v>
      </c>
      <c r="BH207" s="335">
        <f t="shared" si="66"/>
        <v>0</v>
      </c>
      <c r="BI207" s="52">
        <f>VLOOKUP(GasPosn!A207,'Pricing Summary'!$AB$12:$AD$250,3)</f>
        <v>30</v>
      </c>
      <c r="BJ207" s="50">
        <f>VLOOKUP(A207,Interest!$AF$8:$AK$367,6)</f>
        <v>0.98420348641036393</v>
      </c>
      <c r="BK207" s="50"/>
      <c r="BL207">
        <f>J207*VLOOKUP(A207,NymexData!$J$12:$K$244,2)</f>
        <v>5236.7662879783711</v>
      </c>
      <c r="BO207">
        <f t="shared" si="67"/>
        <v>0.98420348641036393</v>
      </c>
      <c r="BP207">
        <f t="shared" si="68"/>
        <v>-0.47241767347697466</v>
      </c>
      <c r="BQ207">
        <f t="shared" si="69"/>
        <v>1</v>
      </c>
      <c r="BR207">
        <f t="shared" si="70"/>
        <v>0.98420348641036393</v>
      </c>
      <c r="BS207">
        <f t="shared" si="71"/>
        <v>-0.47241767347697466</v>
      </c>
    </row>
    <row r="208" spans="1:71" ht="18" x14ac:dyDescent="0.25">
      <c r="A208" s="98">
        <f t="shared" si="58"/>
        <v>37438</v>
      </c>
      <c r="B208" s="324">
        <f t="array" ref="B208">SUM(IF(MONTH(NymexData!$AL$12:$AL$250)&amp;YEAR(NymexData!$AL$12:$AL$250)=MONTH(A208)&amp;YEAR(A208),NymexData!$AM$12:$AM$250))</f>
        <v>-68.588731850000002</v>
      </c>
      <c r="C208" s="324">
        <f t="shared" si="59"/>
        <v>0</v>
      </c>
      <c r="D208" s="326">
        <f t="shared" si="60"/>
        <v>-68.588731850000002</v>
      </c>
      <c r="E208" s="327">
        <f t="array" ref="E208">SUM(IF(MONTH(NymexData!$A$12:$A$250)&amp;YEAR(NymexData!$A$12:$A$250)=MONTH(A208)&amp;YEAR(A208),NymexData!$B$12:$B$250))</f>
        <v>-0.47499999999999998</v>
      </c>
      <c r="F208" s="327">
        <f t="shared" si="61"/>
        <v>-5.0000000000000044E-3</v>
      </c>
      <c r="G208" s="328">
        <f t="array" ref="G208">IF(NymexData!$H$12="",GasPosn!E208,SUM(IF(MONTH(NymexData!$H$12:$H$250)&amp;YEAR(NymexData!$H$12:$H$250)=MONTH(A208)&amp;YEAR(A208),NymexData!$I$12:$I$250)))</f>
        <v>-0.48</v>
      </c>
      <c r="H208" s="99">
        <f t="shared" si="62"/>
        <v>3429.4365925000034</v>
      </c>
      <c r="I208" s="92">
        <f t="shared" si="63"/>
        <v>0</v>
      </c>
      <c r="J208" s="92">
        <f t="shared" si="55"/>
        <v>3429.4365925000034</v>
      </c>
      <c r="M208" s="69"/>
      <c r="O208" s="47">
        <f t="shared" si="56"/>
        <v>37438</v>
      </c>
      <c r="BD208" s="48">
        <f t="shared" si="64"/>
        <v>0</v>
      </c>
      <c r="BE208" s="334">
        <f t="shared" si="65"/>
        <v>0</v>
      </c>
      <c r="BF208" s="50"/>
      <c r="BG208" s="51">
        <f t="shared" si="57"/>
        <v>37438</v>
      </c>
      <c r="BH208" s="335">
        <f t="shared" si="66"/>
        <v>0</v>
      </c>
      <c r="BI208" s="52">
        <f>VLOOKUP(GasPosn!A208,'Pricing Summary'!$AB$12:$AD$250,3)</f>
        <v>31</v>
      </c>
      <c r="BJ208" s="50">
        <f>VLOOKUP(A208,Interest!$AF$8:$AK$367,6)</f>
        <v>0.98218225832978834</v>
      </c>
      <c r="BK208" s="50"/>
      <c r="BL208">
        <f>J208*VLOOKUP(A208,NymexData!$J$12:$K$244,2)</f>
        <v>5400.7790156132114</v>
      </c>
      <c r="BO208">
        <f t="shared" si="67"/>
        <v>0.98218225832978834</v>
      </c>
      <c r="BP208">
        <f t="shared" si="68"/>
        <v>-0.47144748399829839</v>
      </c>
      <c r="BQ208">
        <f t="shared" si="69"/>
        <v>1</v>
      </c>
      <c r="BR208">
        <f t="shared" si="70"/>
        <v>0.98218225832978834</v>
      </c>
      <c r="BS208">
        <f t="shared" si="71"/>
        <v>-0.47144748399829839</v>
      </c>
    </row>
    <row r="209" spans="1:71" ht="18" x14ac:dyDescent="0.25">
      <c r="A209" s="100">
        <f t="shared" si="58"/>
        <v>37469</v>
      </c>
      <c r="B209" s="329">
        <f t="array" ref="B209">SUM(IF(MONTH(NymexData!$AL$12:$AL$250)&amp;YEAR(NymexData!$AL$12:$AL$250)=MONTH(A209)&amp;YEAR(A209),NymexData!$AM$12:$AM$250))</f>
        <v>-68.437288510000002</v>
      </c>
      <c r="C209" s="330">
        <f t="shared" si="59"/>
        <v>0</v>
      </c>
      <c r="D209" s="331">
        <f t="shared" si="60"/>
        <v>-68.437288510000002</v>
      </c>
      <c r="E209" s="332">
        <f t="array" ref="E209">SUM(IF(MONTH(NymexData!$A$12:$A$250)&amp;YEAR(NymexData!$A$12:$A$250)=MONTH(A209)&amp;YEAR(A209),NymexData!$B$12:$B$250))</f>
        <v>-0.47499999999999998</v>
      </c>
      <c r="F209" s="332">
        <f t="shared" si="61"/>
        <v>-5.0000000000000044E-3</v>
      </c>
      <c r="G209" s="333">
        <f t="array" ref="G209">IF(NymexData!$H$12="",GasPosn!E209,SUM(IF(MONTH(NymexData!$H$12:$H$250)&amp;YEAR(NymexData!$H$12:$H$250)=MONTH(A209)&amp;YEAR(A209),NymexData!$I$12:$I$250)))</f>
        <v>-0.48</v>
      </c>
      <c r="H209" s="85">
        <f t="shared" si="62"/>
        <v>3421.8644255000036</v>
      </c>
      <c r="I209" s="88">
        <f t="shared" si="63"/>
        <v>0</v>
      </c>
      <c r="J209" s="88">
        <f t="shared" si="55"/>
        <v>3421.8644255000036</v>
      </c>
      <c r="M209" s="69"/>
      <c r="O209" s="47">
        <f t="shared" si="56"/>
        <v>37469</v>
      </c>
      <c r="BD209" s="48">
        <f t="shared" si="64"/>
        <v>0</v>
      </c>
      <c r="BE209" s="334">
        <f t="shared" si="65"/>
        <v>0</v>
      </c>
      <c r="BF209" s="50"/>
      <c r="BG209" s="51">
        <f t="shared" si="57"/>
        <v>37469</v>
      </c>
      <c r="BH209" s="335">
        <f t="shared" si="66"/>
        <v>0</v>
      </c>
      <c r="BI209" s="52">
        <f>VLOOKUP(GasPosn!A209,'Pricing Summary'!$AB$12:$AD$250,3)</f>
        <v>31</v>
      </c>
      <c r="BJ209" s="50">
        <f>VLOOKUP(A209,Interest!$AF$8:$AK$367,6)</f>
        <v>0.98000268640342925</v>
      </c>
      <c r="BK209" s="50"/>
      <c r="BL209">
        <f>J209*VLOOKUP(A209,NymexData!$J$12:$K$244,2)</f>
        <v>5389.0430508071149</v>
      </c>
      <c r="BO209">
        <f t="shared" si="67"/>
        <v>0.98000268640342925</v>
      </c>
      <c r="BP209">
        <f t="shared" si="68"/>
        <v>-0.47040128947364601</v>
      </c>
      <c r="BQ209">
        <f t="shared" si="69"/>
        <v>1</v>
      </c>
      <c r="BR209">
        <f t="shared" si="70"/>
        <v>0.98000268640342925</v>
      </c>
      <c r="BS209">
        <f t="shared" si="71"/>
        <v>-0.47040128947364601</v>
      </c>
    </row>
    <row r="210" spans="1:71" ht="18" x14ac:dyDescent="0.25">
      <c r="A210" s="98">
        <f t="shared" si="58"/>
        <v>37500</v>
      </c>
      <c r="B210" s="324">
        <f t="array" ref="B210">SUM(IF(MONTH(NymexData!$AL$12:$AL$250)&amp;YEAR(NymexData!$AL$12:$AL$250)=MONTH(A210)&amp;YEAR(A210),NymexData!$AM$12:$AM$250))</f>
        <v>-66.081525690000007</v>
      </c>
      <c r="C210" s="324">
        <f t="shared" si="59"/>
        <v>0</v>
      </c>
      <c r="D210" s="326">
        <f t="shared" si="60"/>
        <v>-66.081525690000007</v>
      </c>
      <c r="E210" s="327">
        <f t="array" ref="E210">SUM(IF(MONTH(NymexData!$A$12:$A$250)&amp;YEAR(NymexData!$A$12:$A$250)=MONTH(A210)&amp;YEAR(A210),NymexData!$B$12:$B$250))</f>
        <v>-0.47499999999999998</v>
      </c>
      <c r="F210" s="327">
        <f t="shared" si="61"/>
        <v>-5.0000000000000044E-3</v>
      </c>
      <c r="G210" s="328">
        <f t="array" ref="G210">IF(NymexData!$H$12="",GasPosn!E210,SUM(IF(MONTH(NymexData!$H$12:$H$250)&amp;YEAR(NymexData!$H$12:$H$250)=MONTH(A210)&amp;YEAR(A210),NymexData!$I$12:$I$250)))</f>
        <v>-0.48</v>
      </c>
      <c r="H210" s="99">
        <f t="shared" si="62"/>
        <v>3304.0762845000031</v>
      </c>
      <c r="I210" s="92">
        <f t="shared" si="63"/>
        <v>0</v>
      </c>
      <c r="J210" s="92">
        <f t="shared" si="55"/>
        <v>3304.0762845000031</v>
      </c>
      <c r="M210" s="69"/>
      <c r="O210" s="47">
        <f t="shared" si="56"/>
        <v>37500</v>
      </c>
      <c r="BD210" s="48">
        <f t="shared" si="64"/>
        <v>0</v>
      </c>
      <c r="BE210" s="334">
        <f t="shared" si="65"/>
        <v>0</v>
      </c>
      <c r="BF210" s="50"/>
      <c r="BG210" s="51">
        <f t="shared" si="57"/>
        <v>37500</v>
      </c>
      <c r="BH210" s="335">
        <f t="shared" si="66"/>
        <v>0</v>
      </c>
      <c r="BI210" s="52">
        <f>VLOOKUP(GasPosn!A210,'Pricing Summary'!$AB$12:$AD$250,3)</f>
        <v>30</v>
      </c>
      <c r="BJ210" s="50">
        <f>VLOOKUP(A210,Interest!$AF$8:$AK$367,6)</f>
        <v>0.97784162654764262</v>
      </c>
      <c r="BK210" s="50"/>
      <c r="BL210">
        <f>J210*VLOOKUP(A210,NymexData!$J$12:$K$244,2)</f>
        <v>5203.5964268339121</v>
      </c>
      <c r="BO210">
        <f t="shared" si="67"/>
        <v>0.97784162654764262</v>
      </c>
      <c r="BP210">
        <f t="shared" si="68"/>
        <v>-0.46936398074286845</v>
      </c>
      <c r="BQ210">
        <f t="shared" si="69"/>
        <v>1</v>
      </c>
      <c r="BR210">
        <f t="shared" si="70"/>
        <v>0.97784162654764262</v>
      </c>
      <c r="BS210">
        <f t="shared" si="71"/>
        <v>-0.46936398074286845</v>
      </c>
    </row>
    <row r="211" spans="1:71" ht="18" x14ac:dyDescent="0.25">
      <c r="A211" s="100">
        <f t="shared" si="58"/>
        <v>37530</v>
      </c>
      <c r="B211" s="329">
        <f t="array" ref="B211">SUM(IF(MONTH(NymexData!$AL$12:$AL$250)&amp;YEAR(NymexData!$AL$12:$AL$250)=MONTH(A211)&amp;YEAR(A211),NymexData!$AM$12:$AM$250))</f>
        <v>-68.12764516</v>
      </c>
      <c r="C211" s="330">
        <f t="shared" si="59"/>
        <v>0</v>
      </c>
      <c r="D211" s="331">
        <f t="shared" si="60"/>
        <v>-68.12764516</v>
      </c>
      <c r="E211" s="332">
        <f t="array" ref="E211">SUM(IF(MONTH(NymexData!$A$12:$A$250)&amp;YEAR(NymexData!$A$12:$A$250)=MONTH(A211)&amp;YEAR(A211),NymexData!$B$12:$B$250))</f>
        <v>-0.47499999999999998</v>
      </c>
      <c r="F211" s="332">
        <f t="shared" si="61"/>
        <v>-5.0000000000000044E-3</v>
      </c>
      <c r="G211" s="333">
        <f t="array" ref="G211">IF(NymexData!$H$12="",GasPosn!E211,SUM(IF(MONTH(NymexData!$H$12:$H$250)&amp;YEAR(NymexData!$H$12:$H$250)=MONTH(A211)&amp;YEAR(A211),NymexData!$I$12:$I$250)))</f>
        <v>-0.48</v>
      </c>
      <c r="H211" s="85">
        <f t="shared" si="62"/>
        <v>3406.3822580000033</v>
      </c>
      <c r="I211" s="88">
        <f t="shared" si="63"/>
        <v>0</v>
      </c>
      <c r="J211" s="88">
        <f t="shared" si="55"/>
        <v>3406.3822580000033</v>
      </c>
      <c r="M211" s="69"/>
      <c r="O211" s="47">
        <f t="shared" si="56"/>
        <v>37530</v>
      </c>
      <c r="BD211" s="48">
        <f t="shared" si="64"/>
        <v>0</v>
      </c>
      <c r="BE211" s="334">
        <f t="shared" si="65"/>
        <v>0</v>
      </c>
      <c r="BF211" s="50"/>
      <c r="BG211" s="51">
        <f t="shared" si="57"/>
        <v>37530</v>
      </c>
      <c r="BH211" s="335">
        <f t="shared" si="66"/>
        <v>0</v>
      </c>
      <c r="BI211" s="52">
        <f>VLOOKUP(GasPosn!A211,'Pricing Summary'!$AB$12:$AD$250,3)</f>
        <v>31</v>
      </c>
      <c r="BJ211" s="50">
        <f>VLOOKUP(A211,Interest!$AF$8:$AK$367,6)</f>
        <v>0.97550485790537467</v>
      </c>
      <c r="BK211" s="50"/>
      <c r="BL211">
        <f>J211*VLOOKUP(A211,NymexData!$J$12:$K$244,2)</f>
        <v>5364.8329328907394</v>
      </c>
      <c r="BO211">
        <f t="shared" si="67"/>
        <v>0.97550485790537467</v>
      </c>
      <c r="BP211">
        <f t="shared" si="68"/>
        <v>-0.4682423317945798</v>
      </c>
      <c r="BQ211">
        <f t="shared" si="69"/>
        <v>1</v>
      </c>
      <c r="BR211">
        <f t="shared" si="70"/>
        <v>0.97550485790537467</v>
      </c>
      <c r="BS211">
        <f t="shared" si="71"/>
        <v>-0.4682423317945798</v>
      </c>
    </row>
    <row r="212" spans="1:71" ht="18" x14ac:dyDescent="0.25">
      <c r="A212" s="98">
        <f t="shared" si="58"/>
        <v>37561</v>
      </c>
      <c r="B212" s="324">
        <f t="array" ref="B212">SUM(IF(MONTH(NymexData!$AL$12:$AL$250)&amp;YEAR(NymexData!$AL$12:$AL$250)=MONTH(A212)&amp;YEAR(A212),NymexData!$AM$12:$AM$250))</f>
        <v>-211.90206226999999</v>
      </c>
      <c r="C212" s="324">
        <f t="shared" si="59"/>
        <v>0</v>
      </c>
      <c r="D212" s="326">
        <f t="shared" si="60"/>
        <v>-211.90206226999999</v>
      </c>
      <c r="E212" s="327">
        <f t="array" ref="E212">SUM(IF(MONTH(NymexData!$A$12:$A$250)&amp;YEAR(NymexData!$A$12:$A$250)=MONTH(A212)&amp;YEAR(A212),NymexData!$B$12:$B$250))</f>
        <v>-0.4</v>
      </c>
      <c r="F212" s="327">
        <f t="shared" si="61"/>
        <v>-5.0000000000000044E-3</v>
      </c>
      <c r="G212" s="328">
        <f t="array" ref="G212">IF(NymexData!$H$12="",GasPosn!E212,SUM(IF(MONTH(NymexData!$H$12:$H$250)&amp;YEAR(NymexData!$H$12:$H$250)=MONTH(A212)&amp;YEAR(A212),NymexData!$I$12:$I$250)))</f>
        <v>-0.40500000000000003</v>
      </c>
      <c r="H212" s="99">
        <f t="shared" si="62"/>
        <v>10595.103113500008</v>
      </c>
      <c r="I212" s="92">
        <f t="shared" si="63"/>
        <v>0</v>
      </c>
      <c r="J212" s="92">
        <f t="shared" si="55"/>
        <v>10595.103113500008</v>
      </c>
      <c r="M212" s="69"/>
      <c r="O212" s="47">
        <f t="shared" si="56"/>
        <v>37561</v>
      </c>
      <c r="BD212" s="48">
        <f t="shared" si="64"/>
        <v>0</v>
      </c>
      <c r="BE212" s="334">
        <f t="shared" si="65"/>
        <v>0</v>
      </c>
      <c r="BF212" s="50"/>
      <c r="BG212" s="51">
        <f t="shared" si="57"/>
        <v>37561</v>
      </c>
      <c r="BH212" s="335">
        <f t="shared" si="66"/>
        <v>0</v>
      </c>
      <c r="BI212" s="52">
        <f>VLOOKUP(GasPosn!A212,'Pricing Summary'!$AB$12:$AD$250,3)</f>
        <v>30</v>
      </c>
      <c r="BJ212" s="50">
        <f>VLOOKUP(A212,Interest!$AF$8:$AK$367,6)</f>
        <v>0.97304565051539404</v>
      </c>
      <c r="BK212" s="50"/>
      <c r="BL212">
        <f>J212*VLOOKUP(A212,NymexData!$J$12:$K$244,2)</f>
        <v>16686.949193292654</v>
      </c>
      <c r="BO212">
        <f t="shared" si="67"/>
        <v>0.97304565051539404</v>
      </c>
      <c r="BP212">
        <f t="shared" si="68"/>
        <v>-0.39408348845873459</v>
      </c>
      <c r="BQ212">
        <f t="shared" si="69"/>
        <v>1</v>
      </c>
      <c r="BR212">
        <f t="shared" si="70"/>
        <v>0.97304565051539404</v>
      </c>
      <c r="BS212">
        <f t="shared" si="71"/>
        <v>-0.39408348845873459</v>
      </c>
    </row>
    <row r="213" spans="1:71" ht="18" x14ac:dyDescent="0.25">
      <c r="A213" s="100">
        <f t="shared" si="58"/>
        <v>37591</v>
      </c>
      <c r="B213" s="329">
        <f t="array" ref="B213">SUM(IF(MONTH(NymexData!$AL$12:$AL$250)&amp;YEAR(NymexData!$AL$12:$AL$250)=MONTH(A213)&amp;YEAR(A213),NymexData!$AM$12:$AM$250))</f>
        <v>-218.41377406000001</v>
      </c>
      <c r="C213" s="330">
        <f t="shared" si="59"/>
        <v>0</v>
      </c>
      <c r="D213" s="331">
        <f t="shared" si="60"/>
        <v>-218.41377406000001</v>
      </c>
      <c r="E213" s="332">
        <f t="array" ref="E213">SUM(IF(MONTH(NymexData!$A$12:$A$250)&amp;YEAR(NymexData!$A$12:$A$250)=MONTH(A213)&amp;YEAR(A213),NymexData!$B$12:$B$250))</f>
        <v>-0.4</v>
      </c>
      <c r="F213" s="332">
        <f t="shared" si="61"/>
        <v>-5.0000000000000044E-3</v>
      </c>
      <c r="G213" s="333">
        <f t="array" ref="G213">IF(NymexData!$H$12="",GasPosn!E213,SUM(IF(MONTH(NymexData!$H$12:$H$250)&amp;YEAR(NymexData!$H$12:$H$250)=MONTH(A213)&amp;YEAR(A213),NymexData!$I$12:$I$250)))</f>
        <v>-0.40500000000000003</v>
      </c>
      <c r="H213" s="85">
        <f t="shared" si="62"/>
        <v>10920.688703000011</v>
      </c>
      <c r="I213" s="88">
        <f t="shared" si="63"/>
        <v>0</v>
      </c>
      <c r="J213" s="88">
        <f t="shared" si="55"/>
        <v>10920.688703000011</v>
      </c>
      <c r="M213" s="69"/>
      <c r="O213" s="47">
        <f t="shared" si="56"/>
        <v>37591</v>
      </c>
      <c r="BD213" s="48">
        <f t="shared" si="64"/>
        <v>0</v>
      </c>
      <c r="BE213" s="334">
        <f t="shared" si="65"/>
        <v>0</v>
      </c>
      <c r="BF213" s="50"/>
      <c r="BG213" s="51">
        <f t="shared" si="57"/>
        <v>37591</v>
      </c>
      <c r="BH213" s="335">
        <f t="shared" si="66"/>
        <v>0</v>
      </c>
      <c r="BI213" s="52">
        <f>VLOOKUP(GasPosn!A213,'Pricing Summary'!$AB$12:$AD$250,3)</f>
        <v>31</v>
      </c>
      <c r="BJ213" s="50">
        <f>VLOOKUP(A213,Interest!$AF$8:$AK$367,6)</f>
        <v>0.97046630649709131</v>
      </c>
      <c r="BK213" s="50"/>
      <c r="BL213">
        <f>J213*VLOOKUP(A213,NymexData!$J$12:$K$244,2)</f>
        <v>17199.830241853138</v>
      </c>
      <c r="BO213">
        <f t="shared" si="67"/>
        <v>0.97046630649709131</v>
      </c>
      <c r="BP213">
        <f t="shared" si="68"/>
        <v>-0.393038854131322</v>
      </c>
      <c r="BQ213">
        <f t="shared" si="69"/>
        <v>1</v>
      </c>
      <c r="BR213">
        <f t="shared" si="70"/>
        <v>0.97046630649709131</v>
      </c>
      <c r="BS213">
        <f t="shared" si="71"/>
        <v>-0.393038854131322</v>
      </c>
    </row>
    <row r="214" spans="1:71" ht="18" x14ac:dyDescent="0.25">
      <c r="A214" s="98">
        <f t="shared" si="58"/>
        <v>37622</v>
      </c>
      <c r="B214" s="324">
        <f t="array" ref="B214">SUM(IF(MONTH(NymexData!$AL$12:$AL$250)&amp;YEAR(NymexData!$AL$12:$AL$250)=MONTH(A214)&amp;YEAR(A214),NymexData!$AM$12:$AM$250))</f>
        <v>-405.56912731</v>
      </c>
      <c r="C214" s="324">
        <f t="shared" si="59"/>
        <v>0</v>
      </c>
      <c r="D214" s="326">
        <f t="shared" si="60"/>
        <v>-405.56912731</v>
      </c>
      <c r="E214" s="327">
        <f t="array" ref="E214">SUM(IF(MONTH(NymexData!$A$12:$A$250)&amp;YEAR(NymexData!$A$12:$A$250)=MONTH(A214)&amp;YEAR(A214),NymexData!$B$12:$B$250))</f>
        <v>-0.4</v>
      </c>
      <c r="F214" s="327">
        <f t="shared" si="61"/>
        <v>-5.0000000000000044E-3</v>
      </c>
      <c r="G214" s="328">
        <f t="array" ref="G214">IF(NymexData!$H$12="",GasPosn!E214,SUM(IF(MONTH(NymexData!$H$12:$H$250)&amp;YEAR(NymexData!$H$12:$H$250)=MONTH(A214)&amp;YEAR(A214),NymexData!$I$12:$I$250)))</f>
        <v>-0.40500000000000003</v>
      </c>
      <c r="H214" s="99">
        <f t="shared" si="62"/>
        <v>20278.456365500017</v>
      </c>
      <c r="I214" s="92">
        <f t="shared" si="63"/>
        <v>0</v>
      </c>
      <c r="J214" s="92">
        <f t="shared" si="55"/>
        <v>20278.456365500017</v>
      </c>
      <c r="M214" s="69"/>
      <c r="O214" s="47">
        <f t="shared" si="56"/>
        <v>37622</v>
      </c>
      <c r="BD214" s="48">
        <f t="shared" si="64"/>
        <v>0</v>
      </c>
      <c r="BE214" s="334">
        <f t="shared" si="65"/>
        <v>0</v>
      </c>
      <c r="BF214" s="50"/>
      <c r="BG214" s="51">
        <f t="shared" si="57"/>
        <v>37622</v>
      </c>
      <c r="BH214" s="335">
        <f t="shared" si="66"/>
        <v>0</v>
      </c>
      <c r="BI214" s="52">
        <f>VLOOKUP(GasPosn!A214,'Pricing Summary'!$AB$12:$AD$250,3)</f>
        <v>31</v>
      </c>
      <c r="BJ214" s="50">
        <f>VLOOKUP(A214,Interest!$AF$8:$AK$367,6)</f>
        <v>0.96772356951013916</v>
      </c>
      <c r="BK214" s="50"/>
      <c r="BL214">
        <f>J214*VLOOKUP(A214,NymexData!$J$12:$K$244,2)</f>
        <v>31939.48685967569</v>
      </c>
      <c r="BO214">
        <f t="shared" si="67"/>
        <v>0.96772356951013916</v>
      </c>
      <c r="BP214">
        <f t="shared" si="68"/>
        <v>-0.39192804565160638</v>
      </c>
      <c r="BQ214">
        <f t="shared" si="69"/>
        <v>0</v>
      </c>
      <c r="BR214">
        <f t="shared" si="70"/>
        <v>0</v>
      </c>
      <c r="BS214">
        <f t="shared" si="71"/>
        <v>0</v>
      </c>
    </row>
    <row r="215" spans="1:71" ht="18" x14ac:dyDescent="0.25">
      <c r="A215" s="100">
        <f t="shared" si="58"/>
        <v>37653</v>
      </c>
      <c r="B215" s="329">
        <f t="array" ref="B215">SUM(IF(MONTH(NymexData!$AL$12:$AL$250)&amp;YEAR(NymexData!$AL$12:$AL$250)=MONTH(A215)&amp;YEAR(A215),NymexData!$AM$12:$AM$250))</f>
        <v>-365.22775340999999</v>
      </c>
      <c r="C215" s="330">
        <f t="shared" si="59"/>
        <v>0</v>
      </c>
      <c r="D215" s="331">
        <f t="shared" si="60"/>
        <v>-365.22775340999999</v>
      </c>
      <c r="E215" s="332">
        <f t="array" ref="E215">SUM(IF(MONTH(NymexData!$A$12:$A$250)&amp;YEAR(NymexData!$A$12:$A$250)=MONTH(A215)&amp;YEAR(A215),NymexData!$B$12:$B$250))</f>
        <v>-0.4</v>
      </c>
      <c r="F215" s="332">
        <f t="shared" si="61"/>
        <v>-5.0000000000000044E-3</v>
      </c>
      <c r="G215" s="333">
        <f t="array" ref="G215">IF(NymexData!$H$12="",GasPosn!E215,SUM(IF(MONTH(NymexData!$H$12:$H$250)&amp;YEAR(NymexData!$H$12:$H$250)=MONTH(A215)&amp;YEAR(A215),NymexData!$I$12:$I$250)))</f>
        <v>-0.40500000000000003</v>
      </c>
      <c r="H215" s="85">
        <f t="shared" si="62"/>
        <v>18261.387670500015</v>
      </c>
      <c r="I215" s="88">
        <f t="shared" si="63"/>
        <v>0</v>
      </c>
      <c r="J215" s="88">
        <f t="shared" si="55"/>
        <v>18261.387670500015</v>
      </c>
      <c r="M215" s="69"/>
      <c r="O215" s="47">
        <f t="shared" si="56"/>
        <v>37653</v>
      </c>
      <c r="BD215" s="48">
        <f t="shared" si="64"/>
        <v>0</v>
      </c>
      <c r="BE215" s="334">
        <f t="shared" si="65"/>
        <v>0</v>
      </c>
      <c r="BF215" s="50"/>
      <c r="BG215" s="51">
        <f t="shared" si="57"/>
        <v>37653</v>
      </c>
      <c r="BH215" s="335">
        <f t="shared" si="66"/>
        <v>0</v>
      </c>
      <c r="BI215" s="52">
        <f>VLOOKUP(GasPosn!A215,'Pricing Summary'!$AB$12:$AD$250,3)</f>
        <v>28</v>
      </c>
      <c r="BJ215" s="50">
        <f>VLOOKUP(A215,Interest!$AF$8:$AK$367,6)</f>
        <v>0.96501279473153012</v>
      </c>
      <c r="BK215" s="50"/>
      <c r="BL215">
        <f>J215*VLOOKUP(A215,NymexData!$J$12:$K$244,2)</f>
        <v>28764.415091611114</v>
      </c>
      <c r="BO215">
        <f t="shared" si="67"/>
        <v>0.96501279473153012</v>
      </c>
      <c r="BP215">
        <f t="shared" si="68"/>
        <v>-0.39083018186626972</v>
      </c>
      <c r="BQ215">
        <f t="shared" si="69"/>
        <v>0</v>
      </c>
      <c r="BR215">
        <f t="shared" si="70"/>
        <v>0</v>
      </c>
      <c r="BS215">
        <f t="shared" si="71"/>
        <v>0</v>
      </c>
    </row>
    <row r="216" spans="1:71" ht="18" x14ac:dyDescent="0.25">
      <c r="A216" s="98">
        <f t="shared" si="58"/>
        <v>37681</v>
      </c>
      <c r="B216" s="324">
        <f t="array" ref="B216">SUM(IF(MONTH(NymexData!$AL$12:$AL$250)&amp;YEAR(NymexData!$AL$12:$AL$250)=MONTH(A216)&amp;YEAR(A216),NymexData!$AM$12:$AM$250))</f>
        <v>-403.23527187000002</v>
      </c>
      <c r="C216" s="324">
        <f t="shared" si="59"/>
        <v>0</v>
      </c>
      <c r="D216" s="326">
        <f t="shared" si="60"/>
        <v>-403.23527187000002</v>
      </c>
      <c r="E216" s="327">
        <f t="array" ref="E216">SUM(IF(MONTH(NymexData!$A$12:$A$250)&amp;YEAR(NymexData!$A$12:$A$250)=MONTH(A216)&amp;YEAR(A216),NymexData!$B$12:$B$250))</f>
        <v>-0.4</v>
      </c>
      <c r="F216" s="327">
        <f t="shared" si="61"/>
        <v>-5.0000000000000044E-3</v>
      </c>
      <c r="G216" s="328">
        <f t="array" ref="G216">IF(NymexData!$H$12="",GasPosn!E216,SUM(IF(MONTH(NymexData!$H$12:$H$250)&amp;YEAR(NymexData!$H$12:$H$250)=MONTH(A216)&amp;YEAR(A216),NymexData!$I$12:$I$250)))</f>
        <v>-0.40500000000000003</v>
      </c>
      <c r="H216" s="99">
        <f t="shared" si="62"/>
        <v>20161.763593500018</v>
      </c>
      <c r="I216" s="92">
        <f t="shared" si="63"/>
        <v>0</v>
      </c>
      <c r="J216" s="92">
        <f t="shared" si="55"/>
        <v>20161.763593500018</v>
      </c>
      <c r="M216" s="69"/>
      <c r="O216" s="47">
        <f t="shared" si="56"/>
        <v>37681</v>
      </c>
      <c r="BD216" s="48">
        <f t="shared" si="64"/>
        <v>0</v>
      </c>
      <c r="BE216" s="334">
        <f t="shared" si="65"/>
        <v>0</v>
      </c>
      <c r="BF216" s="50"/>
      <c r="BG216" s="51">
        <f t="shared" si="57"/>
        <v>37681</v>
      </c>
      <c r="BH216" s="335">
        <f t="shared" si="66"/>
        <v>0</v>
      </c>
      <c r="BI216" s="52">
        <f>VLOOKUP(GasPosn!A216,'Pricing Summary'!$AB$12:$AD$250,3)</f>
        <v>31</v>
      </c>
      <c r="BJ216" s="50">
        <f>VLOOKUP(A216,Interest!$AF$8:$AK$367,6)</f>
        <v>0.96208950794295822</v>
      </c>
      <c r="BK216" s="50"/>
      <c r="BL216">
        <f>J216*VLOOKUP(A216,NymexData!$J$12:$K$244,2)</f>
        <v>31759.591208417161</v>
      </c>
      <c r="BO216">
        <f t="shared" si="67"/>
        <v>0.96208950794295822</v>
      </c>
      <c r="BP216">
        <f t="shared" si="68"/>
        <v>-0.38964625071689812</v>
      </c>
      <c r="BQ216">
        <f t="shared" si="69"/>
        <v>0</v>
      </c>
      <c r="BR216">
        <f t="shared" si="70"/>
        <v>0</v>
      </c>
      <c r="BS216">
        <f t="shared" si="71"/>
        <v>0</v>
      </c>
    </row>
    <row r="217" spans="1:71" ht="18" x14ac:dyDescent="0.25">
      <c r="A217" s="100">
        <f t="shared" si="58"/>
        <v>37712</v>
      </c>
      <c r="B217" s="329">
        <f t="array" ref="B217">SUM(IF(MONTH(NymexData!$AL$12:$AL$250)&amp;YEAR(NymexData!$AL$12:$AL$250)=MONTH(A217)&amp;YEAR(A217),NymexData!$AM$12:$AM$250))</f>
        <v>-345.76905885000002</v>
      </c>
      <c r="C217" s="330">
        <f t="shared" si="59"/>
        <v>0</v>
      </c>
      <c r="D217" s="331">
        <f t="shared" si="60"/>
        <v>-345.76905885000002</v>
      </c>
      <c r="E217" s="332">
        <f t="array" ref="E217">SUM(IF(MONTH(NymexData!$A$12:$A$250)&amp;YEAR(NymexData!$A$12:$A$250)=MONTH(A217)&amp;YEAR(A217),NymexData!$B$12:$B$250))</f>
        <v>-0.41499999999999998</v>
      </c>
      <c r="F217" s="332">
        <f t="shared" si="61"/>
        <v>-5.0000000000000044E-3</v>
      </c>
      <c r="G217" s="333">
        <f t="array" ref="G217">IF(NymexData!$H$12="",GasPosn!E217,SUM(IF(MONTH(NymexData!$H$12:$H$250)&amp;YEAR(NymexData!$H$12:$H$250)=MONTH(A217)&amp;YEAR(A217),NymexData!$I$12:$I$250)))</f>
        <v>-0.42</v>
      </c>
      <c r="H217" s="85">
        <f t="shared" si="62"/>
        <v>17288.452942500015</v>
      </c>
      <c r="I217" s="88">
        <f t="shared" si="63"/>
        <v>0</v>
      </c>
      <c r="J217" s="88">
        <f t="shared" si="55"/>
        <v>17288.452942500015</v>
      </c>
      <c r="M217" s="69"/>
      <c r="O217" s="47">
        <f t="shared" si="56"/>
        <v>37712</v>
      </c>
      <c r="BD217" s="48">
        <f t="shared" si="64"/>
        <v>0</v>
      </c>
      <c r="BE217" s="334">
        <f t="shared" si="65"/>
        <v>0</v>
      </c>
      <c r="BF217" s="50"/>
      <c r="BG217" s="51">
        <f t="shared" si="57"/>
        <v>37712</v>
      </c>
      <c r="BH217" s="335">
        <f t="shared" si="66"/>
        <v>0</v>
      </c>
      <c r="BI217" s="52">
        <f>VLOOKUP(GasPosn!A217,'Pricing Summary'!$AB$12:$AD$250,3)</f>
        <v>30</v>
      </c>
      <c r="BJ217" s="50">
        <f>VLOOKUP(A217,Interest!$AF$8:$AK$367,6)</f>
        <v>0.95906548922359669</v>
      </c>
      <c r="BK217" s="50"/>
      <c r="BL217">
        <f>J217*VLOOKUP(A217,NymexData!$J$12:$K$244,2)</f>
        <v>27234.816184455314</v>
      </c>
      <c r="BO217">
        <f t="shared" si="67"/>
        <v>0.95906548922359669</v>
      </c>
      <c r="BP217">
        <f t="shared" si="68"/>
        <v>-0.40280750547391059</v>
      </c>
      <c r="BQ217">
        <f t="shared" si="69"/>
        <v>0</v>
      </c>
      <c r="BR217">
        <f t="shared" si="70"/>
        <v>0</v>
      </c>
      <c r="BS217">
        <f t="shared" si="71"/>
        <v>0</v>
      </c>
    </row>
    <row r="218" spans="1:71" ht="18" x14ac:dyDescent="0.25">
      <c r="A218" s="98">
        <f t="shared" si="58"/>
        <v>37742</v>
      </c>
      <c r="B218" s="324">
        <f t="array" ref="B218">SUM(IF(MONTH(NymexData!$AL$12:$AL$250)&amp;YEAR(NymexData!$AL$12:$AL$250)=MONTH(A218)&amp;YEAR(A218),NymexData!$AM$12:$AM$250))</f>
        <v>-356.16452328000003</v>
      </c>
      <c r="C218" s="324">
        <f t="shared" si="59"/>
        <v>0</v>
      </c>
      <c r="D218" s="326">
        <f t="shared" si="60"/>
        <v>-356.16452328000003</v>
      </c>
      <c r="E218" s="327">
        <f t="array" ref="E218">SUM(IF(MONTH(NymexData!$A$12:$A$250)&amp;YEAR(NymexData!$A$12:$A$250)=MONTH(A218)&amp;YEAR(A218),NymexData!$B$12:$B$250))</f>
        <v>-0.41499999999999998</v>
      </c>
      <c r="F218" s="327">
        <f t="shared" si="61"/>
        <v>-5.0000000000000044E-3</v>
      </c>
      <c r="G218" s="328">
        <f t="array" ref="G218">IF(NymexData!$H$12="",GasPosn!E218,SUM(IF(MONTH(NymexData!$H$12:$H$250)&amp;YEAR(NymexData!$H$12:$H$250)=MONTH(A218)&amp;YEAR(A218),NymexData!$I$12:$I$250)))</f>
        <v>-0.42</v>
      </c>
      <c r="H218" s="99">
        <f t="shared" si="62"/>
        <v>17808.226164000018</v>
      </c>
      <c r="I218" s="92">
        <f t="shared" si="63"/>
        <v>0</v>
      </c>
      <c r="J218" s="92">
        <f t="shared" si="55"/>
        <v>17808.226164000018</v>
      </c>
      <c r="M218" s="69"/>
      <c r="O218" s="47">
        <f t="shared" si="56"/>
        <v>37742</v>
      </c>
      <c r="BD218" s="48">
        <f t="shared" si="64"/>
        <v>0</v>
      </c>
      <c r="BE218" s="334">
        <f t="shared" si="65"/>
        <v>0</v>
      </c>
      <c r="BF218" s="50"/>
      <c r="BG218" s="51">
        <f t="shared" si="57"/>
        <v>37742</v>
      </c>
      <c r="BH218" s="335">
        <f t="shared" si="66"/>
        <v>0</v>
      </c>
      <c r="BI218" s="52">
        <f>VLOOKUP(GasPosn!A218,'Pricing Summary'!$AB$12:$AD$250,3)</f>
        <v>31</v>
      </c>
      <c r="BJ218" s="50">
        <f>VLOOKUP(A218,Interest!$AF$8:$AK$367,6)</f>
        <v>0.95592074117655512</v>
      </c>
      <c r="BK218" s="50"/>
      <c r="BL218">
        <f>J218*VLOOKUP(A218,NymexData!$J$12:$K$244,2)</f>
        <v>28054.908726350757</v>
      </c>
      <c r="BO218">
        <f t="shared" si="67"/>
        <v>0.95592074117655512</v>
      </c>
      <c r="BP218">
        <f t="shared" si="68"/>
        <v>-0.40148671129415314</v>
      </c>
      <c r="BQ218">
        <f t="shared" si="69"/>
        <v>0</v>
      </c>
      <c r="BR218">
        <f t="shared" si="70"/>
        <v>0</v>
      </c>
      <c r="BS218">
        <f t="shared" si="71"/>
        <v>0</v>
      </c>
    </row>
    <row r="219" spans="1:71" ht="18" x14ac:dyDescent="0.25">
      <c r="A219" s="100">
        <f t="shared" si="58"/>
        <v>37773</v>
      </c>
      <c r="B219" s="329">
        <f t="array" ref="B219">SUM(IF(MONTH(NymexData!$AL$12:$AL$250)&amp;YEAR(NymexData!$AL$12:$AL$250)=MONTH(A219)&amp;YEAR(A219),NymexData!$AM$12:$AM$250))</f>
        <v>-343.51532545999999</v>
      </c>
      <c r="C219" s="330">
        <f t="shared" si="59"/>
        <v>0</v>
      </c>
      <c r="D219" s="331">
        <f t="shared" si="60"/>
        <v>-343.51532545999999</v>
      </c>
      <c r="E219" s="332">
        <f t="array" ref="E219">SUM(IF(MONTH(NymexData!$A$12:$A$250)&amp;YEAR(NymexData!$A$12:$A$250)=MONTH(A219)&amp;YEAR(A219),NymexData!$B$12:$B$250))</f>
        <v>-0.41499999999999998</v>
      </c>
      <c r="F219" s="332">
        <f t="shared" si="61"/>
        <v>-5.0000000000000044E-3</v>
      </c>
      <c r="G219" s="333">
        <f t="array" ref="G219">IF(NymexData!$H$12="",GasPosn!E219,SUM(IF(MONTH(NymexData!$H$12:$H$250)&amp;YEAR(NymexData!$H$12:$H$250)=MONTH(A219)&amp;YEAR(A219),NymexData!$I$12:$I$250)))</f>
        <v>-0.42</v>
      </c>
      <c r="H219" s="85">
        <f t="shared" si="62"/>
        <v>17175.766273000012</v>
      </c>
      <c r="I219" s="88">
        <f t="shared" si="63"/>
        <v>0</v>
      </c>
      <c r="J219" s="88">
        <f t="shared" si="55"/>
        <v>17175.766273000012</v>
      </c>
      <c r="M219" s="69"/>
      <c r="O219" s="47">
        <f t="shared" si="56"/>
        <v>37773</v>
      </c>
      <c r="BD219" s="48">
        <f t="shared" si="64"/>
        <v>0</v>
      </c>
      <c r="BE219" s="334">
        <f t="shared" si="65"/>
        <v>0</v>
      </c>
      <c r="BF219" s="50"/>
      <c r="BG219" s="51">
        <f t="shared" si="57"/>
        <v>37773</v>
      </c>
      <c r="BH219" s="335">
        <f t="shared" si="66"/>
        <v>0</v>
      </c>
      <c r="BI219" s="52">
        <f>VLOOKUP(GasPosn!A219,'Pricing Summary'!$AB$12:$AD$250,3)</f>
        <v>30</v>
      </c>
      <c r="BJ219" s="50">
        <f>VLOOKUP(A219,Interest!$AF$8:$AK$367,6)</f>
        <v>0.95273295750909415</v>
      </c>
      <c r="BK219" s="50"/>
      <c r="BL219">
        <f>J219*VLOOKUP(A219,NymexData!$J$12:$K$244,2)</f>
        <v>27059.698782248419</v>
      </c>
      <c r="BO219">
        <f t="shared" si="67"/>
        <v>0.95273295750909415</v>
      </c>
      <c r="BP219">
        <f t="shared" si="68"/>
        <v>-0.40014784215381954</v>
      </c>
      <c r="BQ219">
        <f t="shared" si="69"/>
        <v>0</v>
      </c>
      <c r="BR219">
        <f t="shared" si="70"/>
        <v>0</v>
      </c>
      <c r="BS219">
        <f t="shared" si="71"/>
        <v>0</v>
      </c>
    </row>
    <row r="220" spans="1:71" ht="18" x14ac:dyDescent="0.25">
      <c r="A220" s="98">
        <f t="shared" si="58"/>
        <v>37803</v>
      </c>
      <c r="B220" s="324">
        <f t="array" ref="B220">SUM(IF(MONTH(NymexData!$AL$12:$AL$250)&amp;YEAR(NymexData!$AL$12:$AL$250)=MONTH(A220)&amp;YEAR(A220),NymexData!$AM$12:$AM$250))</f>
        <v>-353.77630149999999</v>
      </c>
      <c r="C220" s="324">
        <f t="shared" si="59"/>
        <v>0</v>
      </c>
      <c r="D220" s="326">
        <f t="shared" si="60"/>
        <v>-353.77630149999999</v>
      </c>
      <c r="E220" s="327">
        <f t="array" ref="E220">SUM(IF(MONTH(NymexData!$A$12:$A$250)&amp;YEAR(NymexData!$A$12:$A$250)=MONTH(A220)&amp;YEAR(A220),NymexData!$B$12:$B$250))</f>
        <v>-0.41499999999999998</v>
      </c>
      <c r="F220" s="327">
        <f t="shared" si="61"/>
        <v>-5.0000000000000044E-3</v>
      </c>
      <c r="G220" s="328">
        <f t="array" ref="G220">IF(NymexData!$H$12="",GasPosn!E220,SUM(IF(MONTH(NymexData!$H$12:$H$250)&amp;YEAR(NymexData!$H$12:$H$250)=MONTH(A220)&amp;YEAR(A220),NymexData!$I$12:$I$250)))</f>
        <v>-0.42</v>
      </c>
      <c r="H220" s="99">
        <f t="shared" si="62"/>
        <v>17688.815075000013</v>
      </c>
      <c r="I220" s="92">
        <f t="shared" si="63"/>
        <v>0</v>
      </c>
      <c r="J220" s="92">
        <f t="shared" si="55"/>
        <v>17688.815075000013</v>
      </c>
      <c r="M220" s="69"/>
      <c r="O220" s="47">
        <f t="shared" si="56"/>
        <v>37803</v>
      </c>
      <c r="BD220" s="48">
        <f t="shared" si="64"/>
        <v>0</v>
      </c>
      <c r="BE220" s="334">
        <f t="shared" si="65"/>
        <v>0</v>
      </c>
      <c r="BF220" s="50"/>
      <c r="BG220" s="51">
        <f t="shared" si="57"/>
        <v>37803</v>
      </c>
      <c r="BH220" s="335">
        <f t="shared" si="66"/>
        <v>0</v>
      </c>
      <c r="BI220" s="52">
        <f>VLOOKUP(GasPosn!A220,'Pricing Summary'!$AB$12:$AD$250,3)</f>
        <v>31</v>
      </c>
      <c r="BJ220" s="50">
        <f>VLOOKUP(A220,Interest!$AF$8:$AK$367,6)</f>
        <v>0.94941365641009356</v>
      </c>
      <c r="BK220" s="50"/>
      <c r="BL220">
        <f>J220*VLOOKUP(A220,NymexData!$J$12:$K$244,2)</f>
        <v>27868.713454726676</v>
      </c>
      <c r="BO220">
        <f t="shared" si="67"/>
        <v>0.94941365641009356</v>
      </c>
      <c r="BP220">
        <f t="shared" si="68"/>
        <v>-0.39875373569223926</v>
      </c>
      <c r="BQ220">
        <f t="shared" si="69"/>
        <v>0</v>
      </c>
      <c r="BR220">
        <f t="shared" si="70"/>
        <v>0</v>
      </c>
      <c r="BS220">
        <f t="shared" si="71"/>
        <v>0</v>
      </c>
    </row>
    <row r="221" spans="1:71" ht="18" x14ac:dyDescent="0.25">
      <c r="A221" s="100">
        <f t="shared" si="58"/>
        <v>37834</v>
      </c>
      <c r="B221" s="329">
        <f t="array" ref="B221">SUM(IF(MONTH(NymexData!$AL$12:$AL$250)&amp;YEAR(NymexData!$AL$12:$AL$250)=MONTH(A221)&amp;YEAR(A221),NymexData!$AM$12:$AM$250))</f>
        <v>-352.51697210999998</v>
      </c>
      <c r="C221" s="330">
        <f t="shared" si="59"/>
        <v>0</v>
      </c>
      <c r="D221" s="331">
        <f t="shared" si="60"/>
        <v>-352.51697210999998</v>
      </c>
      <c r="E221" s="332">
        <f t="array" ref="E221">SUM(IF(MONTH(NymexData!$A$12:$A$250)&amp;YEAR(NymexData!$A$12:$A$250)=MONTH(A221)&amp;YEAR(A221),NymexData!$B$12:$B$250))</f>
        <v>-0.41499999999999998</v>
      </c>
      <c r="F221" s="332">
        <f t="shared" si="61"/>
        <v>-5.0000000000000044E-3</v>
      </c>
      <c r="G221" s="333">
        <f t="array" ref="G221">IF(NymexData!$H$12="",GasPosn!E221,SUM(IF(MONTH(NymexData!$H$12:$H$250)&amp;YEAR(NymexData!$H$12:$H$250)=MONTH(A221)&amp;YEAR(A221),NymexData!$I$12:$I$250)))</f>
        <v>-0.42</v>
      </c>
      <c r="H221" s="85">
        <f t="shared" si="62"/>
        <v>17625.848605500014</v>
      </c>
      <c r="I221" s="88">
        <f t="shared" si="63"/>
        <v>0</v>
      </c>
      <c r="J221" s="88">
        <f t="shared" si="55"/>
        <v>17625.848605500014</v>
      </c>
      <c r="M221" s="69"/>
      <c r="O221" s="47">
        <f t="shared" si="56"/>
        <v>37834</v>
      </c>
      <c r="BD221" s="48">
        <f t="shared" si="64"/>
        <v>0</v>
      </c>
      <c r="BE221" s="334">
        <f t="shared" si="65"/>
        <v>0</v>
      </c>
      <c r="BF221" s="50"/>
      <c r="BG221" s="51">
        <f t="shared" si="57"/>
        <v>37834</v>
      </c>
      <c r="BH221" s="335">
        <f t="shared" si="66"/>
        <v>0</v>
      </c>
      <c r="BI221" s="52">
        <f>VLOOKUP(GasPosn!A221,'Pricing Summary'!$AB$12:$AD$250,3)</f>
        <v>31</v>
      </c>
      <c r="BJ221" s="50">
        <f>VLOOKUP(A221,Interest!$AF$8:$AK$367,6)</f>
        <v>0.94596925460818626</v>
      </c>
      <c r="BK221" s="50"/>
      <c r="BL221">
        <f>J221*VLOOKUP(A221,NymexData!$J$12:$K$244,2)</f>
        <v>27769.639080504072</v>
      </c>
      <c r="BO221">
        <f t="shared" si="67"/>
        <v>0.94596925460818626</v>
      </c>
      <c r="BP221">
        <f t="shared" si="68"/>
        <v>-0.3973070869354382</v>
      </c>
      <c r="BQ221">
        <f t="shared" si="69"/>
        <v>0</v>
      </c>
      <c r="BR221">
        <f t="shared" si="70"/>
        <v>0</v>
      </c>
      <c r="BS221">
        <f t="shared" si="71"/>
        <v>0</v>
      </c>
    </row>
    <row r="222" spans="1:71" ht="18" x14ac:dyDescent="0.25">
      <c r="A222" s="98">
        <f t="shared" si="58"/>
        <v>37865</v>
      </c>
      <c r="B222" s="324">
        <f t="array" ref="B222">SUM(IF(MONTH(NymexData!$AL$12:$AL$250)&amp;YEAR(NymexData!$AL$12:$AL$250)=MONTH(A222)&amp;YEAR(A222),NymexData!$AM$12:$AM$250))</f>
        <v>-339.89745933</v>
      </c>
      <c r="C222" s="325">
        <f t="shared" si="59"/>
        <v>0</v>
      </c>
      <c r="D222" s="326">
        <f t="shared" si="60"/>
        <v>-339.89745933</v>
      </c>
      <c r="E222" s="327">
        <f t="array" ref="E222">SUM(IF(MONTH(NymexData!$A$12:$A$250)&amp;YEAR(NymexData!$A$12:$A$250)=MONTH(A222)&amp;YEAR(A222),NymexData!$B$12:$B$250))</f>
        <v>-0.41499999999999998</v>
      </c>
      <c r="F222" s="327">
        <f t="shared" si="61"/>
        <v>-5.0000000000000044E-3</v>
      </c>
      <c r="G222" s="328">
        <f t="array" ref="G222">IF(NymexData!$H$12="",GasPosn!E222,SUM(IF(MONTH(NymexData!$H$12:$H$250)&amp;YEAR(NymexData!$H$12:$H$250)=MONTH(A222)&amp;YEAR(A222),NymexData!$I$12:$I$250)))</f>
        <v>-0.42</v>
      </c>
      <c r="H222" s="99">
        <f t="shared" si="62"/>
        <v>16994.872966500014</v>
      </c>
      <c r="I222" s="92">
        <f t="shared" si="63"/>
        <v>0</v>
      </c>
      <c r="J222" s="92">
        <f t="shared" si="55"/>
        <v>16994.872966500014</v>
      </c>
      <c r="M222" s="69"/>
      <c r="O222" s="47">
        <f t="shared" si="56"/>
        <v>37865</v>
      </c>
      <c r="BD222" s="48">
        <f t="shared" si="64"/>
        <v>0</v>
      </c>
      <c r="BE222" s="334">
        <f t="shared" si="65"/>
        <v>0</v>
      </c>
      <c r="BF222" s="50"/>
      <c r="BG222" s="51">
        <f t="shared" si="57"/>
        <v>37865</v>
      </c>
      <c r="BH222" s="335">
        <f t="shared" si="66"/>
        <v>0</v>
      </c>
      <c r="BI222" s="52">
        <f>VLOOKUP(GasPosn!A222,'Pricing Summary'!$AB$12:$AD$250,3)</f>
        <v>30</v>
      </c>
      <c r="BJ222" s="50">
        <f>VLOOKUP(A222,Interest!$AF$8:$AK$367,6)</f>
        <v>0.94251703784326879</v>
      </c>
      <c r="BK222" s="50"/>
      <c r="BL222">
        <f>J222*VLOOKUP(A222,NymexData!$J$12:$K$244,2)</f>
        <v>26775.464405941446</v>
      </c>
      <c r="BO222">
        <f t="shared" si="67"/>
        <v>0.94251703784326879</v>
      </c>
      <c r="BP222">
        <f t="shared" si="68"/>
        <v>-0.39585715589417286</v>
      </c>
      <c r="BQ222">
        <f t="shared" si="69"/>
        <v>0</v>
      </c>
      <c r="BR222">
        <f t="shared" si="70"/>
        <v>0</v>
      </c>
      <c r="BS222">
        <f t="shared" si="71"/>
        <v>0</v>
      </c>
    </row>
    <row r="223" spans="1:71" ht="18" x14ac:dyDescent="0.25">
      <c r="A223" s="100">
        <f t="shared" si="58"/>
        <v>37895</v>
      </c>
      <c r="B223" s="329">
        <f t="array" ref="B223">SUM(IF(MONTH(NymexData!$AL$12:$AL$250)&amp;YEAR(NymexData!$AL$12:$AL$250)=MONTH(A223)&amp;YEAR(A223),NymexData!$AM$12:$AM$250))</f>
        <v>-349.95091587000002</v>
      </c>
      <c r="C223" s="330">
        <f t="shared" si="59"/>
        <v>0</v>
      </c>
      <c r="D223" s="331">
        <f t="shared" si="60"/>
        <v>-349.95091587000002</v>
      </c>
      <c r="E223" s="332">
        <f t="array" ref="E223">SUM(IF(MONTH(NymexData!$A$12:$A$250)&amp;YEAR(NymexData!$A$12:$A$250)=MONTH(A223)&amp;YEAR(A223),NymexData!$B$12:$B$250))</f>
        <v>-0.41499999999999998</v>
      </c>
      <c r="F223" s="332">
        <f t="shared" si="61"/>
        <v>-5.0000000000000044E-3</v>
      </c>
      <c r="G223" s="333">
        <f t="array" ref="G223">IF(NymexData!$H$12="",GasPosn!E223,SUM(IF(MONTH(NymexData!$H$12:$H$250)&amp;YEAR(NymexData!$H$12:$H$250)=MONTH(A223)&amp;YEAR(A223),NymexData!$I$12:$I$250)))</f>
        <v>-0.42</v>
      </c>
      <c r="H223" s="85">
        <f t="shared" si="62"/>
        <v>17497.545793500016</v>
      </c>
      <c r="I223" s="88">
        <f t="shared" si="63"/>
        <v>0</v>
      </c>
      <c r="J223" s="88">
        <f t="shared" si="55"/>
        <v>17497.545793500016</v>
      </c>
      <c r="M223" s="69"/>
      <c r="O223" s="47">
        <f t="shared" si="56"/>
        <v>37895</v>
      </c>
      <c r="BD223" s="48">
        <f t="shared" si="64"/>
        <v>0</v>
      </c>
      <c r="BE223" s="334">
        <f t="shared" si="65"/>
        <v>0</v>
      </c>
      <c r="BF223" s="50"/>
      <c r="BG223" s="51">
        <f t="shared" si="57"/>
        <v>37895</v>
      </c>
      <c r="BH223" s="335">
        <f t="shared" si="66"/>
        <v>0</v>
      </c>
      <c r="BI223" s="52">
        <f>VLOOKUP(GasPosn!A223,'Pricing Summary'!$AB$12:$AD$250,3)</f>
        <v>31</v>
      </c>
      <c r="BJ223" s="50">
        <f>VLOOKUP(A223,Interest!$AF$8:$AK$367,6)</f>
        <v>0.93895681531458863</v>
      </c>
      <c r="BK223" s="50"/>
      <c r="BL223">
        <f>J223*VLOOKUP(A223,NymexData!$J$12:$K$244,2)</f>
        <v>27567.425720441854</v>
      </c>
      <c r="BO223">
        <f t="shared" si="67"/>
        <v>0.93895681531458863</v>
      </c>
      <c r="BP223">
        <f t="shared" si="68"/>
        <v>-0.39436186243212723</v>
      </c>
      <c r="BQ223">
        <f t="shared" si="69"/>
        <v>0</v>
      </c>
      <c r="BR223">
        <f t="shared" si="70"/>
        <v>0</v>
      </c>
      <c r="BS223">
        <f t="shared" si="71"/>
        <v>0</v>
      </c>
    </row>
    <row r="224" spans="1:71" ht="18" x14ac:dyDescent="0.25">
      <c r="A224" s="98">
        <f t="shared" si="58"/>
        <v>37926</v>
      </c>
      <c r="B224" s="324">
        <f t="array" ref="B224">SUM(IF(MONTH(NymexData!$AL$12:$AL$250)&amp;YEAR(NymexData!$AL$12:$AL$250)=MONTH(A224)&amp;YEAR(A224),NymexData!$AM$12:$AM$250))</f>
        <v>-421.72053693999999</v>
      </c>
      <c r="C224" s="324">
        <f t="shared" si="59"/>
        <v>0</v>
      </c>
      <c r="D224" s="326">
        <f t="shared" si="60"/>
        <v>-421.72053693999999</v>
      </c>
      <c r="E224" s="327">
        <f t="array" ref="E224">SUM(IF(MONTH(NymexData!$A$12:$A$250)&amp;YEAR(NymexData!$A$12:$A$250)=MONTH(A224)&amp;YEAR(A224),NymexData!$B$12:$B$250))</f>
        <v>-0.39500000000000002</v>
      </c>
      <c r="F224" s="327">
        <f t="shared" si="61"/>
        <v>0</v>
      </c>
      <c r="G224" s="328">
        <f t="array" ref="G224">IF(NymexData!$H$12="",GasPosn!E224,SUM(IF(MONTH(NymexData!$H$12:$H$250)&amp;YEAR(NymexData!$H$12:$H$250)=MONTH(A224)&amp;YEAR(A224),NymexData!$I$12:$I$250)))</f>
        <v>-0.39500000000000002</v>
      </c>
      <c r="H224" s="99">
        <f t="shared" si="62"/>
        <v>0</v>
      </c>
      <c r="I224" s="92">
        <f t="shared" si="63"/>
        <v>0</v>
      </c>
      <c r="J224" s="92">
        <f t="shared" si="55"/>
        <v>0</v>
      </c>
      <c r="M224" s="69"/>
      <c r="O224" s="47">
        <f t="shared" si="56"/>
        <v>37926</v>
      </c>
      <c r="BD224" s="48">
        <f t="shared" si="64"/>
        <v>0</v>
      </c>
      <c r="BE224" s="334">
        <f t="shared" si="65"/>
        <v>0</v>
      </c>
      <c r="BF224" s="50"/>
      <c r="BG224" s="51">
        <f t="shared" si="57"/>
        <v>37926</v>
      </c>
      <c r="BH224" s="335">
        <f t="shared" si="66"/>
        <v>0</v>
      </c>
      <c r="BI224" s="52">
        <f>VLOOKUP(GasPosn!A224,'Pricing Summary'!$AB$12:$AD$250,3)</f>
        <v>30</v>
      </c>
      <c r="BJ224" s="50">
        <f>VLOOKUP(A224,Interest!$AF$8:$AK$367,6)</f>
        <v>0.93538000488636297</v>
      </c>
      <c r="BK224" s="50"/>
      <c r="BL224">
        <f>J224*VLOOKUP(A224,NymexData!$J$12:$K$244,2)</f>
        <v>0</v>
      </c>
      <c r="BO224">
        <f t="shared" si="67"/>
        <v>0.93538000488636297</v>
      </c>
      <c r="BP224">
        <f t="shared" si="68"/>
        <v>-0.3694751019301134</v>
      </c>
      <c r="BQ224">
        <f t="shared" si="69"/>
        <v>0</v>
      </c>
      <c r="BR224">
        <f t="shared" si="70"/>
        <v>0</v>
      </c>
      <c r="BS224">
        <f t="shared" si="71"/>
        <v>0</v>
      </c>
    </row>
    <row r="225" spans="1:71" ht="18" x14ac:dyDescent="0.25">
      <c r="A225" s="100">
        <f t="shared" si="58"/>
        <v>37956</v>
      </c>
      <c r="B225" s="329">
        <f t="array" ref="B225">SUM(IF(MONTH(NymexData!$AL$12:$AL$250)&amp;YEAR(NymexData!$AL$12:$AL$250)=MONTH(A225)&amp;YEAR(A225),NymexData!$AM$12:$AM$250))</f>
        <v>-434.20784756</v>
      </c>
      <c r="C225" s="330">
        <f t="shared" si="59"/>
        <v>0</v>
      </c>
      <c r="D225" s="331">
        <f t="shared" si="60"/>
        <v>-434.20784756</v>
      </c>
      <c r="E225" s="332">
        <f t="array" ref="E225">SUM(IF(MONTH(NymexData!$A$12:$A$250)&amp;YEAR(NymexData!$A$12:$A$250)=MONTH(A225)&amp;YEAR(A225),NymexData!$B$12:$B$250))</f>
        <v>-0.39500000000000002</v>
      </c>
      <c r="F225" s="332">
        <f t="shared" si="61"/>
        <v>0</v>
      </c>
      <c r="G225" s="333">
        <f t="array" ref="G225">IF(NymexData!$H$12="",GasPosn!E225,SUM(IF(MONTH(NymexData!$H$12:$H$250)&amp;YEAR(NymexData!$H$12:$H$250)=MONTH(A225)&amp;YEAR(A225),NymexData!$I$12:$I$250)))</f>
        <v>-0.39500000000000002</v>
      </c>
      <c r="H225" s="85">
        <f t="shared" si="62"/>
        <v>0</v>
      </c>
      <c r="I225" s="88">
        <f t="shared" si="63"/>
        <v>0</v>
      </c>
      <c r="J225" s="88">
        <f t="shared" si="55"/>
        <v>0</v>
      </c>
      <c r="M225" s="69"/>
      <c r="O225" s="47">
        <f t="shared" si="56"/>
        <v>37956</v>
      </c>
      <c r="BD225" s="48">
        <f t="shared" si="64"/>
        <v>0</v>
      </c>
      <c r="BE225" s="334">
        <f t="shared" si="65"/>
        <v>0</v>
      </c>
      <c r="BF225" s="50"/>
      <c r="BG225" s="51">
        <f t="shared" si="57"/>
        <v>37956</v>
      </c>
      <c r="BH225" s="335">
        <f t="shared" si="66"/>
        <v>0</v>
      </c>
      <c r="BI225" s="52">
        <f>VLOOKUP(GasPosn!A225,'Pricing Summary'!$AB$12:$AD$250,3)</f>
        <v>31</v>
      </c>
      <c r="BJ225" s="50">
        <f>VLOOKUP(A225,Interest!$AF$8:$AK$367,6)</f>
        <v>0.93168266894648055</v>
      </c>
      <c r="BK225" s="50"/>
      <c r="BL225">
        <f>J225*VLOOKUP(A225,NymexData!$J$12:$K$244,2)</f>
        <v>0</v>
      </c>
      <c r="BO225">
        <f t="shared" si="67"/>
        <v>0.93168266894648055</v>
      </c>
      <c r="BP225">
        <f t="shared" si="68"/>
        <v>-0.36801465423385982</v>
      </c>
      <c r="BQ225">
        <f t="shared" si="69"/>
        <v>0</v>
      </c>
      <c r="BR225">
        <f t="shared" si="70"/>
        <v>0</v>
      </c>
      <c r="BS225">
        <f t="shared" si="71"/>
        <v>0</v>
      </c>
    </row>
    <row r="226" spans="1:71" ht="18" x14ac:dyDescent="0.25">
      <c r="A226" s="98">
        <f t="shared" si="58"/>
        <v>37987</v>
      </c>
      <c r="B226" s="324">
        <f t="array" ref="B226">SUM(IF(MONTH(NymexData!$AL$12:$AL$250)&amp;YEAR(NymexData!$AL$12:$AL$250)=MONTH(A226)&amp;YEAR(A226),NymexData!$AM$12:$AM$250))</f>
        <v>-187.44138762</v>
      </c>
      <c r="C226" s="324">
        <f t="shared" si="59"/>
        <v>0</v>
      </c>
      <c r="D226" s="326">
        <f t="shared" si="60"/>
        <v>-187.44138762</v>
      </c>
      <c r="E226" s="327">
        <f t="array" ref="E226">SUM(IF(MONTH(NymexData!$A$12:$A$250)&amp;YEAR(NymexData!$A$12:$A$250)=MONTH(A226)&amp;YEAR(A226),NymexData!$B$12:$B$250))</f>
        <v>-0.39500000000000002</v>
      </c>
      <c r="F226" s="327">
        <f t="shared" si="61"/>
        <v>0</v>
      </c>
      <c r="G226" s="328">
        <f t="array" ref="G226">IF(NymexData!$H$12="",GasPosn!E226,SUM(IF(MONTH(NymexData!$H$12:$H$250)&amp;YEAR(NymexData!$H$12:$H$250)=MONTH(A226)&amp;YEAR(A226),NymexData!$I$12:$I$250)))</f>
        <v>-0.39500000000000002</v>
      </c>
      <c r="H226" s="99">
        <f t="shared" si="62"/>
        <v>0</v>
      </c>
      <c r="I226" s="92">
        <f t="shared" si="63"/>
        <v>0</v>
      </c>
      <c r="J226" s="92">
        <f t="shared" si="55"/>
        <v>0</v>
      </c>
      <c r="M226" s="69"/>
      <c r="O226" s="47">
        <f t="shared" si="56"/>
        <v>37987</v>
      </c>
      <c r="BD226" s="48">
        <f t="shared" si="64"/>
        <v>0</v>
      </c>
      <c r="BE226" s="334">
        <f t="shared" si="65"/>
        <v>0</v>
      </c>
      <c r="BF226" s="25"/>
      <c r="BG226" s="51">
        <f t="shared" si="57"/>
        <v>37987</v>
      </c>
      <c r="BH226" s="335">
        <f t="shared" si="66"/>
        <v>0</v>
      </c>
      <c r="BI226" s="52">
        <f>VLOOKUP(GasPosn!A226,'Pricing Summary'!$AB$12:$AD$250,3)</f>
        <v>31</v>
      </c>
      <c r="BJ226" s="50">
        <f>VLOOKUP(A226,Interest!$AF$8:$AK$367,6)</f>
        <v>0.92787870903644309</v>
      </c>
      <c r="BK226" s="50"/>
      <c r="BL226">
        <f>J226*VLOOKUP(A226,NymexData!$J$12:$K$244,2)</f>
        <v>0</v>
      </c>
      <c r="BO226">
        <f t="shared" si="67"/>
        <v>0.92787870903644309</v>
      </c>
      <c r="BP226">
        <f t="shared" si="68"/>
        <v>-0.36651209006939506</v>
      </c>
      <c r="BQ226">
        <f t="shared" si="69"/>
        <v>0</v>
      </c>
      <c r="BR226">
        <f t="shared" si="70"/>
        <v>0</v>
      </c>
      <c r="BS226">
        <f t="shared" si="71"/>
        <v>0</v>
      </c>
    </row>
    <row r="227" spans="1:71" ht="18" x14ac:dyDescent="0.25">
      <c r="A227" s="100">
        <f t="shared" si="58"/>
        <v>38018</v>
      </c>
      <c r="B227" s="329">
        <f t="array" ref="B227">SUM(IF(MONTH(NymexData!$AL$12:$AL$250)&amp;YEAR(NymexData!$AL$12:$AL$250)=MONTH(A227)&amp;YEAR(A227),NymexData!$AM$12:$AM$250))</f>
        <v>-174.66764445000001</v>
      </c>
      <c r="C227" s="330">
        <f t="shared" si="59"/>
        <v>0</v>
      </c>
      <c r="D227" s="331">
        <f t="shared" si="60"/>
        <v>-174.66764445000001</v>
      </c>
      <c r="E227" s="332">
        <f t="array" ref="E227">SUM(IF(MONTH(NymexData!$A$12:$A$250)&amp;YEAR(NymexData!$A$12:$A$250)=MONTH(A227)&amp;YEAR(A227),NymexData!$B$12:$B$250))</f>
        <v>-0.39500000000000002</v>
      </c>
      <c r="F227" s="332">
        <f t="shared" si="61"/>
        <v>0</v>
      </c>
      <c r="G227" s="333">
        <f t="array" ref="G227">IF(NymexData!$H$12="",GasPosn!E227,SUM(IF(MONTH(NymexData!$H$12:$H$250)&amp;YEAR(NymexData!$H$12:$H$250)=MONTH(A227)&amp;YEAR(A227),NymexData!$I$12:$I$250)))</f>
        <v>-0.39500000000000002</v>
      </c>
      <c r="H227" s="85">
        <f t="shared" si="62"/>
        <v>0</v>
      </c>
      <c r="I227" s="88">
        <f t="shared" si="63"/>
        <v>0</v>
      </c>
      <c r="J227" s="88">
        <f t="shared" si="55"/>
        <v>0</v>
      </c>
      <c r="M227" s="69"/>
      <c r="O227" s="47">
        <f t="shared" si="56"/>
        <v>38018</v>
      </c>
      <c r="BD227" s="48">
        <f t="shared" si="64"/>
        <v>0</v>
      </c>
      <c r="BE227" s="334">
        <f t="shared" si="65"/>
        <v>0</v>
      </c>
      <c r="BF227" s="25"/>
      <c r="BG227" s="51">
        <f t="shared" si="57"/>
        <v>38018</v>
      </c>
      <c r="BH227" s="335">
        <f t="shared" si="66"/>
        <v>0</v>
      </c>
      <c r="BI227" s="52">
        <f>VLOOKUP(GasPosn!A227,'Pricing Summary'!$AB$12:$AD$250,3)</f>
        <v>29</v>
      </c>
      <c r="BJ227" s="50">
        <f>VLOOKUP(A227,Interest!$AF$8:$AK$367,6)</f>
        <v>0.92417833087541357</v>
      </c>
      <c r="BK227" s="50"/>
      <c r="BL227">
        <f>J227*VLOOKUP(A227,NymexData!$J$12:$K$244,2)</f>
        <v>0</v>
      </c>
      <c r="BO227">
        <f t="shared" si="67"/>
        <v>0.92417833087541357</v>
      </c>
      <c r="BP227">
        <f t="shared" si="68"/>
        <v>-0.3650504406957884</v>
      </c>
      <c r="BQ227">
        <f t="shared" si="69"/>
        <v>0</v>
      </c>
      <c r="BR227">
        <f t="shared" si="70"/>
        <v>0</v>
      </c>
      <c r="BS227">
        <f t="shared" si="71"/>
        <v>0</v>
      </c>
    </row>
    <row r="228" spans="1:71" ht="18" x14ac:dyDescent="0.25">
      <c r="A228" s="98">
        <f t="shared" si="58"/>
        <v>38047</v>
      </c>
      <c r="B228" s="324">
        <f t="array" ref="B228">SUM(IF(MONTH(NymexData!$AL$12:$AL$250)&amp;YEAR(NymexData!$AL$12:$AL$250)=MONTH(A228)&amp;YEAR(A228),NymexData!$AM$12:$AM$250))</f>
        <v>-186.02190696</v>
      </c>
      <c r="C228" s="324">
        <f t="shared" si="59"/>
        <v>0</v>
      </c>
      <c r="D228" s="326">
        <f t="shared" si="60"/>
        <v>-186.02190696</v>
      </c>
      <c r="E228" s="327">
        <f t="array" ref="E228">SUM(IF(MONTH(NymexData!$A$12:$A$250)&amp;YEAR(NymexData!$A$12:$A$250)=MONTH(A228)&amp;YEAR(A228),NymexData!$B$12:$B$250))</f>
        <v>-0.39500000000000002</v>
      </c>
      <c r="F228" s="327">
        <f t="shared" si="61"/>
        <v>0</v>
      </c>
      <c r="G228" s="328">
        <f t="array" ref="G228">IF(NymexData!$H$12="",GasPosn!E228,SUM(IF(MONTH(NymexData!$H$12:$H$250)&amp;YEAR(NymexData!$H$12:$H$250)=MONTH(A228)&amp;YEAR(A228),NymexData!$I$12:$I$250)))</f>
        <v>-0.39500000000000002</v>
      </c>
      <c r="H228" s="99">
        <f t="shared" si="62"/>
        <v>0</v>
      </c>
      <c r="I228" s="92">
        <f t="shared" si="63"/>
        <v>0</v>
      </c>
      <c r="J228" s="92">
        <f t="shared" si="55"/>
        <v>0</v>
      </c>
      <c r="M228" s="69"/>
      <c r="N228" s="69"/>
      <c r="O228" s="47">
        <f t="shared" si="56"/>
        <v>38047</v>
      </c>
      <c r="BD228" s="48">
        <f t="shared" si="64"/>
        <v>0</v>
      </c>
      <c r="BE228" s="334">
        <f t="shared" si="65"/>
        <v>0</v>
      </c>
      <c r="BF228" s="25"/>
      <c r="BG228" s="51">
        <f t="shared" si="57"/>
        <v>38047</v>
      </c>
      <c r="BH228" s="335">
        <f t="shared" si="66"/>
        <v>0</v>
      </c>
      <c r="BI228" s="52">
        <f>VLOOKUP(GasPosn!A228,'Pricing Summary'!$AB$12:$AD$250,3)</f>
        <v>31</v>
      </c>
      <c r="BJ228" s="50">
        <f>VLOOKUP(A228,Interest!$AF$8:$AK$367,6)</f>
        <v>0.92032113409702609</v>
      </c>
      <c r="BK228" s="50"/>
      <c r="BL228">
        <f>J228*VLOOKUP(A228,NymexData!$J$12:$K$244,2)</f>
        <v>0</v>
      </c>
      <c r="BO228">
        <f t="shared" si="67"/>
        <v>0.92032113409702609</v>
      </c>
      <c r="BP228">
        <f t="shared" si="68"/>
        <v>-0.36352684796832535</v>
      </c>
      <c r="BQ228">
        <f t="shared" si="69"/>
        <v>0</v>
      </c>
      <c r="BR228">
        <f t="shared" si="70"/>
        <v>0</v>
      </c>
      <c r="BS228">
        <f t="shared" si="71"/>
        <v>0</v>
      </c>
    </row>
    <row r="229" spans="1:71" ht="18" x14ac:dyDescent="0.25">
      <c r="A229" s="100">
        <f t="shared" si="58"/>
        <v>38078</v>
      </c>
      <c r="B229" s="329">
        <f t="array" ref="B229">SUM(IF(MONTH(NymexData!$AL$12:$AL$250)&amp;YEAR(NymexData!$AL$12:$AL$250)=MONTH(A229)&amp;YEAR(A229),NymexData!$AM$12:$AM$250))</f>
        <v>-179.29430988999999</v>
      </c>
      <c r="C229" s="330">
        <f t="shared" si="59"/>
        <v>0</v>
      </c>
      <c r="D229" s="331">
        <f t="shared" si="60"/>
        <v>-179.29430988999999</v>
      </c>
      <c r="E229" s="332">
        <f t="array" ref="E229">SUM(IF(MONTH(NymexData!$A$12:$A$250)&amp;YEAR(NymexData!$A$12:$A$250)=MONTH(A229)&amp;YEAR(A229),NymexData!$B$12:$B$250))</f>
        <v>-0.43</v>
      </c>
      <c r="F229" s="332">
        <f t="shared" si="61"/>
        <v>0</v>
      </c>
      <c r="G229" s="333">
        <f t="array" ref="G229">IF(NymexData!$H$12="",GasPosn!E229,SUM(IF(MONTH(NymexData!$H$12:$H$250)&amp;YEAR(NymexData!$H$12:$H$250)=MONTH(A229)&amp;YEAR(A229),NymexData!$I$12:$I$250)))</f>
        <v>-0.43</v>
      </c>
      <c r="H229" s="85">
        <f t="shared" si="62"/>
        <v>0</v>
      </c>
      <c r="I229" s="88">
        <f t="shared" si="63"/>
        <v>0</v>
      </c>
      <c r="J229" s="88">
        <f t="shared" si="55"/>
        <v>0</v>
      </c>
      <c r="N229" s="69"/>
      <c r="O229" s="47">
        <f t="shared" si="56"/>
        <v>38078</v>
      </c>
      <c r="BD229" s="48">
        <f t="shared" si="64"/>
        <v>0</v>
      </c>
      <c r="BE229" s="334">
        <f t="shared" si="65"/>
        <v>0</v>
      </c>
      <c r="BF229" s="25"/>
      <c r="BG229" s="51">
        <f t="shared" si="57"/>
        <v>38078</v>
      </c>
      <c r="BH229" s="335">
        <f t="shared" si="66"/>
        <v>0</v>
      </c>
      <c r="BI229" s="52">
        <f>VLOOKUP(GasPosn!A229,'Pricing Summary'!$AB$12:$AD$250,3)</f>
        <v>30</v>
      </c>
      <c r="BJ229" s="50">
        <f>VLOOKUP(A229,Interest!$AF$8:$AK$367,6)</f>
        <v>0.91646970858551369</v>
      </c>
      <c r="BK229" s="50"/>
      <c r="BL229">
        <f>J229*VLOOKUP(A229,NymexData!$J$12:$K$244,2)</f>
        <v>0</v>
      </c>
      <c r="BO229">
        <f t="shared" si="67"/>
        <v>0.91646970858551369</v>
      </c>
      <c r="BP229">
        <f t="shared" si="68"/>
        <v>-0.39408197469177086</v>
      </c>
      <c r="BQ229">
        <f t="shared" si="69"/>
        <v>0</v>
      </c>
      <c r="BR229">
        <f t="shared" si="70"/>
        <v>0</v>
      </c>
      <c r="BS229">
        <f t="shared" si="71"/>
        <v>0</v>
      </c>
    </row>
    <row r="230" spans="1:71" ht="18" x14ac:dyDescent="0.25">
      <c r="A230" s="98">
        <f t="shared" si="58"/>
        <v>38108</v>
      </c>
      <c r="B230" s="324">
        <f t="array" ref="B230">SUM(IF(MONTH(NymexData!$AL$12:$AL$250)&amp;YEAR(NymexData!$AL$12:$AL$250)=MONTH(A230)&amp;YEAR(A230),NymexData!$AM$12:$AM$250))</f>
        <v>-184.53261631999999</v>
      </c>
      <c r="C230" s="324">
        <f t="shared" si="59"/>
        <v>0</v>
      </c>
      <c r="D230" s="326">
        <f t="shared" si="60"/>
        <v>-184.53261631999999</v>
      </c>
      <c r="E230" s="327">
        <f t="array" ref="E230">SUM(IF(MONTH(NymexData!$A$12:$A$250)&amp;YEAR(NymexData!$A$12:$A$250)=MONTH(A230)&amp;YEAR(A230),NymexData!$B$12:$B$250))</f>
        <v>-0.43</v>
      </c>
      <c r="F230" s="327">
        <f t="shared" si="61"/>
        <v>0</v>
      </c>
      <c r="G230" s="328">
        <f t="array" ref="G230">IF(NymexData!$H$12="",GasPosn!E230,SUM(IF(MONTH(NymexData!$H$12:$H$250)&amp;YEAR(NymexData!$H$12:$H$250)=MONTH(A230)&amp;YEAR(A230),NymexData!$I$12:$I$250)))</f>
        <v>-0.43</v>
      </c>
      <c r="H230" s="99">
        <f t="shared" si="62"/>
        <v>0</v>
      </c>
      <c r="I230" s="92">
        <f t="shared" si="63"/>
        <v>0</v>
      </c>
      <c r="J230" s="92">
        <f t="shared" si="55"/>
        <v>0</v>
      </c>
      <c r="N230" s="69"/>
      <c r="O230" s="47">
        <f t="shared" si="56"/>
        <v>38108</v>
      </c>
      <c r="BD230" s="48">
        <f t="shared" si="64"/>
        <v>0</v>
      </c>
      <c r="BE230" s="334">
        <f t="shared" si="65"/>
        <v>0</v>
      </c>
      <c r="BF230" s="25"/>
      <c r="BG230" s="51">
        <f t="shared" si="57"/>
        <v>38108</v>
      </c>
      <c r="BH230" s="335">
        <f t="shared" si="66"/>
        <v>0</v>
      </c>
      <c r="BI230" s="52">
        <f>VLOOKUP(GasPosn!A230,'Pricing Summary'!$AB$12:$AD$250,3)</f>
        <v>31</v>
      </c>
      <c r="BJ230" s="50">
        <f>VLOOKUP(A230,Interest!$AF$8:$AK$367,6)</f>
        <v>0.91258764301378226</v>
      </c>
      <c r="BK230" s="50"/>
      <c r="BL230">
        <f>J230*VLOOKUP(A230,NymexData!$J$12:$K$244,2)</f>
        <v>0</v>
      </c>
      <c r="BO230">
        <f t="shared" si="67"/>
        <v>0.91258764301378226</v>
      </c>
      <c r="BP230">
        <f t="shared" si="68"/>
        <v>-0.39241268649592637</v>
      </c>
      <c r="BQ230">
        <f t="shared" si="69"/>
        <v>0</v>
      </c>
      <c r="BR230">
        <f t="shared" si="70"/>
        <v>0</v>
      </c>
      <c r="BS230">
        <f t="shared" si="71"/>
        <v>0</v>
      </c>
    </row>
    <row r="231" spans="1:71" ht="18" x14ac:dyDescent="0.25">
      <c r="A231" s="100">
        <f t="shared" si="58"/>
        <v>38139</v>
      </c>
      <c r="B231" s="329">
        <f t="array" ref="B231">SUM(IF(MONTH(NymexData!$AL$12:$AL$250)&amp;YEAR(NymexData!$AL$12:$AL$250)=MONTH(A231)&amp;YEAR(A231),NymexData!$AM$12:$AM$250))</f>
        <v>-177.83066690999999</v>
      </c>
      <c r="C231" s="330">
        <f t="shared" si="59"/>
        <v>0</v>
      </c>
      <c r="D231" s="331">
        <f t="shared" si="60"/>
        <v>-177.83066690999999</v>
      </c>
      <c r="E231" s="332">
        <f t="array" ref="E231">SUM(IF(MONTH(NymexData!$A$12:$A$250)&amp;YEAR(NymexData!$A$12:$A$250)=MONTH(A231)&amp;YEAR(A231),NymexData!$B$12:$B$250))</f>
        <v>-0.43</v>
      </c>
      <c r="F231" s="332">
        <f t="shared" si="61"/>
        <v>0</v>
      </c>
      <c r="G231" s="333">
        <f t="array" ref="G231">IF(NymexData!$H$12="",GasPosn!E231,SUM(IF(MONTH(NymexData!$H$12:$H$250)&amp;YEAR(NymexData!$H$12:$H$250)=MONTH(A231)&amp;YEAR(A231),NymexData!$I$12:$I$250)))</f>
        <v>-0.43</v>
      </c>
      <c r="H231" s="85">
        <f t="shared" si="62"/>
        <v>0</v>
      </c>
      <c r="I231" s="88">
        <f t="shared" si="63"/>
        <v>0</v>
      </c>
      <c r="J231" s="88">
        <f t="shared" si="55"/>
        <v>0</v>
      </c>
      <c r="N231" s="69"/>
      <c r="O231" s="47">
        <f t="shared" si="56"/>
        <v>38139</v>
      </c>
      <c r="BD231" s="48">
        <f t="shared" si="64"/>
        <v>0</v>
      </c>
      <c r="BE231" s="334">
        <f t="shared" si="65"/>
        <v>0</v>
      </c>
      <c r="BF231" s="25"/>
      <c r="BG231" s="51">
        <f t="shared" si="57"/>
        <v>38139</v>
      </c>
      <c r="BH231" s="335">
        <f t="shared" si="66"/>
        <v>0</v>
      </c>
      <c r="BI231" s="52">
        <f>VLOOKUP(GasPosn!A231,'Pricing Summary'!$AB$12:$AD$250,3)</f>
        <v>30</v>
      </c>
      <c r="BJ231" s="50">
        <f>VLOOKUP(A231,Interest!$AF$8:$AK$367,6)</f>
        <v>0.90869195842263595</v>
      </c>
      <c r="BK231" s="50"/>
      <c r="BL231">
        <f>J231*VLOOKUP(A231,NymexData!$J$12:$K$244,2)</f>
        <v>0</v>
      </c>
      <c r="BO231">
        <f t="shared" si="67"/>
        <v>0.90869195842263595</v>
      </c>
      <c r="BP231">
        <f t="shared" si="68"/>
        <v>-0.39073754212173345</v>
      </c>
      <c r="BQ231">
        <f t="shared" si="69"/>
        <v>0</v>
      </c>
      <c r="BR231">
        <f t="shared" si="70"/>
        <v>0</v>
      </c>
      <c r="BS231">
        <f t="shared" si="71"/>
        <v>0</v>
      </c>
    </row>
    <row r="232" spans="1:71" ht="18" x14ac:dyDescent="0.25">
      <c r="A232" s="98">
        <f t="shared" si="58"/>
        <v>38169</v>
      </c>
      <c r="B232" s="324">
        <f t="array" ref="B232">SUM(IF(MONTH(NymexData!$AL$12:$AL$250)&amp;YEAR(NymexData!$AL$12:$AL$250)=MONTH(A232)&amp;YEAR(A232),NymexData!$AM$12:$AM$250))</f>
        <v>-182.99812428999999</v>
      </c>
      <c r="C232" s="324">
        <f t="shared" si="59"/>
        <v>0</v>
      </c>
      <c r="D232" s="326">
        <f t="shared" si="60"/>
        <v>-182.99812428999999</v>
      </c>
      <c r="E232" s="327">
        <f t="array" ref="E232">SUM(IF(MONTH(NymexData!$A$12:$A$250)&amp;YEAR(NymexData!$A$12:$A$250)=MONTH(A232)&amp;YEAR(A232),NymexData!$B$12:$B$250))</f>
        <v>-0.43</v>
      </c>
      <c r="F232" s="327">
        <f t="shared" si="61"/>
        <v>0</v>
      </c>
      <c r="G232" s="328">
        <f t="array" ref="G232">IF(NymexData!$H$12="",GasPosn!E232,SUM(IF(MONTH(NymexData!$H$12:$H$250)&amp;YEAR(NymexData!$H$12:$H$250)=MONTH(A232)&amp;YEAR(A232),NymexData!$I$12:$I$250)))</f>
        <v>-0.43</v>
      </c>
      <c r="H232" s="99">
        <f t="shared" si="62"/>
        <v>0</v>
      </c>
      <c r="I232" s="92">
        <f t="shared" si="63"/>
        <v>0</v>
      </c>
      <c r="J232" s="92">
        <f t="shared" si="55"/>
        <v>0</v>
      </c>
      <c r="N232" s="69"/>
      <c r="O232" s="47">
        <f t="shared" si="56"/>
        <v>38169</v>
      </c>
      <c r="BD232" s="48">
        <f t="shared" si="64"/>
        <v>0</v>
      </c>
      <c r="BE232" s="334">
        <f t="shared" si="65"/>
        <v>0</v>
      </c>
      <c r="BF232" s="25"/>
      <c r="BG232" s="51">
        <f t="shared" si="57"/>
        <v>38169</v>
      </c>
      <c r="BH232" s="335">
        <f t="shared" si="66"/>
        <v>0</v>
      </c>
      <c r="BI232" s="52">
        <f>VLOOKUP(GasPosn!A232,'Pricing Summary'!$AB$12:$AD$250,3)</f>
        <v>31</v>
      </c>
      <c r="BJ232" s="50">
        <f>VLOOKUP(A232,Interest!$AF$8:$AK$367,6)</f>
        <v>0.90473425468668633</v>
      </c>
      <c r="BK232" s="50"/>
      <c r="BL232">
        <f>J232*VLOOKUP(A232,NymexData!$J$12:$K$244,2)</f>
        <v>0</v>
      </c>
      <c r="BO232">
        <f t="shared" si="67"/>
        <v>0.90473425468668633</v>
      </c>
      <c r="BP232">
        <f t="shared" si="68"/>
        <v>-0.3890357295152751</v>
      </c>
      <c r="BQ232">
        <f t="shared" si="69"/>
        <v>0</v>
      </c>
      <c r="BR232">
        <f t="shared" si="70"/>
        <v>0</v>
      </c>
      <c r="BS232">
        <f t="shared" si="71"/>
        <v>0</v>
      </c>
    </row>
    <row r="233" spans="1:71" ht="18" x14ac:dyDescent="0.25">
      <c r="A233" s="100">
        <f t="shared" si="58"/>
        <v>38200</v>
      </c>
      <c r="B233" s="329">
        <f t="array" ref="B233">SUM(IF(MONTH(NymexData!$AL$12:$AL$250)&amp;YEAR(NymexData!$AL$12:$AL$250)=MONTH(A233)&amp;YEAR(A233),NymexData!$AM$12:$AM$250))</f>
        <v>-182.20141563000001</v>
      </c>
      <c r="C233" s="330">
        <f t="shared" si="59"/>
        <v>0</v>
      </c>
      <c r="D233" s="331">
        <f t="shared" si="60"/>
        <v>-182.20141563000001</v>
      </c>
      <c r="E233" s="332">
        <f t="array" ref="E233">SUM(IF(MONTH(NymexData!$A$12:$A$250)&amp;YEAR(NymexData!$A$12:$A$250)=MONTH(A233)&amp;YEAR(A233),NymexData!$B$12:$B$250))</f>
        <v>-0.43</v>
      </c>
      <c r="F233" s="332">
        <f t="shared" si="61"/>
        <v>0</v>
      </c>
      <c r="G233" s="333">
        <f t="array" ref="G233">IF(NymexData!$H$12="",GasPosn!E233,SUM(IF(MONTH(NymexData!$H$12:$H$250)&amp;YEAR(NymexData!$H$12:$H$250)=MONTH(A233)&amp;YEAR(A233),NymexData!$I$12:$I$250)))</f>
        <v>-0.43</v>
      </c>
      <c r="H233" s="85">
        <f t="shared" si="62"/>
        <v>0</v>
      </c>
      <c r="I233" s="88">
        <f t="shared" si="63"/>
        <v>0</v>
      </c>
      <c r="J233" s="88">
        <f t="shared" si="55"/>
        <v>0</v>
      </c>
      <c r="N233" s="69"/>
      <c r="O233" s="47">
        <f t="shared" si="56"/>
        <v>38200</v>
      </c>
      <c r="BD233" s="48">
        <f>(P233+R233+T233+V233+X233+Z233+AB233+AD233+AF233+AH233+AJ233+AL233+AN233+AP233+AR233+AT233+AV233+AX233+AZ233+BB233)</f>
        <v>0</v>
      </c>
      <c r="BE233" s="334">
        <f>IF(AND(BD233=0,BH233=0),0,(ABS(P233)*Q233+ABS(R233)*S233+ABS(T233)*U233+ABS(V233)*W233+ABS(X233)*Y233+ABS(Z233)*AA233+ABS(AB233)*AC233+ABS(AD233)*AE233+ABS(AF233)*AG233+ABS(AH233)*AI233+ABS(AJ233)*AK233+ABS(AL233)*AM233+ABS(AN233)*AO233+ABS(AP233)*AQ233+ABS(AR233)*AS233+ABS(AT233)*AU233+ABS(AV233)*AW233+ABS(AX233)*AY233+ABS(AZ233)*BA233+ABS(BB233)*BC233)/BH233)</f>
        <v>0</v>
      </c>
      <c r="BF233" s="25"/>
      <c r="BG233" s="51">
        <f t="shared" si="57"/>
        <v>38200</v>
      </c>
      <c r="BH233" s="335">
        <f>(ABS(P233)+ABS(R233)+ABS(T233)+ABS(V233)+ABS(X233)+ABS(Z233)+ABS(AB233)+ABS(AD233)+ABS(AF233)+ABS(AH233)+ABS(AJ233)+ABS(AL233)+ABS(AN233)+ABS(AP233)+ABS(AR233)+ABS(AT233)+ABS(AV233)+ABS(AX233)+ABS(AZ233)+ABS(BB233))</f>
        <v>0</v>
      </c>
      <c r="BI233" s="52">
        <f>VLOOKUP(GasPosn!A233,'Pricing Summary'!$AB$12:$AD$250,3)</f>
        <v>31</v>
      </c>
      <c r="BJ233" s="50">
        <f>VLOOKUP(A233,Interest!$AF$8:$AK$367,6)</f>
        <v>0.90072937745124015</v>
      </c>
      <c r="BK233" s="50"/>
      <c r="BL233">
        <f>J233*VLOOKUP(A233,NymexData!$J$12:$K$244,2)</f>
        <v>0</v>
      </c>
      <c r="BO233">
        <f t="shared" si="67"/>
        <v>0.90072937745124015</v>
      </c>
      <c r="BP233">
        <f t="shared" si="68"/>
        <v>-0.38731363230403326</v>
      </c>
      <c r="BQ233">
        <f t="shared" si="69"/>
        <v>0</v>
      </c>
      <c r="BR233">
        <f t="shared" si="70"/>
        <v>0</v>
      </c>
      <c r="BS233">
        <f t="shared" si="71"/>
        <v>0</v>
      </c>
    </row>
    <row r="234" spans="1:71" ht="18" x14ac:dyDescent="0.25">
      <c r="A234" s="98">
        <f t="shared" si="58"/>
        <v>38231</v>
      </c>
      <c r="B234" s="324">
        <f t="array" ref="B234">SUM(IF(MONTH(NymexData!$AL$12:$AL$250)&amp;YEAR(NymexData!$AL$12:$AL$250)=MONTH(A234)&amp;YEAR(A234),NymexData!$AM$12:$AM$250))</f>
        <v>-175.54216328999999</v>
      </c>
      <c r="C234" s="324">
        <f t="shared" si="59"/>
        <v>0</v>
      </c>
      <c r="D234" s="326">
        <f t="shared" si="60"/>
        <v>-175.54216328999999</v>
      </c>
      <c r="E234" s="327">
        <f t="array" ref="E234">SUM(IF(MONTH(NymexData!$A$12:$A$250)&amp;YEAR(NymexData!$A$12:$A$250)=MONTH(A234)&amp;YEAR(A234),NymexData!$B$12:$B$250))</f>
        <v>-0.43</v>
      </c>
      <c r="F234" s="327">
        <f t="shared" si="61"/>
        <v>0</v>
      </c>
      <c r="G234" s="328">
        <f t="array" ref="G234">IF(NymexData!$H$12="",GasPosn!E234,SUM(IF(MONTH(NymexData!$H$12:$H$250)&amp;YEAR(NymexData!$H$12:$H$250)=MONTH(A234)&amp;YEAR(A234),NymexData!$I$12:$I$250)))</f>
        <v>-0.43</v>
      </c>
      <c r="H234" s="99">
        <f t="shared" si="62"/>
        <v>0</v>
      </c>
      <c r="I234" s="92">
        <f t="shared" si="63"/>
        <v>0</v>
      </c>
      <c r="J234" s="92">
        <f t="shared" si="55"/>
        <v>0</v>
      </c>
      <c r="N234" s="69"/>
      <c r="O234" s="47">
        <f t="shared" si="56"/>
        <v>38231</v>
      </c>
      <c r="BD234" s="48">
        <f>(P234+R234+T234+V234+X234+Z234+AB234+AD234+AF234+AH234+AJ234+AL234+AN234+AP234+AR234+AT234+AV234+AX234+AZ234+BB234)</f>
        <v>0</v>
      </c>
      <c r="BE234" s="334">
        <f>IF(AND(BD234=0,BH234=0),0,(ABS(P234)*Q234+ABS(R234)*S234+ABS(T234)*U234+ABS(V234)*W234+ABS(X234)*Y234+ABS(Z234)*AA234+ABS(AB234)*AC234+ABS(AD234)*AE234+ABS(AF234)*AG234+ABS(AH234)*AI234+ABS(AJ234)*AK234+ABS(AL234)*AM234+ABS(AN234)*AO234+ABS(AP234)*AQ234+ABS(AR234)*AS234+ABS(AT234)*AU234+ABS(AV234)*AW234+ABS(AX234)*AY234+ABS(AZ234)*BA234+ABS(BB234)*BC234)/BH234)</f>
        <v>0</v>
      </c>
      <c r="BF234" s="25"/>
      <c r="BG234" s="51">
        <f t="shared" si="57"/>
        <v>38231</v>
      </c>
      <c r="BH234" s="335">
        <f>(ABS(P234)+ABS(R234)+ABS(T234)+ABS(V234)+ABS(X234)+ABS(Z234)+ABS(AB234)+ABS(AD234)+ABS(AF234)+ABS(AH234)+ABS(AJ234)+ABS(AL234)+ABS(AN234)+ABS(AP234)+ABS(AR234)+ABS(AT234)+ABS(AV234)+ABS(AX234)+ABS(AZ234)+ABS(BB234))</f>
        <v>0</v>
      </c>
      <c r="BI234" s="52">
        <f>VLOOKUP(GasPosn!A234,'Pricing Summary'!$AB$12:$AD$250,3)</f>
        <v>30</v>
      </c>
      <c r="BJ234" s="50">
        <f>VLOOKUP(A234,Interest!$AF$8:$AK$367,6)</f>
        <v>0.89676006399607244</v>
      </c>
      <c r="BK234" s="50"/>
      <c r="BL234">
        <f>J234*VLOOKUP(A234,NymexData!$J$12:$K$244,2)</f>
        <v>0</v>
      </c>
      <c r="BO234">
        <f t="shared" si="67"/>
        <v>0.89676006399607244</v>
      </c>
      <c r="BP234">
        <f t="shared" si="68"/>
        <v>-0.38560682751831116</v>
      </c>
      <c r="BQ234">
        <f t="shared" si="69"/>
        <v>0</v>
      </c>
      <c r="BR234">
        <f t="shared" si="70"/>
        <v>0</v>
      </c>
      <c r="BS234">
        <f t="shared" si="71"/>
        <v>0</v>
      </c>
    </row>
    <row r="235" spans="1:71" ht="18" x14ac:dyDescent="0.25">
      <c r="A235" s="100">
        <f t="shared" si="58"/>
        <v>38261</v>
      </c>
      <c r="B235" s="329">
        <f t="array" ref="B235">SUM(IF(MONTH(NymexData!$AL$12:$AL$250)&amp;YEAR(NymexData!$AL$12:$AL$250)=MONTH(A235)&amp;YEAR(A235),NymexData!$AM$12:$AM$250))</f>
        <v>-180.60135015</v>
      </c>
      <c r="C235" s="330">
        <f t="shared" si="59"/>
        <v>0</v>
      </c>
      <c r="D235" s="331">
        <f t="shared" si="60"/>
        <v>-180.60135015</v>
      </c>
      <c r="E235" s="332">
        <f t="array" ref="E235">SUM(IF(MONTH(NymexData!$A$12:$A$250)&amp;YEAR(NymexData!$A$12:$A$250)=MONTH(A235)&amp;YEAR(A235),NymexData!$B$12:$B$250))</f>
        <v>-0.43</v>
      </c>
      <c r="F235" s="332">
        <f t="shared" si="61"/>
        <v>0</v>
      </c>
      <c r="G235" s="333">
        <f t="array" ref="G235">IF(NymexData!$H$12="",GasPosn!E235,SUM(IF(MONTH(NymexData!$H$12:$H$250)&amp;YEAR(NymexData!$H$12:$H$250)=MONTH(A235)&amp;YEAR(A235),NymexData!$I$12:$I$250)))</f>
        <v>-0.43</v>
      </c>
      <c r="H235" s="85">
        <f t="shared" si="62"/>
        <v>0</v>
      </c>
      <c r="I235" s="88">
        <f t="shared" si="63"/>
        <v>0</v>
      </c>
      <c r="J235" s="88">
        <f t="shared" si="55"/>
        <v>0</v>
      </c>
      <c r="M235" s="69"/>
      <c r="N235" s="69"/>
      <c r="O235" s="47">
        <f t="shared" si="56"/>
        <v>38261</v>
      </c>
      <c r="BD235" s="48">
        <f>(P235+R235+T235+V235+X235+Z235+AB235+AD235+AF235+AH235+AJ235+AL235+AN235+AP235+AR235+AT235+AV235+AX235+AZ235+BB235)</f>
        <v>0</v>
      </c>
      <c r="BE235" s="334">
        <f>IF(AND(BD235=0,BH235=0),0,(ABS(P235)*Q235+ABS(R235)*S235+ABS(T235)*U235+ABS(V235)*W235+ABS(X235)*Y235+ABS(Z235)*AA235+ABS(AB235)*AC235+ABS(AD235)*AE235+ABS(AF235)*AG235+ABS(AH235)*AI235+ABS(AJ235)*AK235+ABS(AL235)*AM235+ABS(AN235)*AO235+ABS(AP235)*AQ235+ABS(AR235)*AS235+ABS(AT235)*AU235+ABS(AV235)*AW235+ABS(AX235)*AY235+ABS(AZ235)*BA235+ABS(BB235)*BC235)/BH235)</f>
        <v>0</v>
      </c>
      <c r="BF235" s="25"/>
      <c r="BG235" s="51">
        <f t="shared" si="57"/>
        <v>38261</v>
      </c>
      <c r="BH235" s="335">
        <f>(ABS(P235)+ABS(R235)+ABS(T235)+ABS(V235)+ABS(X235)+ABS(Z235)+ABS(AB235)+ABS(AD235)+ABS(AF235)+ABS(AH235)+ABS(AJ235)+ABS(AL235)+ABS(AN235)+ABS(AP235)+ABS(AR235)+ABS(AT235)+ABS(AV235)+ABS(AX235)+ABS(AZ235)+ABS(BB235))</f>
        <v>0</v>
      </c>
      <c r="BI235" s="52">
        <f>VLOOKUP(GasPosn!A235,'Pricing Summary'!$AB$12:$AD$250,3)</f>
        <v>31</v>
      </c>
      <c r="BJ235" s="50">
        <f>VLOOKUP(A235,Interest!$AF$8:$AK$367,6)</f>
        <v>0.89273900158123831</v>
      </c>
      <c r="BK235" s="50"/>
      <c r="BL235">
        <f>J235*VLOOKUP(A235,NymexData!$J$12:$K$244,2)</f>
        <v>0</v>
      </c>
      <c r="BO235">
        <f t="shared" si="67"/>
        <v>0.89273900158123831</v>
      </c>
      <c r="BP235">
        <f t="shared" si="68"/>
        <v>-0.38387777067993245</v>
      </c>
      <c r="BQ235">
        <f t="shared" si="69"/>
        <v>0</v>
      </c>
      <c r="BR235">
        <f t="shared" si="70"/>
        <v>0</v>
      </c>
      <c r="BS235">
        <f t="shared" si="71"/>
        <v>0</v>
      </c>
    </row>
    <row r="236" spans="1:71" ht="18" x14ac:dyDescent="0.25">
      <c r="A236" s="98">
        <f t="shared" si="58"/>
        <v>38292</v>
      </c>
      <c r="B236" s="324">
        <f t="array" ref="B236">SUM(IF(MONTH(NymexData!$AL$12:$AL$250)&amp;YEAR(NymexData!$AL$12:$AL$250)=MONTH(A236)&amp;YEAR(A236),NymexData!$AM$12:$AM$250))</f>
        <v>-173.98859436999999</v>
      </c>
      <c r="C236" s="324">
        <f t="shared" si="59"/>
        <v>0</v>
      </c>
      <c r="D236" s="326">
        <f t="shared" si="60"/>
        <v>-173.98859436999999</v>
      </c>
      <c r="E236" s="327">
        <f t="array" ref="E236">SUM(IF(MONTH(NymexData!$A$12:$A$250)&amp;YEAR(NymexData!$A$12:$A$250)=MONTH(A236)&amp;YEAR(A236),NymexData!$B$12:$B$250))</f>
        <v>-0.39</v>
      </c>
      <c r="F236" s="327">
        <f t="shared" si="61"/>
        <v>0</v>
      </c>
      <c r="G236" s="328">
        <f t="array" ref="G236">IF(NymexData!$H$12="",GasPosn!E236,SUM(IF(MONTH(NymexData!$H$12:$H$250)&amp;YEAR(NymexData!$H$12:$H$250)=MONTH(A236)&amp;YEAR(A236),NymexData!$I$12:$I$250)))</f>
        <v>-0.39</v>
      </c>
      <c r="H236" s="99">
        <f t="shared" si="62"/>
        <v>0</v>
      </c>
      <c r="I236" s="92">
        <f t="shared" si="63"/>
        <v>0</v>
      </c>
      <c r="J236" s="92">
        <f t="shared" si="55"/>
        <v>0</v>
      </c>
      <c r="O236" s="47">
        <f t="shared" si="56"/>
        <v>38292</v>
      </c>
      <c r="BD236" s="48">
        <f t="shared" ref="BD236:BD267" si="72">(P236+R236+T236+V236+X236+Z236+AB236+AD236+AF236+AH236+AJ236+AL236+AN236+AP236+AR236+AT236+AV236+AX236+AZ236+BB236)</f>
        <v>0</v>
      </c>
      <c r="BE236" s="334">
        <f t="shared" ref="BE236:BE267" si="73">IF(AND(BD236=0,BH236=0),0,(ABS(P236)*Q236+ABS(R236)*S236+ABS(T236)*U236+ABS(V236)*W236+ABS(X236)*Y236+ABS(Z236)*AA236+ABS(AB236)*AC236+ABS(AD236)*AE236+ABS(AF236)*AG236+ABS(AH236)*AI236+ABS(AJ236)*AK236+ABS(AL236)*AM236+ABS(AN236)*AO236+ABS(AP236)*AQ236+ABS(AR236)*AS236+ABS(AT236)*AU236+ABS(AV236)*AW236+ABS(AX236)*AY236+ABS(AZ236)*BA236+ABS(BB236)*BC236)/BH236)</f>
        <v>0</v>
      </c>
      <c r="BG236" s="51">
        <f t="shared" si="57"/>
        <v>38292</v>
      </c>
      <c r="BH236" s="335">
        <f t="shared" ref="BH236:BH299" si="74">(ABS(P236)+ABS(R236)+ABS(T236)+ABS(V236)+ABS(X236)+ABS(Z236)+ABS(AB236)+ABS(AD236)+ABS(AF236)+ABS(AH236)+ABS(AJ236)+ABS(AL236)+ABS(AN236)+ABS(AP236)+ABS(AR236)+ABS(AT236)+ABS(AV236)+ABS(AX236)+ABS(AZ236)+ABS(BB236))</f>
        <v>0</v>
      </c>
      <c r="BI236" s="52">
        <f>VLOOKUP(GasPosn!A236,'Pricing Summary'!$AB$12:$AD$250,3)</f>
        <v>30</v>
      </c>
      <c r="BJ236" s="50">
        <f>VLOOKUP(A236,Interest!$AF$8:$AK$367,6)</f>
        <v>0.88876952927706621</v>
      </c>
      <c r="BL236">
        <f>J236*VLOOKUP(A236,NymexData!$J$12:$K$244,2)</f>
        <v>0</v>
      </c>
      <c r="BO236">
        <f t="shared" si="67"/>
        <v>0.88876952927706621</v>
      </c>
      <c r="BP236">
        <f t="shared" si="68"/>
        <v>-0.34662011641805585</v>
      </c>
      <c r="BQ236">
        <f t="shared" si="69"/>
        <v>0</v>
      </c>
      <c r="BR236">
        <f t="shared" si="70"/>
        <v>0</v>
      </c>
      <c r="BS236">
        <f t="shared" si="71"/>
        <v>0</v>
      </c>
    </row>
    <row r="237" spans="1:71" ht="18" x14ac:dyDescent="0.25">
      <c r="A237" s="100">
        <f t="shared" si="58"/>
        <v>38322</v>
      </c>
      <c r="B237" s="329">
        <f t="array" ref="B237">SUM(IF(MONTH(NymexData!$AL$12:$AL$250)&amp;YEAR(NymexData!$AL$12:$AL$250)=MONTH(A237)&amp;YEAR(A237),NymexData!$AM$12:$AM$250))</f>
        <v>-179.04652196000001</v>
      </c>
      <c r="C237" s="330">
        <f t="shared" si="59"/>
        <v>0</v>
      </c>
      <c r="D237" s="331">
        <f t="shared" si="60"/>
        <v>-179.04652196000001</v>
      </c>
      <c r="E237" s="332">
        <f t="array" ref="E237">SUM(IF(MONTH(NymexData!$A$12:$A$250)&amp;YEAR(NymexData!$A$12:$A$250)=MONTH(A237)&amp;YEAR(A237),NymexData!$B$12:$B$250))</f>
        <v>-0.39</v>
      </c>
      <c r="F237" s="332">
        <f t="shared" si="61"/>
        <v>0</v>
      </c>
      <c r="G237" s="333">
        <f t="array" ref="G237">IF(NymexData!$H$12="",GasPosn!E237,SUM(IF(MONTH(NymexData!$H$12:$H$250)&amp;YEAR(NymexData!$H$12:$H$250)=MONTH(A237)&amp;YEAR(A237),NymexData!$I$12:$I$250)))</f>
        <v>-0.39</v>
      </c>
      <c r="H237" s="85">
        <f t="shared" si="62"/>
        <v>0</v>
      </c>
      <c r="I237" s="88">
        <f t="shared" si="63"/>
        <v>0</v>
      </c>
      <c r="J237" s="88">
        <f t="shared" si="55"/>
        <v>0</v>
      </c>
      <c r="O237" s="47">
        <f t="shared" si="56"/>
        <v>38322</v>
      </c>
      <c r="BD237" s="48">
        <f t="shared" si="72"/>
        <v>0</v>
      </c>
      <c r="BE237" s="334">
        <f t="shared" si="73"/>
        <v>0</v>
      </c>
      <c r="BG237" s="51">
        <f t="shared" si="57"/>
        <v>38322</v>
      </c>
      <c r="BH237" s="335">
        <f t="shared" si="74"/>
        <v>0</v>
      </c>
      <c r="BI237" s="52">
        <f>VLOOKUP(GasPosn!A237,'Pricing Summary'!$AB$12:$AD$250,3)</f>
        <v>31</v>
      </c>
      <c r="BJ237" s="50">
        <f>VLOOKUP(A237,Interest!$AF$8:$AK$367,6)</f>
        <v>0.88470114223239971</v>
      </c>
      <c r="BL237">
        <f>J237*VLOOKUP(A237,NymexData!$J$12:$K$244,2)</f>
        <v>0</v>
      </c>
      <c r="BO237">
        <f t="shared" si="67"/>
        <v>0.88470114223239971</v>
      </c>
      <c r="BP237">
        <f t="shared" si="68"/>
        <v>-0.34503344547063591</v>
      </c>
      <c r="BQ237">
        <f t="shared" si="69"/>
        <v>0</v>
      </c>
      <c r="BR237">
        <f t="shared" si="70"/>
        <v>0</v>
      </c>
      <c r="BS237">
        <f t="shared" si="71"/>
        <v>0</v>
      </c>
    </row>
    <row r="238" spans="1:71" ht="18" x14ac:dyDescent="0.25">
      <c r="A238" s="98">
        <f t="shared" si="58"/>
        <v>38353</v>
      </c>
      <c r="B238" s="324">
        <f t="array" ref="B238">SUM(IF(MONTH(NymexData!$AL$12:$AL$250)&amp;YEAR(NymexData!$AL$12:$AL$250)=MONTH(A238)&amp;YEAR(A238),NymexData!$AM$12:$AM$250))</f>
        <v>-164.55977530000001</v>
      </c>
      <c r="C238" s="324">
        <f t="shared" si="59"/>
        <v>0</v>
      </c>
      <c r="D238" s="326">
        <f t="shared" si="60"/>
        <v>-164.55977530000001</v>
      </c>
      <c r="E238" s="327">
        <f t="array" ref="E238">SUM(IF(MONTH(NymexData!$A$12:$A$250)&amp;YEAR(NymexData!$A$12:$A$250)=MONTH(A238)&amp;YEAR(A238),NymexData!$B$12:$B$250))</f>
        <v>-0.39</v>
      </c>
      <c r="F238" s="327">
        <f t="shared" si="61"/>
        <v>0</v>
      </c>
      <c r="G238" s="328">
        <f t="array" ref="G238">IF(NymexData!$H$12="",GasPosn!E238,SUM(IF(MONTH(NymexData!$H$12:$H$250)&amp;YEAR(NymexData!$H$12:$H$250)=MONTH(A238)&amp;YEAR(A238),NymexData!$I$12:$I$250)))</f>
        <v>-0.39</v>
      </c>
      <c r="H238" s="99">
        <f t="shared" si="62"/>
        <v>0</v>
      </c>
      <c r="I238" s="92">
        <f t="shared" si="63"/>
        <v>0</v>
      </c>
      <c r="J238" s="92">
        <f t="shared" si="55"/>
        <v>0</v>
      </c>
      <c r="O238" s="47">
        <f t="shared" si="56"/>
        <v>38353</v>
      </c>
      <c r="BD238" s="48">
        <f t="shared" si="72"/>
        <v>0</v>
      </c>
      <c r="BE238" s="334">
        <f t="shared" si="73"/>
        <v>0</v>
      </c>
      <c r="BG238" s="51">
        <f t="shared" si="57"/>
        <v>38353</v>
      </c>
      <c r="BH238" s="335">
        <f t="shared" si="74"/>
        <v>0</v>
      </c>
      <c r="BI238" s="52">
        <f>VLOOKUP(GasPosn!A238,'Pricing Summary'!$AB$12:$AD$250,3)</f>
        <v>31</v>
      </c>
      <c r="BJ238" s="50">
        <f>VLOOKUP(A238,Interest!$AF$8:$AK$367,6)</f>
        <v>0.88057975098583097</v>
      </c>
      <c r="BL238">
        <f>J238*VLOOKUP(A238,NymexData!$J$12:$K$244,2)</f>
        <v>0</v>
      </c>
      <c r="BO238">
        <f t="shared" si="67"/>
        <v>0.88057975098583097</v>
      </c>
      <c r="BP238">
        <f t="shared" si="68"/>
        <v>-0.34342610288447412</v>
      </c>
      <c r="BQ238">
        <f t="shared" si="69"/>
        <v>0</v>
      </c>
      <c r="BR238">
        <f t="shared" si="70"/>
        <v>0</v>
      </c>
      <c r="BS238">
        <f t="shared" si="71"/>
        <v>0</v>
      </c>
    </row>
    <row r="239" spans="1:71" ht="18" x14ac:dyDescent="0.25">
      <c r="A239" s="100">
        <f t="shared" si="58"/>
        <v>38384</v>
      </c>
      <c r="B239" s="329">
        <f t="array" ref="B239">SUM(IF(MONTH(NymexData!$AL$12:$AL$250)&amp;YEAR(NymexData!$AL$12:$AL$250)=MONTH(A239)&amp;YEAR(A239),NymexData!$AM$12:$AM$250))</f>
        <v>-147.98394478</v>
      </c>
      <c r="C239" s="330">
        <f t="shared" si="59"/>
        <v>0</v>
      </c>
      <c r="D239" s="331">
        <f t="shared" si="60"/>
        <v>-147.98394478</v>
      </c>
      <c r="E239" s="332">
        <f t="array" ref="E239">SUM(IF(MONTH(NymexData!$A$12:$A$250)&amp;YEAR(NymexData!$A$12:$A$250)=MONTH(A239)&amp;YEAR(A239),NymexData!$B$12:$B$250))</f>
        <v>-0.39</v>
      </c>
      <c r="F239" s="332">
        <f t="shared" si="61"/>
        <v>0</v>
      </c>
      <c r="G239" s="333">
        <f t="array" ref="G239">IF(NymexData!$H$12="",GasPosn!E239,SUM(IF(MONTH(NymexData!$H$12:$H$250)&amp;YEAR(NymexData!$H$12:$H$250)=MONTH(A239)&amp;YEAR(A239),NymexData!$I$12:$I$250)))</f>
        <v>-0.39</v>
      </c>
      <c r="H239" s="85">
        <f t="shared" si="62"/>
        <v>0</v>
      </c>
      <c r="I239" s="88">
        <f t="shared" si="63"/>
        <v>0</v>
      </c>
      <c r="J239" s="88">
        <f t="shared" si="55"/>
        <v>0</v>
      </c>
      <c r="O239" s="47">
        <f t="shared" si="56"/>
        <v>38384</v>
      </c>
      <c r="BD239" s="48">
        <f t="shared" si="72"/>
        <v>0</v>
      </c>
      <c r="BE239" s="334">
        <f t="shared" si="73"/>
        <v>0</v>
      </c>
      <c r="BG239" s="51">
        <f t="shared" si="57"/>
        <v>38384</v>
      </c>
      <c r="BH239" s="335">
        <f t="shared" si="74"/>
        <v>0</v>
      </c>
      <c r="BI239" s="52">
        <f>VLOOKUP(GasPosn!A239,'Pricing Summary'!$AB$12:$AD$250,3)</f>
        <v>28</v>
      </c>
      <c r="BJ239" s="50">
        <f>VLOOKUP(A239,Interest!$AF$8:$AK$367,6)</f>
        <v>0.87672383052938008</v>
      </c>
      <c r="BL239">
        <f>J239*VLOOKUP(A239,NymexData!$J$12:$K$244,2)</f>
        <v>0</v>
      </c>
      <c r="BO239">
        <f t="shared" si="67"/>
        <v>0.87672383052938008</v>
      </c>
      <c r="BP239">
        <f t="shared" si="68"/>
        <v>-0.34192229390645823</v>
      </c>
      <c r="BQ239">
        <f t="shared" si="69"/>
        <v>0</v>
      </c>
      <c r="BR239">
        <f t="shared" si="70"/>
        <v>0</v>
      </c>
      <c r="BS239">
        <f t="shared" si="71"/>
        <v>0</v>
      </c>
    </row>
    <row r="240" spans="1:71" ht="18" x14ac:dyDescent="0.25">
      <c r="A240" s="98">
        <f t="shared" si="58"/>
        <v>38412</v>
      </c>
      <c r="B240" s="324">
        <f t="array" ref="B240">SUM(IF(MONTH(NymexData!$AL$12:$AL$250)&amp;YEAR(NymexData!$AL$12:$AL$250)=MONTH(A240)&amp;YEAR(A240),NymexData!$AM$12:$AM$250))</f>
        <v>-163.18321019999999</v>
      </c>
      <c r="C240" s="324">
        <f t="shared" si="59"/>
        <v>0</v>
      </c>
      <c r="D240" s="326">
        <f t="shared" si="60"/>
        <v>-163.18321019999999</v>
      </c>
      <c r="E240" s="327">
        <f t="array" ref="E240">SUM(IF(MONTH(NymexData!$A$12:$A$250)&amp;YEAR(NymexData!$A$12:$A$250)=MONTH(A240)&amp;YEAR(A240),NymexData!$B$12:$B$250))</f>
        <v>-0.39</v>
      </c>
      <c r="F240" s="327">
        <f t="shared" si="61"/>
        <v>0</v>
      </c>
      <c r="G240" s="328">
        <f t="array" ref="G240">IF(NymexData!$H$12="",GasPosn!E240,SUM(IF(MONTH(NymexData!$H$12:$H$250)&amp;YEAR(NymexData!$H$12:$H$250)=MONTH(A240)&amp;YEAR(A240),NymexData!$I$12:$I$250)))</f>
        <v>-0.39</v>
      </c>
      <c r="H240" s="99">
        <f t="shared" si="62"/>
        <v>0</v>
      </c>
      <c r="I240" s="92">
        <f t="shared" si="63"/>
        <v>0</v>
      </c>
      <c r="J240" s="92">
        <f t="shared" si="55"/>
        <v>0</v>
      </c>
      <c r="O240" s="47">
        <f t="shared" si="56"/>
        <v>38412</v>
      </c>
      <c r="BD240" s="48">
        <f t="shared" si="72"/>
        <v>0</v>
      </c>
      <c r="BE240" s="334">
        <f t="shared" si="73"/>
        <v>0</v>
      </c>
      <c r="BG240" s="51">
        <f t="shared" si="57"/>
        <v>38412</v>
      </c>
      <c r="BH240" s="335">
        <f t="shared" si="74"/>
        <v>0</v>
      </c>
      <c r="BI240" s="52">
        <f>VLOOKUP(GasPosn!A240,'Pricing Summary'!$AB$12:$AD$250,3)</f>
        <v>31</v>
      </c>
      <c r="BJ240" s="50">
        <f>VLOOKUP(A240,Interest!$AF$8:$AK$367,6)</f>
        <v>0.87266758764656482</v>
      </c>
      <c r="BL240">
        <f>J240*VLOOKUP(A240,NymexData!$J$12:$K$244,2)</f>
        <v>0</v>
      </c>
      <c r="BO240">
        <f t="shared" si="67"/>
        <v>0.87266758764656482</v>
      </c>
      <c r="BP240">
        <f t="shared" si="68"/>
        <v>-0.34034035918216027</v>
      </c>
      <c r="BQ240">
        <f t="shared" si="69"/>
        <v>0</v>
      </c>
      <c r="BR240">
        <f t="shared" si="70"/>
        <v>0</v>
      </c>
      <c r="BS240">
        <f t="shared" si="71"/>
        <v>0</v>
      </c>
    </row>
    <row r="241" spans="1:71" ht="18" x14ac:dyDescent="0.25">
      <c r="A241" s="100">
        <f t="shared" si="58"/>
        <v>38443</v>
      </c>
      <c r="B241" s="329">
        <f t="array" ref="B241">SUM(IF(MONTH(NymexData!$AL$12:$AL$250)&amp;YEAR(NymexData!$AL$12:$AL$250)=MONTH(A241)&amp;YEAR(A241),NymexData!$AM$12:$AM$250))</f>
        <v>-157.21045606000001</v>
      </c>
      <c r="C241" s="330">
        <f t="shared" si="59"/>
        <v>0</v>
      </c>
      <c r="D241" s="331">
        <f t="shared" si="60"/>
        <v>-157.21045606000001</v>
      </c>
      <c r="E241" s="332">
        <f t="array" ref="E241">SUM(IF(MONTH(NymexData!$A$12:$A$250)&amp;YEAR(NymexData!$A$12:$A$250)=MONTH(A241)&amp;YEAR(A241),NymexData!$B$12:$B$250))</f>
        <v>-0.44</v>
      </c>
      <c r="F241" s="332">
        <f t="shared" si="61"/>
        <v>0</v>
      </c>
      <c r="G241" s="333">
        <f t="array" ref="G241">IF(NymexData!$H$12="",GasPosn!E241,SUM(IF(MONTH(NymexData!$H$12:$H$250)&amp;YEAR(NymexData!$H$12:$H$250)=MONTH(A241)&amp;YEAR(A241),NymexData!$I$12:$I$250)))</f>
        <v>-0.44</v>
      </c>
      <c r="H241" s="85">
        <f t="shared" si="62"/>
        <v>0</v>
      </c>
      <c r="I241" s="88">
        <f t="shared" si="63"/>
        <v>0</v>
      </c>
      <c r="J241" s="88">
        <f t="shared" si="55"/>
        <v>0</v>
      </c>
      <c r="O241" s="47">
        <f t="shared" si="56"/>
        <v>38443</v>
      </c>
      <c r="BD241" s="48">
        <f t="shared" si="72"/>
        <v>0</v>
      </c>
      <c r="BE241" s="334">
        <f t="shared" si="73"/>
        <v>0</v>
      </c>
      <c r="BG241" s="51">
        <f t="shared" si="57"/>
        <v>38443</v>
      </c>
      <c r="BH241" s="335">
        <f t="shared" si="74"/>
        <v>0</v>
      </c>
      <c r="BI241" s="52">
        <f>VLOOKUP(GasPosn!A241,'Pricing Summary'!$AB$12:$AD$250,3)</f>
        <v>30</v>
      </c>
      <c r="BJ241" s="50">
        <f>VLOOKUP(A241,Interest!$AF$8:$AK$367,6)</f>
        <v>0.8686317389279562</v>
      </c>
      <c r="BL241">
        <f>J241*VLOOKUP(A241,NymexData!$J$12:$K$244,2)</f>
        <v>0</v>
      </c>
      <c r="BO241">
        <f t="shared" si="67"/>
        <v>0.8686317389279562</v>
      </c>
      <c r="BP241">
        <f t="shared" si="68"/>
        <v>-0.38219796512830073</v>
      </c>
      <c r="BQ241">
        <f t="shared" si="69"/>
        <v>0</v>
      </c>
      <c r="BR241">
        <f t="shared" si="70"/>
        <v>0</v>
      </c>
      <c r="BS241">
        <f t="shared" si="71"/>
        <v>0</v>
      </c>
    </row>
    <row r="242" spans="1:71" ht="18" x14ac:dyDescent="0.25">
      <c r="A242" s="98">
        <f t="shared" si="58"/>
        <v>38473</v>
      </c>
      <c r="B242" s="324">
        <f t="array" ref="B242">SUM(IF(MONTH(NymexData!$AL$12:$AL$250)&amp;YEAR(NymexData!$AL$12:$AL$250)=MONTH(A242)&amp;YEAR(A242),NymexData!$AM$12:$AM$250))</f>
        <v>-161.7361813</v>
      </c>
      <c r="C242" s="324">
        <f t="shared" si="59"/>
        <v>0</v>
      </c>
      <c r="D242" s="326">
        <f t="shared" si="60"/>
        <v>-161.7361813</v>
      </c>
      <c r="E242" s="327">
        <f t="array" ref="E242">SUM(IF(MONTH(NymexData!$A$12:$A$250)&amp;YEAR(NymexData!$A$12:$A$250)=MONTH(A242)&amp;YEAR(A242),NymexData!$B$12:$B$250))</f>
        <v>-0.44</v>
      </c>
      <c r="F242" s="327">
        <f t="shared" si="61"/>
        <v>0</v>
      </c>
      <c r="G242" s="328">
        <f t="array" ref="G242">IF(NymexData!$H$12="",GasPosn!E242,SUM(IF(MONTH(NymexData!$H$12:$H$250)&amp;YEAR(NymexData!$H$12:$H$250)=MONTH(A242)&amp;YEAR(A242),NymexData!$I$12:$I$250)))</f>
        <v>-0.44</v>
      </c>
      <c r="H242" s="99">
        <f t="shared" si="62"/>
        <v>0</v>
      </c>
      <c r="I242" s="92">
        <f t="shared" si="63"/>
        <v>0</v>
      </c>
      <c r="J242" s="92">
        <f t="shared" si="55"/>
        <v>0</v>
      </c>
      <c r="O242" s="47">
        <f t="shared" si="56"/>
        <v>38473</v>
      </c>
      <c r="BD242" s="48">
        <f t="shared" si="72"/>
        <v>0</v>
      </c>
      <c r="BE242" s="334">
        <f t="shared" si="73"/>
        <v>0</v>
      </c>
      <c r="BG242" s="51">
        <f t="shared" si="57"/>
        <v>38473</v>
      </c>
      <c r="BH242" s="335">
        <f t="shared" si="74"/>
        <v>0</v>
      </c>
      <c r="BI242" s="52">
        <f>VLOOKUP(GasPosn!A242,'Pricing Summary'!$AB$12:$AD$250,3)</f>
        <v>31</v>
      </c>
      <c r="BJ242" s="50">
        <f>VLOOKUP(A242,Interest!$AF$8:$AK$367,6)</f>
        <v>0.86458090072214322</v>
      </c>
      <c r="BL242">
        <f>J242*VLOOKUP(A242,NymexData!$J$12:$K$244,2)</f>
        <v>0</v>
      </c>
      <c r="BO242">
        <f t="shared" si="67"/>
        <v>0.86458090072214322</v>
      </c>
      <c r="BP242">
        <f t="shared" si="68"/>
        <v>-0.38041559631774302</v>
      </c>
      <c r="BQ242">
        <f t="shared" si="69"/>
        <v>0</v>
      </c>
      <c r="BR242">
        <f t="shared" si="70"/>
        <v>0</v>
      </c>
      <c r="BS242">
        <f t="shared" si="71"/>
        <v>0</v>
      </c>
    </row>
    <row r="243" spans="1:71" ht="18" x14ac:dyDescent="0.25">
      <c r="A243" s="100">
        <f t="shared" si="58"/>
        <v>38504</v>
      </c>
      <c r="B243" s="329">
        <f t="array" ref="B243">SUM(IF(MONTH(NymexData!$AL$12:$AL$250)&amp;YEAR(NymexData!$AL$12:$AL$250)=MONTH(A243)&amp;YEAR(A243),NymexData!$AM$12:$AM$250))</f>
        <v>-155.79852754000001</v>
      </c>
      <c r="C243" s="330">
        <f t="shared" si="59"/>
        <v>0</v>
      </c>
      <c r="D243" s="331">
        <f t="shared" si="60"/>
        <v>-155.79852754000001</v>
      </c>
      <c r="E243" s="332">
        <f t="array" ref="E243">SUM(IF(MONTH(NymexData!$A$12:$A$250)&amp;YEAR(NymexData!$A$12:$A$250)=MONTH(A243)&amp;YEAR(A243),NymexData!$B$12:$B$250))</f>
        <v>-0.44</v>
      </c>
      <c r="F243" s="332">
        <f t="shared" si="61"/>
        <v>0</v>
      </c>
      <c r="G243" s="333">
        <f t="array" ref="G243">IF(NymexData!$H$12="",GasPosn!E243,SUM(IF(MONTH(NymexData!$H$12:$H$250)&amp;YEAR(NymexData!$H$12:$H$250)=MONTH(A243)&amp;YEAR(A243),NymexData!$I$12:$I$250)))</f>
        <v>-0.44</v>
      </c>
      <c r="H243" s="85">
        <f t="shared" si="62"/>
        <v>0</v>
      </c>
      <c r="I243" s="88">
        <f t="shared" si="63"/>
        <v>0</v>
      </c>
      <c r="J243" s="88">
        <f t="shared" si="55"/>
        <v>0</v>
      </c>
      <c r="O243" s="47">
        <f t="shared" si="56"/>
        <v>38504</v>
      </c>
      <c r="BD243" s="48">
        <f t="shared" si="72"/>
        <v>0</v>
      </c>
      <c r="BE243" s="334">
        <f t="shared" si="73"/>
        <v>0</v>
      </c>
      <c r="BG243" s="51">
        <f t="shared" si="57"/>
        <v>38504</v>
      </c>
      <c r="BH243" s="335">
        <f t="shared" si="74"/>
        <v>0</v>
      </c>
      <c r="BI243" s="52">
        <f>VLOOKUP(GasPosn!A243,'Pricing Summary'!$AB$12:$AD$250,3)</f>
        <v>30</v>
      </c>
      <c r="BJ243" s="50">
        <f>VLOOKUP(A243,Interest!$AF$8:$AK$367,6)</f>
        <v>0.86055528171127715</v>
      </c>
      <c r="BL243">
        <f>J243*VLOOKUP(A243,NymexData!$J$12:$K$244,2)</f>
        <v>0</v>
      </c>
      <c r="BO243">
        <f t="shared" si="67"/>
        <v>0.86055528171127715</v>
      </c>
      <c r="BP243">
        <f t="shared" si="68"/>
        <v>-0.37864432395296194</v>
      </c>
      <c r="BQ243">
        <f t="shared" si="69"/>
        <v>0</v>
      </c>
      <c r="BR243">
        <f t="shared" si="70"/>
        <v>0</v>
      </c>
      <c r="BS243">
        <f t="shared" si="71"/>
        <v>0</v>
      </c>
    </row>
    <row r="244" spans="1:71" ht="18" x14ac:dyDescent="0.25">
      <c r="A244" s="98">
        <f t="shared" si="58"/>
        <v>38534</v>
      </c>
      <c r="B244" s="324">
        <f t="array" ref="B244">SUM(IF(MONTH(NymexData!$AL$12:$AL$250)&amp;YEAR(NymexData!$AL$12:$AL$250)=MONTH(A244)&amp;YEAR(A244),NymexData!$AM$12:$AM$250))</f>
        <v>-160.26582864</v>
      </c>
      <c r="C244" s="325">
        <f t="shared" si="59"/>
        <v>0</v>
      </c>
      <c r="D244" s="326">
        <f t="shared" si="60"/>
        <v>-160.26582864</v>
      </c>
      <c r="E244" s="327">
        <f t="array" ref="E244">SUM(IF(MONTH(NymexData!$A$12:$A$250)&amp;YEAR(NymexData!$A$12:$A$250)=MONTH(A244)&amp;YEAR(A244),NymexData!$B$12:$B$250))</f>
        <v>-0.44</v>
      </c>
      <c r="F244" s="327">
        <f t="shared" si="61"/>
        <v>0</v>
      </c>
      <c r="G244" s="328">
        <f t="array" ref="G244">IF(NymexData!$H$12="",GasPosn!E244,SUM(IF(MONTH(NymexData!$H$12:$H$250)&amp;YEAR(NymexData!$H$12:$H$250)=MONTH(A244)&amp;YEAR(A244),NymexData!$I$12:$I$250)))</f>
        <v>-0.44</v>
      </c>
      <c r="H244" s="99">
        <f t="shared" si="62"/>
        <v>0</v>
      </c>
      <c r="I244" s="92">
        <f t="shared" si="63"/>
        <v>0</v>
      </c>
      <c r="J244" s="92">
        <f t="shared" si="55"/>
        <v>0</v>
      </c>
      <c r="O244" s="47">
        <f t="shared" si="56"/>
        <v>38534</v>
      </c>
      <c r="BD244" s="48">
        <f t="shared" si="72"/>
        <v>0</v>
      </c>
      <c r="BE244" s="334">
        <f t="shared" si="73"/>
        <v>0</v>
      </c>
      <c r="BG244" s="51">
        <f t="shared" si="57"/>
        <v>38534</v>
      </c>
      <c r="BH244" s="335">
        <f t="shared" si="74"/>
        <v>0</v>
      </c>
      <c r="BI244" s="52">
        <f>VLOOKUP(GasPosn!A244,'Pricing Summary'!$AB$12:$AD$250,3)</f>
        <v>31</v>
      </c>
      <c r="BJ244" s="50">
        <f>VLOOKUP(A244,Interest!$AF$8:$AK$367,6)</f>
        <v>0.85648332670118255</v>
      </c>
      <c r="BL244">
        <f>J244*VLOOKUP(A244,NymexData!$J$12:$K$244,2)</f>
        <v>0</v>
      </c>
      <c r="BO244">
        <f t="shared" si="67"/>
        <v>0.85648332670118255</v>
      </c>
      <c r="BP244">
        <f t="shared" si="68"/>
        <v>-0.37685266374852033</v>
      </c>
      <c r="BQ244">
        <f t="shared" si="69"/>
        <v>0</v>
      </c>
      <c r="BR244">
        <f t="shared" si="70"/>
        <v>0</v>
      </c>
      <c r="BS244">
        <f t="shared" si="71"/>
        <v>0</v>
      </c>
    </row>
    <row r="245" spans="1:71" ht="18" x14ac:dyDescent="0.25">
      <c r="A245" s="100">
        <f t="shared" si="58"/>
        <v>38565</v>
      </c>
      <c r="B245" s="329">
        <f t="array" ref="B245">SUM(IF(MONTH(NymexData!$AL$12:$AL$250)&amp;YEAR(NymexData!$AL$12:$AL$250)=MONTH(A245)&amp;YEAR(A245),NymexData!$AM$12:$AM$250))</f>
        <v>-159.50994693999999</v>
      </c>
      <c r="C245" s="330">
        <f t="shared" si="59"/>
        <v>0</v>
      </c>
      <c r="D245" s="331">
        <f t="shared" si="60"/>
        <v>-159.50994693999999</v>
      </c>
      <c r="E245" s="332">
        <f t="array" ref="E245">SUM(IF(MONTH(NymexData!$A$12:$A$250)&amp;YEAR(NymexData!$A$12:$A$250)=MONTH(A245)&amp;YEAR(A245),NymexData!$B$12:$B$250))</f>
        <v>-0.44</v>
      </c>
      <c r="F245" s="332">
        <f t="shared" si="61"/>
        <v>0</v>
      </c>
      <c r="G245" s="333">
        <f t="array" ref="G245">IF(NymexData!$H$12="",GasPosn!E245,SUM(IF(MONTH(NymexData!$H$12:$H$250)&amp;YEAR(NymexData!$H$12:$H$250)=MONTH(A245)&amp;YEAR(A245),NymexData!$I$12:$I$250)))</f>
        <v>-0.44</v>
      </c>
      <c r="H245" s="85">
        <f t="shared" si="62"/>
        <v>0</v>
      </c>
      <c r="I245" s="88">
        <f t="shared" si="63"/>
        <v>0</v>
      </c>
      <c r="J245" s="88">
        <f t="shared" si="55"/>
        <v>0</v>
      </c>
      <c r="O245" s="47">
        <f t="shared" si="56"/>
        <v>38565</v>
      </c>
      <c r="BD245" s="48">
        <f t="shared" si="72"/>
        <v>0</v>
      </c>
      <c r="BE245" s="334">
        <f t="shared" si="73"/>
        <v>0</v>
      </c>
      <c r="BG245" s="51">
        <f t="shared" si="57"/>
        <v>38565</v>
      </c>
      <c r="BH245" s="335">
        <f t="shared" si="74"/>
        <v>0</v>
      </c>
      <c r="BI245" s="52">
        <f>VLOOKUP(GasPosn!A245,'Pricing Summary'!$AB$12:$AD$250,3)</f>
        <v>31</v>
      </c>
      <c r="BJ245" s="50">
        <f>VLOOKUP(A245,Interest!$AF$8:$AK$367,6)</f>
        <v>0.85238717190807134</v>
      </c>
      <c r="BL245">
        <f>J245*VLOOKUP(A245,NymexData!$J$12:$K$244,2)</f>
        <v>0</v>
      </c>
      <c r="BO245">
        <f t="shared" si="67"/>
        <v>0.85238717190807134</v>
      </c>
      <c r="BP245">
        <f t="shared" si="68"/>
        <v>-0.37505035563955141</v>
      </c>
      <c r="BQ245">
        <f t="shared" si="69"/>
        <v>0</v>
      </c>
      <c r="BR245">
        <f t="shared" si="70"/>
        <v>0</v>
      </c>
      <c r="BS245">
        <f t="shared" si="71"/>
        <v>0</v>
      </c>
    </row>
    <row r="246" spans="1:71" ht="18" x14ac:dyDescent="0.25">
      <c r="A246" s="98">
        <f t="shared" si="58"/>
        <v>38596</v>
      </c>
      <c r="B246" s="324">
        <f t="array" ref="B246">SUM(IF(MONTH(NymexData!$AL$12:$AL$250)&amp;YEAR(NymexData!$AL$12:$AL$250)=MONTH(A246)&amp;YEAR(A246),NymexData!$AM$12:$AM$250))</f>
        <v>-153.62747315999999</v>
      </c>
      <c r="C246" s="324">
        <f t="shared" si="59"/>
        <v>0</v>
      </c>
      <c r="D246" s="326">
        <f t="shared" si="60"/>
        <v>-153.62747315999999</v>
      </c>
      <c r="E246" s="327">
        <f t="array" ref="E246">SUM(IF(MONTH(NymexData!$A$12:$A$250)&amp;YEAR(NymexData!$A$12:$A$250)=MONTH(A246)&amp;YEAR(A246),NymexData!$B$12:$B$250))</f>
        <v>-0.44</v>
      </c>
      <c r="F246" s="327">
        <f t="shared" si="61"/>
        <v>0</v>
      </c>
      <c r="G246" s="328">
        <f t="array" ref="G246">IF(NymexData!$H$12="",GasPosn!E246,SUM(IF(MONTH(NymexData!$H$12:$H$250)&amp;YEAR(NymexData!$H$12:$H$250)=MONTH(A246)&amp;YEAR(A246),NymexData!$I$12:$I$250)))</f>
        <v>-0.44</v>
      </c>
      <c r="H246" s="99">
        <f t="shared" si="62"/>
        <v>0</v>
      </c>
      <c r="I246" s="92">
        <f t="shared" si="63"/>
        <v>0</v>
      </c>
      <c r="J246" s="92">
        <f t="shared" si="55"/>
        <v>0</v>
      </c>
      <c r="O246" s="47">
        <f t="shared" si="56"/>
        <v>38596</v>
      </c>
      <c r="BD246" s="48">
        <f t="shared" si="72"/>
        <v>0</v>
      </c>
      <c r="BE246" s="334">
        <f t="shared" si="73"/>
        <v>0</v>
      </c>
      <c r="BG246" s="51">
        <f t="shared" si="57"/>
        <v>38596</v>
      </c>
      <c r="BH246" s="335">
        <f t="shared" si="74"/>
        <v>0</v>
      </c>
      <c r="BI246" s="52">
        <f>VLOOKUP(GasPosn!A246,'Pricing Summary'!$AB$12:$AD$250,3)</f>
        <v>30</v>
      </c>
      <c r="BJ246" s="50">
        <f>VLOOKUP(A246,Interest!$AF$8:$AK$367,6)</f>
        <v>0.84835863810766987</v>
      </c>
      <c r="BL246">
        <f>J246*VLOOKUP(A246,NymexData!$J$12:$K$244,2)</f>
        <v>0</v>
      </c>
      <c r="BO246">
        <f t="shared" si="67"/>
        <v>0.84835863810766987</v>
      </c>
      <c r="BP246">
        <f t="shared" si="68"/>
        <v>-0.37327780076737477</v>
      </c>
      <c r="BQ246">
        <f t="shared" si="69"/>
        <v>0</v>
      </c>
      <c r="BR246">
        <f t="shared" si="70"/>
        <v>0</v>
      </c>
      <c r="BS246">
        <f t="shared" si="71"/>
        <v>0</v>
      </c>
    </row>
    <row r="247" spans="1:71" ht="18" x14ac:dyDescent="0.25">
      <c r="A247" s="100">
        <f t="shared" si="58"/>
        <v>38626</v>
      </c>
      <c r="B247" s="329">
        <f t="array" ref="B247">SUM(IF(MONTH(NymexData!$AL$12:$AL$250)&amp;YEAR(NymexData!$AL$12:$AL$250)=MONTH(A247)&amp;YEAR(A247),NymexData!$AM$12:$AM$250))</f>
        <v>-158.00610384000001</v>
      </c>
      <c r="C247" s="330">
        <f t="shared" si="59"/>
        <v>0</v>
      </c>
      <c r="D247" s="331">
        <f t="shared" si="60"/>
        <v>-158.00610384000001</v>
      </c>
      <c r="E247" s="332">
        <f t="array" ref="E247">SUM(IF(MONTH(NymexData!$A$12:$A$250)&amp;YEAR(NymexData!$A$12:$A$250)=MONTH(A247)&amp;YEAR(A247),NymexData!$B$12:$B$250))</f>
        <v>-0.44</v>
      </c>
      <c r="F247" s="332">
        <f t="shared" si="61"/>
        <v>0</v>
      </c>
      <c r="G247" s="333">
        <f t="array" ref="G247">IF(NymexData!$H$12="",GasPosn!E247,SUM(IF(MONTH(NymexData!$H$12:$H$250)&amp;YEAR(NymexData!$H$12:$H$250)=MONTH(A247)&amp;YEAR(A247),NymexData!$I$12:$I$250)))</f>
        <v>-0.44</v>
      </c>
      <c r="H247" s="85">
        <f t="shared" si="62"/>
        <v>0</v>
      </c>
      <c r="I247" s="88">
        <f t="shared" si="63"/>
        <v>0</v>
      </c>
      <c r="J247" s="88">
        <f t="shared" si="55"/>
        <v>0</v>
      </c>
      <c r="O247" s="47">
        <f t="shared" si="56"/>
        <v>38626</v>
      </c>
      <c r="BD247" s="48">
        <f t="shared" si="72"/>
        <v>0</v>
      </c>
      <c r="BE247" s="334">
        <f t="shared" si="73"/>
        <v>0</v>
      </c>
      <c r="BG247" s="51">
        <f t="shared" si="57"/>
        <v>38626</v>
      </c>
      <c r="BH247" s="335">
        <f t="shared" si="74"/>
        <v>0</v>
      </c>
      <c r="BI247" s="52">
        <f>VLOOKUP(GasPosn!A247,'Pricing Summary'!$AB$12:$AD$250,3)</f>
        <v>31</v>
      </c>
      <c r="BJ247" s="50">
        <f>VLOOKUP(A247,Interest!$AF$8:$AK$367,6)</f>
        <v>0.84427166234103423</v>
      </c>
      <c r="BL247">
        <f>J247*VLOOKUP(A247,NymexData!$J$12:$K$244,2)</f>
        <v>0</v>
      </c>
      <c r="BO247">
        <f t="shared" si="67"/>
        <v>0.84427166234103423</v>
      </c>
      <c r="BP247">
        <f t="shared" si="68"/>
        <v>-0.37147953143005508</v>
      </c>
      <c r="BQ247">
        <f t="shared" si="69"/>
        <v>0</v>
      </c>
      <c r="BR247">
        <f t="shared" si="70"/>
        <v>0</v>
      </c>
      <c r="BS247">
        <f t="shared" si="71"/>
        <v>0</v>
      </c>
    </row>
    <row r="248" spans="1:71" ht="18" x14ac:dyDescent="0.25">
      <c r="A248" s="98">
        <f t="shared" si="58"/>
        <v>38657</v>
      </c>
      <c r="B248" s="324">
        <f t="array" ref="B248">SUM(IF(MONTH(NymexData!$AL$12:$AL$250)&amp;YEAR(NymexData!$AL$12:$AL$250)=MONTH(A248)&amp;YEAR(A248),NymexData!$AM$12:$AM$250))</f>
        <v>-139.48152671</v>
      </c>
      <c r="C248" s="324">
        <f t="shared" si="59"/>
        <v>0</v>
      </c>
      <c r="D248" s="326">
        <f t="shared" si="60"/>
        <v>-139.48152671</v>
      </c>
      <c r="E248" s="327">
        <f t="array" ref="E248">SUM(IF(MONTH(NymexData!$A$12:$A$250)&amp;YEAR(NymexData!$A$12:$A$250)=MONTH(A248)&amp;YEAR(A248),NymexData!$B$12:$B$250))</f>
        <v>-0.39500000000000002</v>
      </c>
      <c r="F248" s="327">
        <f t="shared" si="61"/>
        <v>0</v>
      </c>
      <c r="G248" s="328">
        <f t="array" ref="G248">IF(NymexData!$H$12="",GasPosn!E248,SUM(IF(MONTH(NymexData!$H$12:$H$250)&amp;YEAR(NymexData!$H$12:$H$250)=MONTH(A248)&amp;YEAR(A248),NymexData!$I$12:$I$250)))</f>
        <v>-0.39500000000000002</v>
      </c>
      <c r="H248" s="99">
        <f t="shared" si="62"/>
        <v>0</v>
      </c>
      <c r="I248" s="92">
        <f t="shared" si="63"/>
        <v>0</v>
      </c>
      <c r="J248" s="92">
        <f t="shared" si="55"/>
        <v>0</v>
      </c>
      <c r="O248" s="47">
        <f t="shared" si="56"/>
        <v>38657</v>
      </c>
      <c r="BD248" s="48">
        <f t="shared" si="72"/>
        <v>0</v>
      </c>
      <c r="BE248" s="334">
        <f t="shared" si="73"/>
        <v>0</v>
      </c>
      <c r="BG248" s="51">
        <f t="shared" si="57"/>
        <v>38657</v>
      </c>
      <c r="BH248" s="335">
        <f t="shared" si="74"/>
        <v>0</v>
      </c>
      <c r="BI248" s="52">
        <f>VLOOKUP(GasPosn!A248,'Pricing Summary'!$AB$12:$AD$250,3)</f>
        <v>30</v>
      </c>
      <c r="BJ248" s="50">
        <f>VLOOKUP(A248,Interest!$AF$8:$AK$367,6)</f>
        <v>0.84028450980852853</v>
      </c>
      <c r="BL248">
        <f>J248*VLOOKUP(A248,NymexData!$J$12:$K$244,2)</f>
        <v>0</v>
      </c>
      <c r="BO248">
        <f t="shared" si="67"/>
        <v>0.84028450980852853</v>
      </c>
      <c r="BP248">
        <f t="shared" si="68"/>
        <v>-0.33191238137436879</v>
      </c>
      <c r="BQ248">
        <f t="shared" si="69"/>
        <v>0</v>
      </c>
      <c r="BR248">
        <f t="shared" si="70"/>
        <v>0</v>
      </c>
      <c r="BS248">
        <f t="shared" si="71"/>
        <v>0</v>
      </c>
    </row>
    <row r="249" spans="1:71" ht="18" x14ac:dyDescent="0.25">
      <c r="A249" s="100">
        <f t="shared" si="58"/>
        <v>38687</v>
      </c>
      <c r="B249" s="329">
        <f t="array" ref="B249">SUM(IF(MONTH(NymexData!$AL$12:$AL$250)&amp;YEAR(NymexData!$AL$12:$AL$250)=MONTH(A249)&amp;YEAR(A249),NymexData!$AM$12:$AM$250))</f>
        <v>-143.44108371999999</v>
      </c>
      <c r="C249" s="330">
        <f t="shared" si="59"/>
        <v>0</v>
      </c>
      <c r="D249" s="331">
        <f t="shared" si="60"/>
        <v>-143.44108371999999</v>
      </c>
      <c r="E249" s="332">
        <f t="array" ref="E249">SUM(IF(MONTH(NymexData!$A$12:$A$250)&amp;YEAR(NymexData!$A$12:$A$250)=MONTH(A249)&amp;YEAR(A249),NymexData!$B$12:$B$250))</f>
        <v>-0.39500000000000002</v>
      </c>
      <c r="F249" s="332">
        <f t="shared" si="61"/>
        <v>0</v>
      </c>
      <c r="G249" s="333">
        <f t="array" ref="G249">IF(NymexData!$H$12="",GasPosn!E249,SUM(IF(MONTH(NymexData!$H$12:$H$250)&amp;YEAR(NymexData!$H$12:$H$250)=MONTH(A249)&amp;YEAR(A249),NymexData!$I$12:$I$250)))</f>
        <v>-0.39500000000000002</v>
      </c>
      <c r="H249" s="85">
        <f t="shared" si="62"/>
        <v>0</v>
      </c>
      <c r="I249" s="88">
        <f t="shared" si="63"/>
        <v>0</v>
      </c>
      <c r="J249" s="88">
        <f t="shared" si="55"/>
        <v>0</v>
      </c>
      <c r="O249" s="47">
        <f t="shared" si="56"/>
        <v>38687</v>
      </c>
      <c r="BD249" s="48">
        <f t="shared" si="72"/>
        <v>0</v>
      </c>
      <c r="BE249" s="334">
        <f t="shared" si="73"/>
        <v>0</v>
      </c>
      <c r="BG249" s="51">
        <f t="shared" si="57"/>
        <v>38687</v>
      </c>
      <c r="BH249" s="335">
        <f t="shared" si="74"/>
        <v>0</v>
      </c>
      <c r="BI249" s="52">
        <f>VLOOKUP(GasPosn!A249,'Pricing Summary'!$AB$12:$AD$250,3)</f>
        <v>31</v>
      </c>
      <c r="BJ249" s="50">
        <f>VLOOKUP(A249,Interest!$AF$8:$AK$367,6)</f>
        <v>0.83621120978527286</v>
      </c>
      <c r="BL249">
        <f>J249*VLOOKUP(A249,NymexData!$J$12:$K$244,2)</f>
        <v>0</v>
      </c>
      <c r="BO249">
        <f t="shared" si="67"/>
        <v>0.83621120978527286</v>
      </c>
      <c r="BP249">
        <f t="shared" si="68"/>
        <v>-0.3303034278651828</v>
      </c>
      <c r="BQ249">
        <f t="shared" si="69"/>
        <v>0</v>
      </c>
      <c r="BR249">
        <f t="shared" si="70"/>
        <v>0</v>
      </c>
      <c r="BS249">
        <f t="shared" si="71"/>
        <v>0</v>
      </c>
    </row>
    <row r="250" spans="1:71" ht="18" x14ac:dyDescent="0.25">
      <c r="A250" s="98">
        <f t="shared" si="58"/>
        <v>38718</v>
      </c>
      <c r="B250" s="324">
        <f t="array" ref="B250">SUM(IF(MONTH(NymexData!$AL$12:$AL$250)&amp;YEAR(NymexData!$AL$12:$AL$250)=MONTH(A250)&amp;YEAR(A250),NymexData!$AM$12:$AM$250))</f>
        <v>-116.77382541</v>
      </c>
      <c r="C250" s="324">
        <f t="shared" si="59"/>
        <v>0</v>
      </c>
      <c r="D250" s="326">
        <f t="shared" si="60"/>
        <v>-116.77382541</v>
      </c>
      <c r="E250" s="327">
        <f t="array" ref="E250">SUM(IF(MONTH(NymexData!$A$12:$A$250)&amp;YEAR(NymexData!$A$12:$A$250)=MONTH(A250)&amp;YEAR(A250),NymexData!$B$12:$B$250))</f>
        <v>-0.39500000000000002</v>
      </c>
      <c r="F250" s="327">
        <f t="shared" si="61"/>
        <v>0</v>
      </c>
      <c r="G250" s="328">
        <f t="array" ref="G250">IF(NymexData!$H$12="",GasPosn!E250,SUM(IF(MONTH(NymexData!$H$12:$H$250)&amp;YEAR(NymexData!$H$12:$H$250)=MONTH(A250)&amp;YEAR(A250),NymexData!$I$12:$I$250)))</f>
        <v>-0.39500000000000002</v>
      </c>
      <c r="H250" s="99">
        <f t="shared" si="62"/>
        <v>0</v>
      </c>
      <c r="I250" s="92">
        <f t="shared" si="63"/>
        <v>0</v>
      </c>
      <c r="J250" s="92">
        <f t="shared" si="55"/>
        <v>0</v>
      </c>
      <c r="O250" s="47">
        <f t="shared" si="56"/>
        <v>38718</v>
      </c>
      <c r="BD250" s="48">
        <f t="shared" si="72"/>
        <v>0</v>
      </c>
      <c r="BE250" s="334">
        <f t="shared" si="73"/>
        <v>0</v>
      </c>
      <c r="BG250" s="51">
        <f t="shared" si="57"/>
        <v>38718</v>
      </c>
      <c r="BH250" s="335">
        <f t="shared" si="74"/>
        <v>0</v>
      </c>
      <c r="BI250" s="52">
        <f>VLOOKUP(GasPosn!A250,'Pricing Summary'!$AB$12:$AD$250,3)</f>
        <v>31</v>
      </c>
      <c r="BJ250" s="50">
        <f>VLOOKUP(A250,Interest!$AF$8:$AK$367,6)</f>
        <v>0.83215062598275424</v>
      </c>
      <c r="BL250">
        <f>J250*VLOOKUP(A250,NymexData!$J$12:$K$244,2)</f>
        <v>0</v>
      </c>
      <c r="BO250">
        <f t="shared" si="67"/>
        <v>0.83215062598275424</v>
      </c>
      <c r="BP250">
        <f t="shared" si="68"/>
        <v>-0.32869949726318792</v>
      </c>
      <c r="BQ250">
        <f t="shared" si="69"/>
        <v>0</v>
      </c>
      <c r="BR250">
        <f t="shared" si="70"/>
        <v>0</v>
      </c>
      <c r="BS250">
        <f t="shared" si="71"/>
        <v>0</v>
      </c>
    </row>
    <row r="251" spans="1:71" ht="18" x14ac:dyDescent="0.25">
      <c r="A251" s="100">
        <f t="shared" si="58"/>
        <v>38749</v>
      </c>
      <c r="B251" s="329">
        <f t="array" ref="B251">SUM(IF(MONTH(NymexData!$AL$12:$AL$250)&amp;YEAR(NymexData!$AL$12:$AL$250)=MONTH(A251)&amp;YEAR(A251),NymexData!$AM$12:$AM$250))</f>
        <v>-104.93943498</v>
      </c>
      <c r="C251" s="330">
        <f t="shared" si="59"/>
        <v>0</v>
      </c>
      <c r="D251" s="331">
        <f t="shared" si="60"/>
        <v>-104.93943498</v>
      </c>
      <c r="E251" s="332">
        <f t="array" ref="E251">SUM(IF(MONTH(NymexData!$A$12:$A$250)&amp;YEAR(NymexData!$A$12:$A$250)=MONTH(A251)&amp;YEAR(A251),NymexData!$B$12:$B$250))</f>
        <v>-0.39500000000000002</v>
      </c>
      <c r="F251" s="332">
        <f t="shared" si="61"/>
        <v>0</v>
      </c>
      <c r="G251" s="333">
        <f t="array" ref="G251">IF(NymexData!$H$12="",GasPosn!E251,SUM(IF(MONTH(NymexData!$H$12:$H$250)&amp;YEAR(NymexData!$H$12:$H$250)=MONTH(A251)&amp;YEAR(A251),NymexData!$I$12:$I$250)))</f>
        <v>-0.39500000000000002</v>
      </c>
      <c r="H251" s="85">
        <f t="shared" si="62"/>
        <v>0</v>
      </c>
      <c r="I251" s="88">
        <f t="shared" si="63"/>
        <v>0</v>
      </c>
      <c r="J251" s="88">
        <f t="shared" si="55"/>
        <v>0</v>
      </c>
      <c r="O251" s="47">
        <f t="shared" si="56"/>
        <v>38749</v>
      </c>
      <c r="BD251" s="48">
        <f t="shared" si="72"/>
        <v>0</v>
      </c>
      <c r="BE251" s="334">
        <f t="shared" si="73"/>
        <v>0</v>
      </c>
      <c r="BG251" s="51">
        <f t="shared" si="57"/>
        <v>38749</v>
      </c>
      <c r="BH251" s="335">
        <f t="shared" si="74"/>
        <v>0</v>
      </c>
      <c r="BI251" s="52">
        <f>VLOOKUP(GasPosn!A251,'Pricing Summary'!$AB$12:$AD$250,3)</f>
        <v>28</v>
      </c>
      <c r="BJ251" s="50">
        <f>VLOOKUP(A251,Interest!$AF$8:$AK$367,6)</f>
        <v>0.82849418222068738</v>
      </c>
      <c r="BL251">
        <f>J251*VLOOKUP(A251,NymexData!$J$12:$K$244,2)</f>
        <v>0</v>
      </c>
      <c r="BO251">
        <f t="shared" si="67"/>
        <v>0.82849418222068738</v>
      </c>
      <c r="BP251">
        <f t="shared" si="68"/>
        <v>-0.32725520197717151</v>
      </c>
      <c r="BQ251">
        <f t="shared" si="69"/>
        <v>0</v>
      </c>
      <c r="BR251">
        <f t="shared" si="70"/>
        <v>0</v>
      </c>
      <c r="BS251">
        <f t="shared" si="71"/>
        <v>0</v>
      </c>
    </row>
    <row r="252" spans="1:71" ht="18" x14ac:dyDescent="0.25">
      <c r="A252" s="98">
        <f t="shared" si="58"/>
        <v>38777</v>
      </c>
      <c r="B252" s="324">
        <f t="array" ref="B252">SUM(IF(MONTH(NymexData!$AL$12:$AL$250)&amp;YEAR(NymexData!$AL$12:$AL$250)=MONTH(A252)&amp;YEAR(A252),NymexData!$AM$12:$AM$250))</f>
        <v>-115.6460409</v>
      </c>
      <c r="C252" s="324">
        <f t="shared" si="59"/>
        <v>0</v>
      </c>
      <c r="D252" s="326">
        <f t="shared" si="60"/>
        <v>-115.6460409</v>
      </c>
      <c r="E252" s="327">
        <f t="array" ref="E252">SUM(IF(MONTH(NymexData!$A$12:$A$250)&amp;YEAR(NymexData!$A$12:$A$250)=MONTH(A252)&amp;YEAR(A252),NymexData!$B$12:$B$250))</f>
        <v>-0.39500000000000002</v>
      </c>
      <c r="F252" s="327">
        <f t="shared" si="61"/>
        <v>0</v>
      </c>
      <c r="G252" s="328">
        <f t="array" ref="G252">IF(NymexData!$H$12="",GasPosn!E252,SUM(IF(MONTH(NymexData!$H$12:$H$250)&amp;YEAR(NymexData!$H$12:$H$250)=MONTH(A252)&amp;YEAR(A252),NymexData!$I$12:$I$250)))</f>
        <v>-0.39500000000000002</v>
      </c>
      <c r="H252" s="99">
        <f t="shared" si="62"/>
        <v>0</v>
      </c>
      <c r="I252" s="92">
        <f t="shared" si="63"/>
        <v>0</v>
      </c>
      <c r="J252" s="92">
        <f t="shared" si="55"/>
        <v>0</v>
      </c>
      <c r="O252" s="47">
        <f t="shared" si="56"/>
        <v>38777</v>
      </c>
      <c r="BD252" s="48">
        <f t="shared" si="72"/>
        <v>0</v>
      </c>
      <c r="BE252" s="334">
        <f t="shared" si="73"/>
        <v>0</v>
      </c>
      <c r="BG252" s="51">
        <f t="shared" si="57"/>
        <v>38777</v>
      </c>
      <c r="BH252" s="335">
        <f t="shared" si="74"/>
        <v>0</v>
      </c>
      <c r="BI252" s="52">
        <f>VLOOKUP(GasPosn!A252,'Pricing Summary'!$AB$12:$AD$250,3)</f>
        <v>31</v>
      </c>
      <c r="BJ252" s="50">
        <f>VLOOKUP(A252,Interest!$AF$8:$AK$367,6)</f>
        <v>0.82461810287948745</v>
      </c>
      <c r="BL252">
        <f>J252*VLOOKUP(A252,NymexData!$J$12:$K$244,2)</f>
        <v>0</v>
      </c>
      <c r="BO252">
        <f t="shared" si="67"/>
        <v>0.82461810287948745</v>
      </c>
      <c r="BP252">
        <f t="shared" si="68"/>
        <v>-0.32572415063739757</v>
      </c>
      <c r="BQ252">
        <f t="shared" si="69"/>
        <v>0</v>
      </c>
      <c r="BR252">
        <f t="shared" si="70"/>
        <v>0</v>
      </c>
      <c r="BS252">
        <f t="shared" si="71"/>
        <v>0</v>
      </c>
    </row>
    <row r="253" spans="1:71" ht="18" x14ac:dyDescent="0.25">
      <c r="A253" s="100">
        <f t="shared" si="58"/>
        <v>38808</v>
      </c>
      <c r="B253" s="329">
        <f t="array" ref="B253">SUM(IF(MONTH(NymexData!$AL$12:$AL$250)&amp;YEAR(NymexData!$AL$12:$AL$250)=MONTH(A253)&amp;YEAR(A253),NymexData!$AM$12:$AM$250))</f>
        <v>-111.33691156</v>
      </c>
      <c r="C253" s="330">
        <f t="shared" si="59"/>
        <v>0</v>
      </c>
      <c r="D253" s="331">
        <f t="shared" si="60"/>
        <v>-111.33691156</v>
      </c>
      <c r="E253" s="332">
        <f t="array" ref="E253">SUM(IF(MONTH(NymexData!$A$12:$A$250)&amp;YEAR(NymexData!$A$12:$A$250)=MONTH(A253)&amp;YEAR(A253),NymexData!$B$12:$B$250))</f>
        <v>-0.44</v>
      </c>
      <c r="F253" s="332">
        <f t="shared" si="61"/>
        <v>0</v>
      </c>
      <c r="G253" s="333">
        <f t="array" ref="G253">IF(NymexData!$H$12="",GasPosn!E253,SUM(IF(MONTH(NymexData!$H$12:$H$250)&amp;YEAR(NymexData!$H$12:$H$250)=MONTH(A253)&amp;YEAR(A253),NymexData!$I$12:$I$250)))</f>
        <v>-0.44</v>
      </c>
      <c r="H253" s="85">
        <f t="shared" si="62"/>
        <v>0</v>
      </c>
      <c r="I253" s="88">
        <f t="shared" si="63"/>
        <v>0</v>
      </c>
      <c r="J253" s="88">
        <f t="shared" si="55"/>
        <v>0</v>
      </c>
      <c r="O253" s="47">
        <f t="shared" si="56"/>
        <v>38808</v>
      </c>
      <c r="BD253" s="48">
        <f t="shared" si="72"/>
        <v>0</v>
      </c>
      <c r="BE253" s="334">
        <f t="shared" si="73"/>
        <v>0</v>
      </c>
      <c r="BG253" s="51">
        <f t="shared" si="57"/>
        <v>38808</v>
      </c>
      <c r="BH253" s="335">
        <f t="shared" si="74"/>
        <v>0</v>
      </c>
      <c r="BI253" s="52">
        <f>VLOOKUP(GasPosn!A253,'Pricing Summary'!$AB$12:$AD$250,3)</f>
        <v>30</v>
      </c>
      <c r="BJ253" s="50">
        <f>VLOOKUP(A253,Interest!$AF$8:$AK$367,6)</f>
        <v>0.82073427178337155</v>
      </c>
      <c r="BL253">
        <f>J253*VLOOKUP(A253,NymexData!$J$12:$K$244,2)</f>
        <v>0</v>
      </c>
      <c r="BO253">
        <f t="shared" si="67"/>
        <v>0.82073427178337155</v>
      </c>
      <c r="BP253">
        <f t="shared" si="68"/>
        <v>-0.36112307958468348</v>
      </c>
      <c r="BQ253">
        <f t="shared" si="69"/>
        <v>0</v>
      </c>
      <c r="BR253">
        <f t="shared" si="70"/>
        <v>0</v>
      </c>
      <c r="BS253">
        <f t="shared" si="71"/>
        <v>0</v>
      </c>
    </row>
    <row r="254" spans="1:71" ht="18" x14ac:dyDescent="0.25">
      <c r="A254" s="98">
        <f t="shared" si="58"/>
        <v>38838</v>
      </c>
      <c r="B254" s="324">
        <f t="array" ref="B254">SUM(IF(MONTH(NymexData!$AL$12:$AL$250)&amp;YEAR(NymexData!$AL$12:$AL$250)=MONTH(A254)&amp;YEAR(A254),NymexData!$AM$12:$AM$250))</f>
        <v>-114.46614171</v>
      </c>
      <c r="C254" s="324">
        <f t="shared" si="59"/>
        <v>0</v>
      </c>
      <c r="D254" s="326">
        <f t="shared" si="60"/>
        <v>-114.46614171</v>
      </c>
      <c r="E254" s="327">
        <f t="array" ref="E254">SUM(IF(MONTH(NymexData!$A$12:$A$250)&amp;YEAR(NymexData!$A$12:$A$250)=MONTH(A254)&amp;YEAR(A254),NymexData!$B$12:$B$250))</f>
        <v>-0.44</v>
      </c>
      <c r="F254" s="327">
        <f t="shared" si="61"/>
        <v>0</v>
      </c>
      <c r="G254" s="328">
        <f t="array" ref="G254">IF(NymexData!$H$12="",GasPosn!E254,SUM(IF(MONTH(NymexData!$H$12:$H$250)&amp;YEAR(NymexData!$H$12:$H$250)=MONTH(A254)&amp;YEAR(A254),NymexData!$I$12:$I$250)))</f>
        <v>-0.44</v>
      </c>
      <c r="H254" s="99">
        <f t="shared" si="62"/>
        <v>0</v>
      </c>
      <c r="I254" s="92">
        <f t="shared" si="63"/>
        <v>0</v>
      </c>
      <c r="J254" s="92">
        <f t="shared" si="55"/>
        <v>0</v>
      </c>
      <c r="O254" s="47">
        <f t="shared" si="56"/>
        <v>38838</v>
      </c>
      <c r="BD254" s="48">
        <f t="shared" si="72"/>
        <v>0</v>
      </c>
      <c r="BE254" s="334">
        <f t="shared" si="73"/>
        <v>0</v>
      </c>
      <c r="BG254" s="51">
        <f t="shared" si="57"/>
        <v>38838</v>
      </c>
      <c r="BH254" s="335">
        <f t="shared" si="74"/>
        <v>0</v>
      </c>
      <c r="BI254" s="52">
        <f>VLOOKUP(GasPosn!A254,'Pricing Summary'!$AB$12:$AD$250,3)</f>
        <v>31</v>
      </c>
      <c r="BJ254" s="50">
        <f>VLOOKUP(A254,Interest!$AF$8:$AK$367,6)</f>
        <v>0.81676741294028066</v>
      </c>
      <c r="BL254">
        <f>J254*VLOOKUP(A254,NymexData!$J$12:$K$244,2)</f>
        <v>0</v>
      </c>
      <c r="BO254">
        <f t="shared" si="67"/>
        <v>0.81676741294028066</v>
      </c>
      <c r="BP254">
        <f t="shared" si="68"/>
        <v>-0.35937766169372348</v>
      </c>
      <c r="BQ254">
        <f t="shared" si="69"/>
        <v>0</v>
      </c>
      <c r="BR254">
        <f t="shared" si="70"/>
        <v>0</v>
      </c>
      <c r="BS254">
        <f t="shared" si="71"/>
        <v>0</v>
      </c>
    </row>
    <row r="255" spans="1:71" ht="18" x14ac:dyDescent="0.25">
      <c r="A255" s="100">
        <f t="shared" si="58"/>
        <v>38869</v>
      </c>
      <c r="B255" s="329">
        <f t="array" ref="B255">SUM(IF(MONTH(NymexData!$AL$12:$AL$250)&amp;YEAR(NymexData!$AL$12:$AL$250)=MONTH(A255)&amp;YEAR(A255),NymexData!$AM$12:$AM$250))</f>
        <v>-110.18838168000001</v>
      </c>
      <c r="C255" s="330">
        <f t="shared" si="59"/>
        <v>0</v>
      </c>
      <c r="D255" s="331">
        <f t="shared" si="60"/>
        <v>-110.18838168000001</v>
      </c>
      <c r="E255" s="332">
        <f t="array" ref="E255">SUM(IF(MONTH(NymexData!$A$12:$A$250)&amp;YEAR(NymexData!$A$12:$A$250)=MONTH(A255)&amp;YEAR(A255),NymexData!$B$12:$B$250))</f>
        <v>-0.44</v>
      </c>
      <c r="F255" s="332">
        <f t="shared" si="61"/>
        <v>0</v>
      </c>
      <c r="G255" s="333">
        <f t="array" ref="G255">IF(NymexData!$H$12="",GasPosn!E255,SUM(IF(MONTH(NymexData!$H$12:$H$250)&amp;YEAR(NymexData!$H$12:$H$250)=MONTH(A255)&amp;YEAR(A255),NymexData!$I$12:$I$250)))</f>
        <v>-0.44</v>
      </c>
      <c r="H255" s="85">
        <f t="shared" si="62"/>
        <v>0</v>
      </c>
      <c r="I255" s="88">
        <f t="shared" si="63"/>
        <v>0</v>
      </c>
      <c r="J255" s="88">
        <f t="shared" si="55"/>
        <v>0</v>
      </c>
      <c r="O255" s="47">
        <f t="shared" si="56"/>
        <v>38869</v>
      </c>
      <c r="BD255" s="48">
        <f t="shared" si="72"/>
        <v>0</v>
      </c>
      <c r="BE255" s="334">
        <f t="shared" si="73"/>
        <v>0</v>
      </c>
      <c r="BG255" s="51">
        <f t="shared" si="57"/>
        <v>38869</v>
      </c>
      <c r="BH255" s="335">
        <f t="shared" si="74"/>
        <v>0</v>
      </c>
      <c r="BI255" s="52">
        <f>VLOOKUP(GasPosn!A255,'Pricing Summary'!$AB$12:$AD$250,3)</f>
        <v>30</v>
      </c>
      <c r="BJ255" s="50">
        <f>VLOOKUP(A255,Interest!$AF$8:$AK$367,6)</f>
        <v>0.81285253518446399</v>
      </c>
      <c r="BL255">
        <f>J255*VLOOKUP(A255,NymexData!$J$12:$K$244,2)</f>
        <v>0</v>
      </c>
      <c r="BO255">
        <f t="shared" si="67"/>
        <v>0.81285253518446399</v>
      </c>
      <c r="BP255">
        <f t="shared" si="68"/>
        <v>-0.35765511548116413</v>
      </c>
      <c r="BQ255">
        <f t="shared" si="69"/>
        <v>0</v>
      </c>
      <c r="BR255">
        <f t="shared" si="70"/>
        <v>0</v>
      </c>
      <c r="BS255">
        <f t="shared" si="71"/>
        <v>0</v>
      </c>
    </row>
    <row r="256" spans="1:71" ht="18" x14ac:dyDescent="0.25">
      <c r="A256" s="98">
        <f t="shared" si="58"/>
        <v>38899</v>
      </c>
      <c r="B256" s="324">
        <f t="array" ref="B256">SUM(IF(MONTH(NymexData!$AL$12:$AL$250)&amp;YEAR(NymexData!$AL$12:$AL$250)=MONTH(A256)&amp;YEAR(A256),NymexData!$AM$12:$AM$250))</f>
        <v>-113.27280426</v>
      </c>
      <c r="C256" s="324">
        <f t="shared" si="59"/>
        <v>0</v>
      </c>
      <c r="D256" s="326">
        <f t="shared" si="60"/>
        <v>-113.27280426</v>
      </c>
      <c r="E256" s="327">
        <f t="array" ref="E256">SUM(IF(MONTH(NymexData!$A$12:$A$250)&amp;YEAR(NymexData!$A$12:$A$250)=MONTH(A256)&amp;YEAR(A256),NymexData!$B$12:$B$250))</f>
        <v>-0.44</v>
      </c>
      <c r="F256" s="327">
        <f t="shared" si="61"/>
        <v>0</v>
      </c>
      <c r="G256" s="328">
        <f t="array" ref="G256">IF(NymexData!$H$12="",GasPosn!E256,SUM(IF(MONTH(NymexData!$H$12:$H$250)&amp;YEAR(NymexData!$H$12:$H$250)=MONTH(A256)&amp;YEAR(A256),NymexData!$I$12:$I$250)))</f>
        <v>-0.44</v>
      </c>
      <c r="H256" s="99">
        <f t="shared" si="62"/>
        <v>0</v>
      </c>
      <c r="I256" s="92">
        <f t="shared" si="63"/>
        <v>0</v>
      </c>
      <c r="J256" s="92">
        <f t="shared" si="55"/>
        <v>0</v>
      </c>
      <c r="O256" s="47">
        <f t="shared" si="56"/>
        <v>38899</v>
      </c>
      <c r="BD256" s="48">
        <f t="shared" si="72"/>
        <v>0</v>
      </c>
      <c r="BE256" s="334">
        <f t="shared" si="73"/>
        <v>0</v>
      </c>
      <c r="BG256" s="51">
        <f t="shared" si="57"/>
        <v>38899</v>
      </c>
      <c r="BH256" s="335">
        <f t="shared" si="74"/>
        <v>0</v>
      </c>
      <c r="BI256" s="52">
        <f>VLOOKUP(GasPosn!A256,'Pricing Summary'!$AB$12:$AD$250,3)</f>
        <v>31</v>
      </c>
      <c r="BJ256" s="50">
        <f>VLOOKUP(A256,Interest!$AF$8:$AK$367,6)</f>
        <v>0.80885608836446599</v>
      </c>
      <c r="BL256">
        <f>J256*VLOOKUP(A256,NymexData!$J$12:$K$244,2)</f>
        <v>0</v>
      </c>
      <c r="BO256">
        <f t="shared" si="67"/>
        <v>0.80885608836446599</v>
      </c>
      <c r="BP256">
        <f t="shared" si="68"/>
        <v>-0.35589667888036502</v>
      </c>
      <c r="BQ256">
        <f t="shared" si="69"/>
        <v>0</v>
      </c>
      <c r="BR256">
        <f t="shared" si="70"/>
        <v>0</v>
      </c>
      <c r="BS256">
        <f t="shared" si="71"/>
        <v>0</v>
      </c>
    </row>
    <row r="257" spans="1:71" ht="18" x14ac:dyDescent="0.25">
      <c r="A257" s="100">
        <f t="shared" si="58"/>
        <v>38930</v>
      </c>
      <c r="B257" s="329">
        <f t="array" ref="B257">SUM(IF(MONTH(NymexData!$AL$12:$AL$250)&amp;YEAR(NymexData!$AL$12:$AL$250)=MONTH(A257)&amp;YEAR(A257),NymexData!$AM$12:$AM$250))</f>
        <v>-112.66142408</v>
      </c>
      <c r="C257" s="330">
        <f t="shared" si="59"/>
        <v>0</v>
      </c>
      <c r="D257" s="331">
        <f t="shared" si="60"/>
        <v>-112.66142408</v>
      </c>
      <c r="E257" s="332">
        <f t="array" ref="E257">SUM(IF(MONTH(NymexData!$A$12:$A$250)&amp;YEAR(NymexData!$A$12:$A$250)=MONTH(A257)&amp;YEAR(A257),NymexData!$B$12:$B$250))</f>
        <v>-0.44</v>
      </c>
      <c r="F257" s="332">
        <f t="shared" si="61"/>
        <v>0</v>
      </c>
      <c r="G257" s="333">
        <f t="array" ref="G257">IF(NymexData!$H$12="",GasPosn!E257,SUM(IF(MONTH(NymexData!$H$12:$H$250)&amp;YEAR(NymexData!$H$12:$H$250)=MONTH(A257)&amp;YEAR(A257),NymexData!$I$12:$I$250)))</f>
        <v>-0.44</v>
      </c>
      <c r="H257" s="85">
        <f t="shared" si="62"/>
        <v>0</v>
      </c>
      <c r="I257" s="88">
        <f t="shared" si="63"/>
        <v>0</v>
      </c>
      <c r="J257" s="88">
        <f t="shared" si="55"/>
        <v>0</v>
      </c>
      <c r="O257" s="47">
        <f t="shared" si="56"/>
        <v>38930</v>
      </c>
      <c r="BD257" s="48">
        <f t="shared" si="72"/>
        <v>0</v>
      </c>
      <c r="BE257" s="334">
        <f t="shared" si="73"/>
        <v>0</v>
      </c>
      <c r="BG257" s="51">
        <f t="shared" si="57"/>
        <v>38930</v>
      </c>
      <c r="BH257" s="335">
        <f t="shared" si="74"/>
        <v>0</v>
      </c>
      <c r="BI257" s="52">
        <f>VLOOKUP(GasPosn!A257,'Pricing Summary'!$AB$12:$AD$250,3)</f>
        <v>31</v>
      </c>
      <c r="BJ257" s="50">
        <f>VLOOKUP(A257,Interest!$AF$8:$AK$367,6)</f>
        <v>0.80481339087351089</v>
      </c>
      <c r="BL257">
        <f>J257*VLOOKUP(A257,NymexData!$J$12:$K$244,2)</f>
        <v>0</v>
      </c>
      <c r="BO257">
        <f t="shared" si="67"/>
        <v>0.80481339087351089</v>
      </c>
      <c r="BP257">
        <f t="shared" si="68"/>
        <v>-0.35411789198434479</v>
      </c>
      <c r="BQ257">
        <f t="shared" si="69"/>
        <v>0</v>
      </c>
      <c r="BR257">
        <f t="shared" si="70"/>
        <v>0</v>
      </c>
      <c r="BS257">
        <f t="shared" si="71"/>
        <v>0</v>
      </c>
    </row>
    <row r="258" spans="1:71" ht="18" x14ac:dyDescent="0.25">
      <c r="A258" s="98">
        <f t="shared" si="58"/>
        <v>38961</v>
      </c>
      <c r="B258" s="324">
        <f t="array" ref="B258">SUM(IF(MONTH(NymexData!$AL$12:$AL$250)&amp;YEAR(NymexData!$AL$12:$AL$250)=MONTH(A258)&amp;YEAR(A258),NymexData!$AM$12:$AM$250))</f>
        <v>-108.4324266</v>
      </c>
      <c r="C258" s="324">
        <f t="shared" si="59"/>
        <v>0</v>
      </c>
      <c r="D258" s="326">
        <f t="shared" si="60"/>
        <v>-108.4324266</v>
      </c>
      <c r="E258" s="327">
        <f t="array" ref="E258">SUM(IF(MONTH(NymexData!$A$12:$A$250)&amp;YEAR(NymexData!$A$12:$A$250)=MONTH(A258)&amp;YEAR(A258),NymexData!$B$12:$B$250))</f>
        <v>-0.44</v>
      </c>
      <c r="F258" s="327">
        <f t="shared" si="61"/>
        <v>0</v>
      </c>
      <c r="G258" s="328">
        <f t="array" ref="G258">IF(NymexData!$H$12="",GasPosn!E258,SUM(IF(MONTH(NymexData!$H$12:$H$250)&amp;YEAR(NymexData!$H$12:$H$250)=MONTH(A258)&amp;YEAR(A258),NymexData!$I$12:$I$250)))</f>
        <v>-0.44</v>
      </c>
      <c r="H258" s="99">
        <f t="shared" si="62"/>
        <v>0</v>
      </c>
      <c r="I258" s="92">
        <f t="shared" si="63"/>
        <v>0</v>
      </c>
      <c r="J258" s="92">
        <f t="shared" si="55"/>
        <v>0</v>
      </c>
      <c r="O258" s="47">
        <f t="shared" si="56"/>
        <v>38961</v>
      </c>
      <c r="BD258" s="48">
        <f t="shared" si="72"/>
        <v>0</v>
      </c>
      <c r="BE258" s="334">
        <f t="shared" si="73"/>
        <v>0</v>
      </c>
      <c r="BG258" s="51">
        <f t="shared" si="57"/>
        <v>38961</v>
      </c>
      <c r="BH258" s="335">
        <f t="shared" si="74"/>
        <v>0</v>
      </c>
      <c r="BI258" s="52">
        <f>VLOOKUP(GasPosn!A258,'Pricing Summary'!$AB$12:$AD$250,3)</f>
        <v>30</v>
      </c>
      <c r="BJ258" s="50">
        <f>VLOOKUP(A258,Interest!$AF$8:$AK$367,6)</f>
        <v>0.80085477947823691</v>
      </c>
      <c r="BL258">
        <f>J258*VLOOKUP(A258,NymexData!$J$12:$K$244,2)</f>
        <v>0</v>
      </c>
      <c r="BO258">
        <f t="shared" si="67"/>
        <v>0.80085477947823691</v>
      </c>
      <c r="BP258">
        <f t="shared" si="68"/>
        <v>-0.35237610297042427</v>
      </c>
      <c r="BQ258">
        <f t="shared" si="69"/>
        <v>0</v>
      </c>
      <c r="BR258">
        <f t="shared" si="70"/>
        <v>0</v>
      </c>
      <c r="BS258">
        <f t="shared" si="71"/>
        <v>0</v>
      </c>
    </row>
    <row r="259" spans="1:71" ht="18" x14ac:dyDescent="0.25">
      <c r="A259" s="100">
        <f t="shared" si="58"/>
        <v>38991</v>
      </c>
      <c r="B259" s="329">
        <f t="array" ref="B259">SUM(IF(MONTH(NymexData!$AL$12:$AL$250)&amp;YEAR(NymexData!$AL$12:$AL$250)=MONTH(A259)&amp;YEAR(A259),NymexData!$AM$12:$AM$250))</f>
        <v>-111.44911814</v>
      </c>
      <c r="C259" s="330">
        <f t="shared" si="59"/>
        <v>0</v>
      </c>
      <c r="D259" s="331">
        <f t="shared" si="60"/>
        <v>-111.44911814</v>
      </c>
      <c r="E259" s="332">
        <f t="array" ref="E259">SUM(IF(MONTH(NymexData!$A$12:$A$250)&amp;YEAR(NymexData!$A$12:$A$250)=MONTH(A259)&amp;YEAR(A259),NymexData!$B$12:$B$250))</f>
        <v>-0.44</v>
      </c>
      <c r="F259" s="332">
        <f t="shared" si="61"/>
        <v>0</v>
      </c>
      <c r="G259" s="333">
        <f t="array" ref="G259">IF(NymexData!$H$12="",GasPosn!E259,SUM(IF(MONTH(NymexData!$H$12:$H$250)&amp;YEAR(NymexData!$H$12:$H$250)=MONTH(A259)&amp;YEAR(A259),NymexData!$I$12:$I$250)))</f>
        <v>-0.44</v>
      </c>
      <c r="H259" s="85">
        <f t="shared" si="62"/>
        <v>0</v>
      </c>
      <c r="I259" s="88">
        <f t="shared" si="63"/>
        <v>0</v>
      </c>
      <c r="J259" s="88">
        <f t="shared" si="55"/>
        <v>0</v>
      </c>
      <c r="O259" s="47">
        <f t="shared" si="56"/>
        <v>38991</v>
      </c>
      <c r="BD259" s="48">
        <f t="shared" si="72"/>
        <v>0</v>
      </c>
      <c r="BE259" s="334">
        <f t="shared" si="73"/>
        <v>0</v>
      </c>
      <c r="BG259" s="51">
        <f t="shared" si="57"/>
        <v>38991</v>
      </c>
      <c r="BH259" s="335">
        <f t="shared" si="74"/>
        <v>0</v>
      </c>
      <c r="BI259" s="52">
        <f>VLOOKUP(GasPosn!A259,'Pricing Summary'!$AB$12:$AD$250,3)</f>
        <v>31</v>
      </c>
      <c r="BJ259" s="50">
        <f>VLOOKUP(A259,Interest!$AF$8:$AK$367,6)</f>
        <v>0.79681680590159942</v>
      </c>
      <c r="BL259">
        <f>J259*VLOOKUP(A259,NymexData!$J$12:$K$244,2)</f>
        <v>0</v>
      </c>
      <c r="BO259">
        <f t="shared" si="67"/>
        <v>0.79681680590159942</v>
      </c>
      <c r="BP259">
        <f t="shared" si="68"/>
        <v>-0.35059939459670375</v>
      </c>
      <c r="BQ259">
        <f t="shared" si="69"/>
        <v>0</v>
      </c>
      <c r="BR259">
        <f t="shared" si="70"/>
        <v>0</v>
      </c>
      <c r="BS259">
        <f t="shared" si="71"/>
        <v>0</v>
      </c>
    </row>
    <row r="260" spans="1:71" ht="18" x14ac:dyDescent="0.25">
      <c r="A260" s="98">
        <f t="shared" si="58"/>
        <v>39022</v>
      </c>
      <c r="B260" s="324">
        <f t="array" ref="B260">SUM(IF(MONTH(NymexData!$AL$12:$AL$250)&amp;YEAR(NymexData!$AL$12:$AL$250)=MONTH(A260)&amp;YEAR(A260),NymexData!$AM$12:$AM$250))</f>
        <v>-107.27592021</v>
      </c>
      <c r="C260" s="324">
        <f t="shared" si="59"/>
        <v>0</v>
      </c>
      <c r="D260" s="326">
        <f t="shared" si="60"/>
        <v>-107.27592021</v>
      </c>
      <c r="E260" s="327">
        <f t="array" ref="E260">SUM(IF(MONTH(NymexData!$A$12:$A$250)&amp;YEAR(NymexData!$A$12:$A$250)=MONTH(A260)&amp;YEAR(A260),NymexData!$B$12:$B$250))</f>
        <v>-0.4</v>
      </c>
      <c r="F260" s="327">
        <f t="shared" si="61"/>
        <v>0</v>
      </c>
      <c r="G260" s="328">
        <f t="array" ref="G260">IF(NymexData!$H$12="",GasPosn!E260,SUM(IF(MONTH(NymexData!$H$12:$H$250)&amp;YEAR(NymexData!$H$12:$H$250)=MONTH(A260)&amp;YEAR(A260),NymexData!$I$12:$I$250)))</f>
        <v>-0.4</v>
      </c>
      <c r="H260" s="99">
        <f t="shared" si="62"/>
        <v>0</v>
      </c>
      <c r="I260" s="92">
        <f t="shared" si="63"/>
        <v>0</v>
      </c>
      <c r="J260" s="92">
        <f t="shared" si="55"/>
        <v>0</v>
      </c>
      <c r="O260" s="47">
        <f t="shared" si="56"/>
        <v>39022</v>
      </c>
      <c r="BD260" s="48">
        <f t="shared" si="72"/>
        <v>0</v>
      </c>
      <c r="BE260" s="334">
        <f t="shared" si="73"/>
        <v>0</v>
      </c>
      <c r="BG260" s="51">
        <f t="shared" si="57"/>
        <v>39022</v>
      </c>
      <c r="BH260" s="335">
        <f t="shared" si="74"/>
        <v>0</v>
      </c>
      <c r="BI260" s="52">
        <f>VLOOKUP(GasPosn!A260,'Pricing Summary'!$AB$12:$AD$250,3)</f>
        <v>30</v>
      </c>
      <c r="BJ260" s="50">
        <f>VLOOKUP(A260,Interest!$AF$8:$AK$367,6)</f>
        <v>0.79288469694292008</v>
      </c>
      <c r="BL260">
        <f>J260*VLOOKUP(A260,NymexData!$J$12:$K$244,2)</f>
        <v>0</v>
      </c>
      <c r="BO260">
        <f t="shared" si="67"/>
        <v>0.79288469694292008</v>
      </c>
      <c r="BP260">
        <f t="shared" si="68"/>
        <v>-0.31715387877716805</v>
      </c>
      <c r="BQ260">
        <f t="shared" si="69"/>
        <v>0</v>
      </c>
      <c r="BR260">
        <f t="shared" si="70"/>
        <v>0</v>
      </c>
      <c r="BS260">
        <f t="shared" si="71"/>
        <v>0</v>
      </c>
    </row>
    <row r="261" spans="1:71" ht="18" x14ac:dyDescent="0.25">
      <c r="A261" s="100">
        <f t="shared" si="58"/>
        <v>39052</v>
      </c>
      <c r="B261" s="329">
        <f t="array" ref="B261">SUM(IF(MONTH(NymexData!$AL$12:$AL$250)&amp;YEAR(NymexData!$AL$12:$AL$250)=MONTH(A261)&amp;YEAR(A261),NymexData!$AM$12:$AM$250))</f>
        <v>-110.33694647999999</v>
      </c>
      <c r="C261" s="330">
        <f t="shared" si="59"/>
        <v>0</v>
      </c>
      <c r="D261" s="331">
        <f t="shared" si="60"/>
        <v>-110.33694647999999</v>
      </c>
      <c r="E261" s="332">
        <f t="array" ref="E261">SUM(IF(MONTH(NymexData!$A$12:$A$250)&amp;YEAR(NymexData!$A$12:$A$250)=MONTH(A261)&amp;YEAR(A261),NymexData!$B$12:$B$250))</f>
        <v>-0.4</v>
      </c>
      <c r="F261" s="332">
        <f t="shared" si="61"/>
        <v>0</v>
      </c>
      <c r="G261" s="333">
        <f t="array" ref="G261">IF(NymexData!$H$12="",GasPosn!E261,SUM(IF(MONTH(NymexData!$H$12:$H$250)&amp;YEAR(NymexData!$H$12:$H$250)=MONTH(A261)&amp;YEAR(A261),NymexData!$I$12:$I$250)))</f>
        <v>-0.4</v>
      </c>
      <c r="H261" s="85">
        <f t="shared" si="62"/>
        <v>0</v>
      </c>
      <c r="I261" s="88">
        <f t="shared" si="63"/>
        <v>0</v>
      </c>
      <c r="J261" s="88">
        <f t="shared" si="55"/>
        <v>0</v>
      </c>
      <c r="O261" s="47">
        <f t="shared" si="56"/>
        <v>39052</v>
      </c>
      <c r="BD261" s="48">
        <f t="shared" si="72"/>
        <v>0</v>
      </c>
      <c r="BE261" s="334">
        <f t="shared" si="73"/>
        <v>0</v>
      </c>
      <c r="BG261" s="51">
        <f t="shared" si="57"/>
        <v>39052</v>
      </c>
      <c r="BH261" s="335">
        <f t="shared" si="74"/>
        <v>0</v>
      </c>
      <c r="BI261" s="52">
        <f>VLOOKUP(GasPosn!A261,'Pricing Summary'!$AB$12:$AD$250,3)</f>
        <v>31</v>
      </c>
      <c r="BJ261" s="50">
        <f>VLOOKUP(A261,Interest!$AF$8:$AK$367,6)</f>
        <v>0.78909218281962379</v>
      </c>
      <c r="BL261">
        <f>J261*VLOOKUP(A261,NymexData!$J$12:$K$244,2)</f>
        <v>0</v>
      </c>
      <c r="BO261">
        <f t="shared" si="67"/>
        <v>0.78909218281962379</v>
      </c>
      <c r="BP261">
        <f t="shared" si="68"/>
        <v>-0.31563687312784955</v>
      </c>
      <c r="BQ261">
        <f t="shared" si="69"/>
        <v>0</v>
      </c>
      <c r="BR261">
        <f t="shared" si="70"/>
        <v>0</v>
      </c>
      <c r="BS261">
        <f t="shared" si="71"/>
        <v>0</v>
      </c>
    </row>
    <row r="262" spans="1:71" ht="18" x14ac:dyDescent="0.25">
      <c r="A262" s="98">
        <f t="shared" si="58"/>
        <v>39083</v>
      </c>
      <c r="B262" s="324">
        <f t="array" ref="B262">SUM(IF(MONTH(NymexData!$AL$12:$AL$250)&amp;YEAR(NymexData!$AL$12:$AL$250)=MONTH(A262)&amp;YEAR(A262),NymexData!$AM$12:$AM$250))</f>
        <v>-97.603684479999998</v>
      </c>
      <c r="C262" s="324">
        <f t="shared" si="59"/>
        <v>0</v>
      </c>
      <c r="D262" s="326">
        <f t="shared" si="60"/>
        <v>-97.603684479999998</v>
      </c>
      <c r="E262" s="327">
        <f t="array" ref="E262">SUM(IF(MONTH(NymexData!$A$12:$A$250)&amp;YEAR(NymexData!$A$12:$A$250)=MONTH(A262)&amp;YEAR(A262),NymexData!$B$12:$B$250))</f>
        <v>-0.4</v>
      </c>
      <c r="F262" s="327">
        <f t="shared" si="61"/>
        <v>0</v>
      </c>
      <c r="G262" s="328">
        <f t="array" ref="G262">IF(NymexData!$H$12="",GasPosn!E262,SUM(IF(MONTH(NymexData!$H$12:$H$250)&amp;YEAR(NymexData!$H$12:$H$250)=MONTH(A262)&amp;YEAR(A262),NymexData!$I$12:$I$250)))</f>
        <v>-0.4</v>
      </c>
      <c r="H262" s="99">
        <f t="shared" si="62"/>
        <v>0</v>
      </c>
      <c r="I262" s="92">
        <f t="shared" si="63"/>
        <v>0</v>
      </c>
      <c r="J262" s="92">
        <f t="shared" si="55"/>
        <v>0</v>
      </c>
      <c r="O262" s="47">
        <f t="shared" si="56"/>
        <v>39083</v>
      </c>
      <c r="BD262" s="48">
        <f t="shared" si="72"/>
        <v>0</v>
      </c>
      <c r="BE262" s="334">
        <f t="shared" si="73"/>
        <v>0</v>
      </c>
      <c r="BG262" s="51">
        <f t="shared" si="57"/>
        <v>39083</v>
      </c>
      <c r="BH262" s="335">
        <f t="shared" si="74"/>
        <v>0</v>
      </c>
      <c r="BI262" s="52">
        <f>VLOOKUP(GasPosn!A262,'Pricing Summary'!$AB$12:$AD$250,3)</f>
        <v>31</v>
      </c>
      <c r="BJ262" s="50">
        <f>VLOOKUP(A262,Interest!$AF$8:$AK$367,6)</f>
        <v>0.78526869645536734</v>
      </c>
      <c r="BL262">
        <f>J262*VLOOKUP(A262,NymexData!$J$12:$K$244,2)</f>
        <v>0</v>
      </c>
      <c r="BO262">
        <f t="shared" si="67"/>
        <v>0.78526869645536734</v>
      </c>
      <c r="BP262">
        <f t="shared" si="68"/>
        <v>-0.31410747858214694</v>
      </c>
      <c r="BQ262">
        <f t="shared" si="69"/>
        <v>0</v>
      </c>
      <c r="BR262">
        <f t="shared" si="70"/>
        <v>0</v>
      </c>
      <c r="BS262">
        <f t="shared" si="71"/>
        <v>0</v>
      </c>
    </row>
    <row r="263" spans="1:71" ht="18" x14ac:dyDescent="0.25">
      <c r="A263" s="100">
        <f t="shared" si="58"/>
        <v>39114</v>
      </c>
      <c r="B263" s="329">
        <f t="array" ref="B263">SUM(IF(MONTH(NymexData!$AL$12:$AL$250)&amp;YEAR(NymexData!$AL$12:$AL$250)=MONTH(A263)&amp;YEAR(A263),NymexData!$AM$12:$AM$250))</f>
        <v>-87.729772319999995</v>
      </c>
      <c r="C263" s="330">
        <f t="shared" si="59"/>
        <v>0</v>
      </c>
      <c r="D263" s="331">
        <f t="shared" si="60"/>
        <v>-87.729772319999995</v>
      </c>
      <c r="E263" s="332">
        <f t="array" ref="E263">SUM(IF(MONTH(NymexData!$A$12:$A$250)&amp;YEAR(NymexData!$A$12:$A$250)=MONTH(A263)&amp;YEAR(A263),NymexData!$B$12:$B$250))</f>
        <v>-0.4</v>
      </c>
      <c r="F263" s="332">
        <f t="shared" si="61"/>
        <v>0</v>
      </c>
      <c r="G263" s="333">
        <f t="array" ref="G263">IF(NymexData!$H$12="",GasPosn!E263,SUM(IF(MONTH(NymexData!$H$12:$H$250)&amp;YEAR(NymexData!$H$12:$H$250)=MONTH(A263)&amp;YEAR(A263),NymexData!$I$12:$I$250)))</f>
        <v>-0.4</v>
      </c>
      <c r="H263" s="85">
        <f t="shared" si="62"/>
        <v>0</v>
      </c>
      <c r="I263" s="88">
        <f t="shared" si="63"/>
        <v>0</v>
      </c>
      <c r="J263" s="88">
        <f t="shared" si="55"/>
        <v>0</v>
      </c>
      <c r="O263" s="47">
        <f t="shared" si="56"/>
        <v>39114</v>
      </c>
      <c r="BD263" s="48">
        <f t="shared" si="72"/>
        <v>0</v>
      </c>
      <c r="BE263" s="334">
        <f t="shared" si="73"/>
        <v>0</v>
      </c>
      <c r="BG263" s="51">
        <f t="shared" si="57"/>
        <v>39114</v>
      </c>
      <c r="BH263" s="335">
        <f t="shared" si="74"/>
        <v>0</v>
      </c>
      <c r="BI263" s="52">
        <f>VLOOKUP(GasPosn!A263,'Pricing Summary'!$AB$12:$AD$250,3)</f>
        <v>28</v>
      </c>
      <c r="BJ263" s="50">
        <f>VLOOKUP(A263,Interest!$AF$8:$AK$367,6)</f>
        <v>0.78173401608120174</v>
      </c>
      <c r="BL263">
        <f>J263*VLOOKUP(A263,NymexData!$J$12:$K$244,2)</f>
        <v>0</v>
      </c>
      <c r="BO263">
        <f t="shared" si="67"/>
        <v>0.78173401608120174</v>
      </c>
      <c r="BP263">
        <f t="shared" si="68"/>
        <v>-0.31269360643248073</v>
      </c>
      <c r="BQ263">
        <f t="shared" si="69"/>
        <v>0</v>
      </c>
      <c r="BR263">
        <f t="shared" si="70"/>
        <v>0</v>
      </c>
      <c r="BS263">
        <f t="shared" si="71"/>
        <v>0</v>
      </c>
    </row>
    <row r="264" spans="1:71" ht="18" x14ac:dyDescent="0.25">
      <c r="A264" s="98">
        <f t="shared" si="58"/>
        <v>39142</v>
      </c>
      <c r="B264" s="324">
        <f t="array" ref="B264">SUM(IF(MONTH(NymexData!$AL$12:$AL$250)&amp;YEAR(NymexData!$AL$12:$AL$250)=MONTH(A264)&amp;YEAR(A264),NymexData!$AM$12:$AM$250))</f>
        <v>-96.70042857</v>
      </c>
      <c r="C264" s="324">
        <f t="shared" si="59"/>
        <v>0</v>
      </c>
      <c r="D264" s="326">
        <f t="shared" si="60"/>
        <v>-96.70042857</v>
      </c>
      <c r="E264" s="327">
        <f t="array" ref="E264">SUM(IF(MONTH(NymexData!$A$12:$A$250)&amp;YEAR(NymexData!$A$12:$A$250)=MONTH(A264)&amp;YEAR(A264),NymexData!$B$12:$B$250))</f>
        <v>-0.4</v>
      </c>
      <c r="F264" s="327">
        <f t="shared" si="61"/>
        <v>0</v>
      </c>
      <c r="G264" s="328">
        <f t="array" ref="G264">IF(NymexData!$H$12="",GasPosn!E264,SUM(IF(MONTH(NymexData!$H$12:$H$250)&amp;YEAR(NymexData!$H$12:$H$250)=MONTH(A264)&amp;YEAR(A264),NymexData!$I$12:$I$250)))</f>
        <v>-0.4</v>
      </c>
      <c r="H264" s="99">
        <f t="shared" si="62"/>
        <v>0</v>
      </c>
      <c r="I264" s="92">
        <f t="shared" si="63"/>
        <v>0</v>
      </c>
      <c r="J264" s="92">
        <f t="shared" ref="J264:J315" si="75">H264+I264</f>
        <v>0</v>
      </c>
      <c r="O264" s="47">
        <f t="shared" ref="O264:O316" si="76">A264</f>
        <v>39142</v>
      </c>
      <c r="BD264" s="48">
        <f t="shared" si="72"/>
        <v>0</v>
      </c>
      <c r="BE264" s="334">
        <f t="shared" si="73"/>
        <v>0</v>
      </c>
      <c r="BG264" s="51">
        <f t="shared" ref="BG264:BG316" si="77">O264</f>
        <v>39142</v>
      </c>
      <c r="BH264" s="335">
        <f t="shared" si="74"/>
        <v>0</v>
      </c>
      <c r="BI264" s="52">
        <f>VLOOKUP(GasPosn!A264,'Pricing Summary'!$AB$12:$AD$250,3)</f>
        <v>31</v>
      </c>
      <c r="BJ264" s="50">
        <f>VLOOKUP(A264,Interest!$AF$8:$AK$367,6)</f>
        <v>0.777974770387315</v>
      </c>
      <c r="BL264">
        <f>J264*VLOOKUP(A264,NymexData!$J$12:$K$244,2)</f>
        <v>0</v>
      </c>
      <c r="BO264">
        <f t="shared" si="67"/>
        <v>0.777974770387315</v>
      </c>
      <c r="BP264">
        <f t="shared" si="68"/>
        <v>-0.31118990815492603</v>
      </c>
      <c r="BQ264">
        <f t="shared" si="69"/>
        <v>0</v>
      </c>
      <c r="BR264">
        <f t="shared" si="70"/>
        <v>0</v>
      </c>
      <c r="BS264">
        <f t="shared" si="71"/>
        <v>0</v>
      </c>
    </row>
    <row r="265" spans="1:71" ht="18" x14ac:dyDescent="0.25">
      <c r="A265" s="100">
        <f t="shared" ref="A265:A316" si="78">A77</f>
        <v>39173</v>
      </c>
      <c r="B265" s="329">
        <f t="array" ref="B265">SUM(IF(MONTH(NymexData!$AL$12:$AL$250)&amp;YEAR(NymexData!$AL$12:$AL$250)=MONTH(A265)&amp;YEAR(A265),NymexData!$AM$12:$AM$250))</f>
        <v>-93.120878239999996</v>
      </c>
      <c r="C265" s="330">
        <f t="shared" ref="C265:C316" si="79">BD265*BJ265*BI265</f>
        <v>0</v>
      </c>
      <c r="D265" s="331">
        <f t="shared" ref="D265:D315" si="80">C265+B265</f>
        <v>-93.120878239999996</v>
      </c>
      <c r="E265" s="332">
        <f t="array" ref="E265">SUM(IF(MONTH(NymexData!$A$12:$A$250)&amp;YEAR(NymexData!$A$12:$A$250)=MONTH(A265)&amp;YEAR(A265),NymexData!$B$12:$B$250))</f>
        <v>-0.45</v>
      </c>
      <c r="F265" s="332">
        <f t="shared" ref="F265:F316" si="81">G265-E265</f>
        <v>0</v>
      </c>
      <c r="G265" s="333">
        <f t="array" ref="G265">IF(NymexData!$H$12="",GasPosn!E265,SUM(IF(MONTH(NymexData!$H$12:$H$250)&amp;YEAR(NymexData!$H$12:$H$250)=MONTH(A265)&amp;YEAR(A265),NymexData!$I$12:$I$250)))</f>
        <v>-0.45</v>
      </c>
      <c r="H265" s="85">
        <f t="shared" ref="H265:H316" si="82">B265*10000*F265</f>
        <v>0</v>
      </c>
      <c r="I265" s="88">
        <f t="shared" ref="I265:I316" si="83">(((G265-Q265)*P265+(G265-S265)*R265+(G265-U265)*T265+(G265-W265)*V265+(G265-Y265)*X265+(G265-AA265)*Z265+(G265-AC265)*AB265+(G265-AE265)*AD265+(G265-AG265)*AF265+(G265-AI265)*AH265+(G265-AK265)*AJ265+(G265-AM265)*AL265+(G265-AO265)*AN265+(G265-AQ265)*AP265+(G265-AS265)*AR265+(G265-AU265)*AT265+(G265-AW265)*AV265+(G265-AY265)*AX265+(G265-BA265)*AZ265+(G265-BC265)*BB265)*BJ265*BI265)*10000</f>
        <v>0</v>
      </c>
      <c r="J265" s="88">
        <f t="shared" si="75"/>
        <v>0</v>
      </c>
      <c r="O265" s="47">
        <f t="shared" si="76"/>
        <v>39173</v>
      </c>
      <c r="BD265" s="48">
        <f t="shared" si="72"/>
        <v>0</v>
      </c>
      <c r="BE265" s="334">
        <f t="shared" si="73"/>
        <v>0</v>
      </c>
      <c r="BG265" s="51">
        <f t="shared" si="77"/>
        <v>39173</v>
      </c>
      <c r="BH265" s="335">
        <f t="shared" si="74"/>
        <v>0</v>
      </c>
      <c r="BI265" s="52">
        <f>VLOOKUP(GasPosn!A265,'Pricing Summary'!$AB$12:$AD$250,3)</f>
        <v>30</v>
      </c>
      <c r="BJ265" s="50">
        <f>VLOOKUP(A265,Interest!$AF$8:$AK$367,6)</f>
        <v>0.77423214013431108</v>
      </c>
      <c r="BL265">
        <f>J265*VLOOKUP(A265,NymexData!$J$12:$K$244,2)</f>
        <v>0</v>
      </c>
      <c r="BO265">
        <f t="shared" ref="BO265:BO315" si="84">BO77</f>
        <v>0.77423214013431108</v>
      </c>
      <c r="BP265">
        <f t="shared" ref="BP265:BP316" si="85">G265*BO265</f>
        <v>-0.34840446306043998</v>
      </c>
      <c r="BQ265">
        <f t="shared" ref="BQ265:BQ316" si="86">IF(AND(A265&gt;=$B$191,A265&lt;=$B$192),1,0)</f>
        <v>0</v>
      </c>
      <c r="BR265">
        <f t="shared" ref="BR265:BR316" si="87">BO265*BQ265</f>
        <v>0</v>
      </c>
      <c r="BS265">
        <f t="shared" ref="BS265:BS316" si="88">BP265*BQ265</f>
        <v>0</v>
      </c>
    </row>
    <row r="266" spans="1:71" ht="18" x14ac:dyDescent="0.25">
      <c r="A266" s="98">
        <f t="shared" si="78"/>
        <v>39203</v>
      </c>
      <c r="B266" s="324">
        <f t="array" ref="B266">SUM(IF(MONTH(NymexData!$AL$12:$AL$250)&amp;YEAR(NymexData!$AL$12:$AL$250)=MONTH(A266)&amp;YEAR(A266),NymexData!$AM$12:$AM$250))</f>
        <v>-95.764156569999997</v>
      </c>
      <c r="C266" s="325">
        <f t="shared" si="79"/>
        <v>0</v>
      </c>
      <c r="D266" s="326">
        <f t="shared" si="80"/>
        <v>-95.764156569999997</v>
      </c>
      <c r="E266" s="327">
        <f t="array" ref="E266">SUM(IF(MONTH(NymexData!$A$12:$A$250)&amp;YEAR(NymexData!$A$12:$A$250)=MONTH(A266)&amp;YEAR(A266),NymexData!$B$12:$B$250))</f>
        <v>-0.45</v>
      </c>
      <c r="F266" s="327">
        <f t="shared" si="81"/>
        <v>0</v>
      </c>
      <c r="G266" s="328">
        <f t="array" ref="G266">IF(NymexData!$H$12="",GasPosn!E266,SUM(IF(MONTH(NymexData!$H$12:$H$250)&amp;YEAR(NymexData!$H$12:$H$250)=MONTH(A266)&amp;YEAR(A266),NymexData!$I$12:$I$250)))</f>
        <v>-0.45</v>
      </c>
      <c r="H266" s="99">
        <f t="shared" si="82"/>
        <v>0</v>
      </c>
      <c r="I266" s="92">
        <f t="shared" si="83"/>
        <v>0</v>
      </c>
      <c r="J266" s="92">
        <f t="shared" si="75"/>
        <v>0</v>
      </c>
      <c r="O266" s="47">
        <f t="shared" si="76"/>
        <v>39203</v>
      </c>
      <c r="BD266" s="48">
        <f t="shared" si="72"/>
        <v>0</v>
      </c>
      <c r="BE266" s="334">
        <f t="shared" si="73"/>
        <v>0</v>
      </c>
      <c r="BG266" s="51">
        <f t="shared" si="77"/>
        <v>39203</v>
      </c>
      <c r="BH266" s="335">
        <f t="shared" si="74"/>
        <v>0</v>
      </c>
      <c r="BI266" s="52">
        <f>VLOOKUP(GasPosn!A266,'Pricing Summary'!$AB$12:$AD$250,3)</f>
        <v>31</v>
      </c>
      <c r="BJ266" s="50">
        <f>VLOOKUP(A266,Interest!$AF$8:$AK$367,6)</f>
        <v>0.77041190341346999</v>
      </c>
      <c r="BL266">
        <f>J266*VLOOKUP(A266,NymexData!$J$12:$K$244,2)</f>
        <v>0</v>
      </c>
      <c r="BO266">
        <f t="shared" si="84"/>
        <v>0.77041190341346999</v>
      </c>
      <c r="BP266">
        <f t="shared" si="85"/>
        <v>-0.34668535653606153</v>
      </c>
      <c r="BQ266">
        <f t="shared" si="86"/>
        <v>0</v>
      </c>
      <c r="BR266">
        <f t="shared" si="87"/>
        <v>0</v>
      </c>
      <c r="BS266">
        <f t="shared" si="88"/>
        <v>0</v>
      </c>
    </row>
    <row r="267" spans="1:71" ht="18" x14ac:dyDescent="0.25">
      <c r="A267" s="100">
        <f t="shared" si="78"/>
        <v>39234</v>
      </c>
      <c r="B267" s="329">
        <f t="array" ref="B267">SUM(IF(MONTH(NymexData!$AL$12:$AL$250)&amp;YEAR(NymexData!$AL$12:$AL$250)=MONTH(A267)&amp;YEAR(A267),NymexData!$AM$12:$AM$250))</f>
        <v>-92.213700639999999</v>
      </c>
      <c r="C267" s="330">
        <f t="shared" si="79"/>
        <v>0</v>
      </c>
      <c r="D267" s="331">
        <f t="shared" si="80"/>
        <v>-92.213700639999999</v>
      </c>
      <c r="E267" s="332">
        <f t="array" ref="E267">SUM(IF(MONTH(NymexData!$A$12:$A$250)&amp;YEAR(NymexData!$A$12:$A$250)=MONTH(A267)&amp;YEAR(A267),NymexData!$B$12:$B$250))</f>
        <v>-0.45</v>
      </c>
      <c r="F267" s="332">
        <f t="shared" si="81"/>
        <v>0</v>
      </c>
      <c r="G267" s="333">
        <f t="array" ref="G267">IF(NymexData!$H$12="",GasPosn!E267,SUM(IF(MONTH(NymexData!$H$12:$H$250)&amp;YEAR(NymexData!$H$12:$H$250)=MONTH(A267)&amp;YEAR(A267),NymexData!$I$12:$I$250)))</f>
        <v>-0.45</v>
      </c>
      <c r="H267" s="85">
        <f t="shared" si="82"/>
        <v>0</v>
      </c>
      <c r="I267" s="88">
        <f t="shared" si="83"/>
        <v>0</v>
      </c>
      <c r="J267" s="88">
        <f t="shared" si="75"/>
        <v>0</v>
      </c>
      <c r="O267" s="47">
        <f t="shared" si="76"/>
        <v>39234</v>
      </c>
      <c r="BD267" s="48">
        <f t="shared" si="72"/>
        <v>0</v>
      </c>
      <c r="BE267" s="334">
        <f t="shared" si="73"/>
        <v>0</v>
      </c>
      <c r="BG267" s="51">
        <f t="shared" si="77"/>
        <v>39234</v>
      </c>
      <c r="BH267" s="335">
        <f t="shared" si="74"/>
        <v>0</v>
      </c>
      <c r="BI267" s="52">
        <f>VLOOKUP(GasPosn!A267,'Pricing Summary'!$AB$12:$AD$250,3)</f>
        <v>30</v>
      </c>
      <c r="BJ267" s="50">
        <f>VLOOKUP(A267,Interest!$AF$8:$AK$367,6)</f>
        <v>0.76665866791014758</v>
      </c>
      <c r="BL267">
        <f>J267*VLOOKUP(A267,NymexData!$J$12:$K$244,2)</f>
        <v>0</v>
      </c>
      <c r="BO267">
        <f t="shared" si="84"/>
        <v>0.76665866791014758</v>
      </c>
      <c r="BP267">
        <f t="shared" si="85"/>
        <v>-0.34499640055956643</v>
      </c>
      <c r="BQ267">
        <f t="shared" si="86"/>
        <v>0</v>
      </c>
      <c r="BR267">
        <f t="shared" si="87"/>
        <v>0</v>
      </c>
      <c r="BS267">
        <f t="shared" si="88"/>
        <v>0</v>
      </c>
    </row>
    <row r="268" spans="1:71" ht="18" x14ac:dyDescent="0.25">
      <c r="A268" s="98">
        <f t="shared" si="78"/>
        <v>39264</v>
      </c>
      <c r="B268" s="324">
        <f t="array" ref="B268">SUM(IF(MONTH(NymexData!$AL$12:$AL$250)&amp;YEAR(NymexData!$AL$12:$AL$250)=MONTH(A268)&amp;YEAR(A268),NymexData!$AM$12:$AM$250))</f>
        <v>-94.825692559999993</v>
      </c>
      <c r="C268" s="324">
        <f t="shared" si="79"/>
        <v>0</v>
      </c>
      <c r="D268" s="326">
        <f t="shared" si="80"/>
        <v>-94.825692559999993</v>
      </c>
      <c r="E268" s="327">
        <f t="array" ref="E268">SUM(IF(MONTH(NymexData!$A$12:$A$250)&amp;YEAR(NymexData!$A$12:$A$250)=MONTH(A268)&amp;YEAR(A268),NymexData!$B$12:$B$250))</f>
        <v>-0.45</v>
      </c>
      <c r="F268" s="327">
        <f t="shared" si="81"/>
        <v>0</v>
      </c>
      <c r="G268" s="328">
        <f t="array" ref="G268">IF(NymexData!$H$12="",GasPosn!E268,SUM(IF(MONTH(NymexData!$H$12:$H$250)&amp;YEAR(NymexData!$H$12:$H$250)=MONTH(A268)&amp;YEAR(A268),NymexData!$I$12:$I$250)))</f>
        <v>-0.45</v>
      </c>
      <c r="H268" s="99">
        <f t="shared" si="82"/>
        <v>0</v>
      </c>
      <c r="I268" s="92">
        <f t="shared" si="83"/>
        <v>0</v>
      </c>
      <c r="J268" s="92">
        <f t="shared" si="75"/>
        <v>0</v>
      </c>
      <c r="O268" s="47">
        <f t="shared" si="76"/>
        <v>39264</v>
      </c>
      <c r="BD268" s="48">
        <f>(P268+R268+T268+V268+X268+Z268+AB268+AD268+AF268+AH268+AJ268+AL268+AN268+AP268+AR268+AT268+AV268+AX268+AZ268+BB268)</f>
        <v>0</v>
      </c>
      <c r="BE268" s="334">
        <f>IF(AND(BD268=0,BH268=0),0,(ABS(P268)*Q268+ABS(R268)*S268+ABS(T268)*U268+ABS(V268)*W268+ABS(X268)*Y268+ABS(Z268)*AA268+ABS(AB268)*AC268+ABS(AD268)*AE268+ABS(AF268)*AG268+ABS(AH268)*AI268+ABS(AJ268)*AK268+ABS(AL268)*AM268+ABS(AN268)*AO268+ABS(AP268)*AQ268+ABS(AR268)*AS268+ABS(AT268)*AU268+ABS(AV268)*AW268+ABS(AX268)*AY268+ABS(AZ268)*BA268+ABS(BB268)*BC268)/BH268)</f>
        <v>0</v>
      </c>
      <c r="BG268" s="51">
        <f t="shared" si="77"/>
        <v>39264</v>
      </c>
      <c r="BH268" s="335">
        <f t="shared" si="74"/>
        <v>0</v>
      </c>
      <c r="BI268" s="52">
        <f>VLOOKUP(GasPosn!A268,'Pricing Summary'!$AB$12:$AD$250,3)</f>
        <v>31</v>
      </c>
      <c r="BJ268" s="50">
        <f>VLOOKUP(A268,Interest!$AF$8:$AK$367,6)</f>
        <v>0.76282904862850043</v>
      </c>
      <c r="BL268">
        <f>J268*VLOOKUP(A268,NymexData!$J$12:$K$244,2)</f>
        <v>0</v>
      </c>
      <c r="BO268">
        <f t="shared" si="84"/>
        <v>0.76282904862850043</v>
      </c>
      <c r="BP268">
        <f t="shared" si="85"/>
        <v>-0.34327307188282519</v>
      </c>
      <c r="BQ268">
        <f t="shared" si="86"/>
        <v>0</v>
      </c>
      <c r="BR268">
        <f t="shared" si="87"/>
        <v>0</v>
      </c>
      <c r="BS268">
        <f t="shared" si="88"/>
        <v>0</v>
      </c>
    </row>
    <row r="269" spans="1:71" ht="18" x14ac:dyDescent="0.25">
      <c r="A269" s="100">
        <f t="shared" si="78"/>
        <v>39295</v>
      </c>
      <c r="B269" s="329">
        <f t="array" ref="B269">SUM(IF(MONTH(NymexData!$AL$12:$AL$250)&amp;YEAR(NymexData!$AL$12:$AL$250)=MONTH(A269)&amp;YEAR(A269),NymexData!$AM$12:$AM$250))</f>
        <v>-94.348007120000005</v>
      </c>
      <c r="C269" s="330">
        <f t="shared" si="79"/>
        <v>0</v>
      </c>
      <c r="D269" s="331">
        <f t="shared" si="80"/>
        <v>-94.348007120000005</v>
      </c>
      <c r="E269" s="332">
        <f t="array" ref="E269">SUM(IF(MONTH(NymexData!$A$12:$A$250)&amp;YEAR(NymexData!$A$12:$A$250)=MONTH(A269)&amp;YEAR(A269),NymexData!$B$12:$B$250))</f>
        <v>-0.45</v>
      </c>
      <c r="F269" s="332">
        <f t="shared" si="81"/>
        <v>0</v>
      </c>
      <c r="G269" s="333">
        <f t="array" ref="G269">IF(NymexData!$H$12="",GasPosn!E269,SUM(IF(MONTH(NymexData!$H$12:$H$250)&amp;YEAR(NymexData!$H$12:$H$250)=MONTH(A269)&amp;YEAR(A269),NymexData!$I$12:$I$250)))</f>
        <v>-0.45</v>
      </c>
      <c r="H269" s="85">
        <f t="shared" si="82"/>
        <v>0</v>
      </c>
      <c r="I269" s="88">
        <f t="shared" si="83"/>
        <v>0</v>
      </c>
      <c r="J269" s="88">
        <f t="shared" si="75"/>
        <v>0</v>
      </c>
      <c r="O269" s="47">
        <f t="shared" si="76"/>
        <v>39295</v>
      </c>
      <c r="BD269" s="48">
        <f t="shared" ref="BD269:BD291" si="89">(P269+R269+T269+V269+X269+Z269+AB269+AD269+AF269+AH269+AJ269+AL269+AN269+AP269+AR269+AT269+AV269+AX269+AZ269+BB269)</f>
        <v>0</v>
      </c>
      <c r="BE269" s="334">
        <f t="shared" ref="BE269:BE291" si="90">IF(AND(BD269=0,BH269=0),0,(ABS(P269)*Q269+ABS(R269)*S269+ABS(T269)*U269+ABS(V269)*W269+ABS(X269)*Y269+ABS(Z269)*AA269+ABS(AB269)*AC269+ABS(AD269)*AE269+ABS(AF269)*AG269+ABS(AH269)*AI269+ABS(AJ269)*AK269+ABS(AL269)*AM269+ABS(AN269)*AO269+ABS(AP269)*AQ269+ABS(AR269)*AS269+ABS(AT269)*AU269+ABS(AV269)*AW269+ABS(AX269)*AY269+ABS(AZ269)*BA269+ABS(BB269)*BC269)/BH269)</f>
        <v>0</v>
      </c>
      <c r="BG269" s="51">
        <f t="shared" si="77"/>
        <v>39295</v>
      </c>
      <c r="BH269" s="335">
        <f t="shared" si="74"/>
        <v>0</v>
      </c>
      <c r="BI269" s="52">
        <f>VLOOKUP(GasPosn!A269,'Pricing Summary'!$AB$12:$AD$250,3)</f>
        <v>31</v>
      </c>
      <c r="BJ269" s="50">
        <f>VLOOKUP(A269,Interest!$AF$8:$AK$367,6)</f>
        <v>0.75896847116825872</v>
      </c>
      <c r="BL269">
        <f>J269*VLOOKUP(A269,NymexData!$J$12:$K$244,2)</f>
        <v>0</v>
      </c>
      <c r="BO269">
        <f t="shared" si="84"/>
        <v>0.75896847116825872</v>
      </c>
      <c r="BP269">
        <f t="shared" si="85"/>
        <v>-0.34153581202571642</v>
      </c>
      <c r="BQ269">
        <f t="shared" si="86"/>
        <v>0</v>
      </c>
      <c r="BR269">
        <f t="shared" si="87"/>
        <v>0</v>
      </c>
      <c r="BS269">
        <f t="shared" si="88"/>
        <v>0</v>
      </c>
    </row>
    <row r="270" spans="1:71" ht="18" x14ac:dyDescent="0.25">
      <c r="A270" s="98">
        <f t="shared" si="78"/>
        <v>39326</v>
      </c>
      <c r="B270" s="324">
        <f t="array" ref="B270">SUM(IF(MONTH(NymexData!$AL$12:$AL$250)&amp;YEAR(NymexData!$AL$12:$AL$250)=MONTH(A270)&amp;YEAR(A270),NymexData!$AM$12:$AM$250))</f>
        <v>-90.841791529999995</v>
      </c>
      <c r="C270" s="324">
        <f t="shared" si="79"/>
        <v>0</v>
      </c>
      <c r="D270" s="326">
        <f t="shared" si="80"/>
        <v>-90.841791529999995</v>
      </c>
      <c r="E270" s="327">
        <f t="array" ref="E270">SUM(IF(MONTH(NymexData!$A$12:$A$250)&amp;YEAR(NymexData!$A$12:$A$250)=MONTH(A270)&amp;YEAR(A270),NymexData!$B$12:$B$250))</f>
        <v>-0.45</v>
      </c>
      <c r="F270" s="327">
        <f t="shared" si="81"/>
        <v>0</v>
      </c>
      <c r="G270" s="328">
        <f t="array" ref="G270">IF(NymexData!$H$12="",GasPosn!E270,SUM(IF(MONTH(NymexData!$H$12:$H$250)&amp;YEAR(NymexData!$H$12:$H$250)=MONTH(A270)&amp;YEAR(A270),NymexData!$I$12:$I$250)))</f>
        <v>-0.45</v>
      </c>
      <c r="H270" s="99">
        <f t="shared" si="82"/>
        <v>0</v>
      </c>
      <c r="I270" s="92">
        <f t="shared" si="83"/>
        <v>0</v>
      </c>
      <c r="J270" s="92">
        <f t="shared" si="75"/>
        <v>0</v>
      </c>
      <c r="O270" s="47">
        <f t="shared" si="76"/>
        <v>39326</v>
      </c>
      <c r="BD270" s="48">
        <f t="shared" si="89"/>
        <v>0</v>
      </c>
      <c r="BE270" s="334">
        <f t="shared" si="90"/>
        <v>0</v>
      </c>
      <c r="BG270" s="51">
        <f t="shared" si="77"/>
        <v>39326</v>
      </c>
      <c r="BH270" s="335">
        <f t="shared" si="74"/>
        <v>0</v>
      </c>
      <c r="BI270" s="52">
        <f>VLOOKUP(GasPosn!A270,'Pricing Summary'!$AB$12:$AD$250,3)</f>
        <v>30</v>
      </c>
      <c r="BJ270" s="50">
        <f>VLOOKUP(A270,Interest!$AF$8:$AK$367,6)</f>
        <v>0.75520119974249211</v>
      </c>
      <c r="BL270">
        <f>J270*VLOOKUP(A270,NymexData!$J$12:$K$244,2)</f>
        <v>0</v>
      </c>
      <c r="BO270">
        <f t="shared" si="84"/>
        <v>0.75520119974249211</v>
      </c>
      <c r="BP270">
        <f t="shared" si="85"/>
        <v>-0.33984053988412144</v>
      </c>
      <c r="BQ270">
        <f t="shared" si="86"/>
        <v>0</v>
      </c>
      <c r="BR270">
        <f t="shared" si="87"/>
        <v>0</v>
      </c>
      <c r="BS270">
        <f t="shared" si="88"/>
        <v>0</v>
      </c>
    </row>
    <row r="271" spans="1:71" ht="18" x14ac:dyDescent="0.25">
      <c r="A271" s="100">
        <f t="shared" si="78"/>
        <v>39356</v>
      </c>
      <c r="B271" s="329">
        <f t="array" ref="B271">SUM(IF(MONTH(NymexData!$AL$12:$AL$250)&amp;YEAR(NymexData!$AL$12:$AL$250)=MONTH(A271)&amp;YEAR(A271),NymexData!$AM$12:$AM$250))</f>
        <v>-93.406702080000002</v>
      </c>
      <c r="C271" s="330">
        <f t="shared" si="79"/>
        <v>0</v>
      </c>
      <c r="D271" s="331">
        <f t="shared" si="80"/>
        <v>-93.406702080000002</v>
      </c>
      <c r="E271" s="332">
        <f t="array" ref="E271">SUM(IF(MONTH(NymexData!$A$12:$A$250)&amp;YEAR(NymexData!$A$12:$A$250)=MONTH(A271)&amp;YEAR(A271),NymexData!$B$12:$B$250))</f>
        <v>-0.45</v>
      </c>
      <c r="F271" s="332">
        <f t="shared" si="81"/>
        <v>0</v>
      </c>
      <c r="G271" s="333">
        <f t="array" ref="G271">IF(NymexData!$H$12="",GasPosn!E271,SUM(IF(MONTH(NymexData!$H$12:$H$250)&amp;YEAR(NymexData!$H$12:$H$250)=MONTH(A271)&amp;YEAR(A271),NymexData!$I$12:$I$250)))</f>
        <v>-0.45</v>
      </c>
      <c r="H271" s="85">
        <f t="shared" si="82"/>
        <v>0</v>
      </c>
      <c r="I271" s="88">
        <f t="shared" si="83"/>
        <v>0</v>
      </c>
      <c r="J271" s="88">
        <f t="shared" si="75"/>
        <v>0</v>
      </c>
      <c r="O271" s="47">
        <f t="shared" si="76"/>
        <v>39356</v>
      </c>
      <c r="BD271" s="48">
        <f t="shared" si="89"/>
        <v>0</v>
      </c>
      <c r="BE271" s="334">
        <f t="shared" si="90"/>
        <v>0</v>
      </c>
      <c r="BG271" s="51">
        <f t="shared" si="77"/>
        <v>39356</v>
      </c>
      <c r="BH271" s="335">
        <f t="shared" si="74"/>
        <v>0</v>
      </c>
      <c r="BI271" s="52">
        <f>VLOOKUP(GasPosn!A271,'Pricing Summary'!$AB$12:$AD$250,3)</f>
        <v>31</v>
      </c>
      <c r="BJ271" s="50">
        <f>VLOOKUP(A271,Interest!$AF$8:$AK$367,6)</f>
        <v>0.75135938496499521</v>
      </c>
      <c r="BL271">
        <f>J271*VLOOKUP(A271,NymexData!$J$12:$K$244,2)</f>
        <v>0</v>
      </c>
      <c r="BO271">
        <f t="shared" si="84"/>
        <v>0.75135938496499521</v>
      </c>
      <c r="BP271">
        <f t="shared" si="85"/>
        <v>-0.33811172323424787</v>
      </c>
      <c r="BQ271">
        <f t="shared" si="86"/>
        <v>0</v>
      </c>
      <c r="BR271">
        <f t="shared" si="87"/>
        <v>0</v>
      </c>
      <c r="BS271">
        <f t="shared" si="88"/>
        <v>0</v>
      </c>
    </row>
    <row r="272" spans="1:71" ht="18" x14ac:dyDescent="0.25">
      <c r="A272" s="98">
        <f t="shared" si="78"/>
        <v>39387</v>
      </c>
      <c r="B272" s="324">
        <f t="array" ref="B272">SUM(IF(MONTH(NymexData!$AL$12:$AL$250)&amp;YEAR(NymexData!$AL$12:$AL$250)=MONTH(A272)&amp;YEAR(A272),NymexData!$AM$12:$AM$250))</f>
        <v>-89.930045759999999</v>
      </c>
      <c r="C272" s="324">
        <f t="shared" si="79"/>
        <v>0</v>
      </c>
      <c r="D272" s="326">
        <f t="shared" si="80"/>
        <v>-89.930045759999999</v>
      </c>
      <c r="E272" s="327">
        <f t="array" ref="E272">SUM(IF(MONTH(NymexData!$A$12:$A$250)&amp;YEAR(NymexData!$A$12:$A$250)=MONTH(A272)&amp;YEAR(A272),NymexData!$B$12:$B$250))</f>
        <v>-0.41</v>
      </c>
      <c r="F272" s="327">
        <f t="shared" si="81"/>
        <v>0</v>
      </c>
      <c r="G272" s="328">
        <f t="array" ref="G272">IF(NymexData!$H$12="",GasPosn!E272,SUM(IF(MONTH(NymexData!$H$12:$H$250)&amp;YEAR(NymexData!$H$12:$H$250)=MONTH(A272)&amp;YEAR(A272),NymexData!$I$12:$I$250)))</f>
        <v>-0.41</v>
      </c>
      <c r="H272" s="99">
        <f t="shared" si="82"/>
        <v>0</v>
      </c>
      <c r="I272" s="92">
        <f t="shared" si="83"/>
        <v>0</v>
      </c>
      <c r="J272" s="92">
        <f t="shared" si="75"/>
        <v>0</v>
      </c>
      <c r="O272" s="47">
        <f t="shared" si="76"/>
        <v>39387</v>
      </c>
      <c r="BD272" s="48">
        <f t="shared" si="89"/>
        <v>0</v>
      </c>
      <c r="BE272" s="334">
        <f t="shared" si="90"/>
        <v>0</v>
      </c>
      <c r="BG272" s="51">
        <f t="shared" si="77"/>
        <v>39387</v>
      </c>
      <c r="BH272" s="335">
        <f t="shared" si="74"/>
        <v>0</v>
      </c>
      <c r="BI272" s="52">
        <f>VLOOKUP(GasPosn!A272,'Pricing Summary'!$AB$12:$AD$250,3)</f>
        <v>30</v>
      </c>
      <c r="BJ272" s="50">
        <f>VLOOKUP(A272,Interest!$AF$8:$AK$367,6)</f>
        <v>0.74758409526132508</v>
      </c>
      <c r="BL272">
        <f>J272*VLOOKUP(A272,NymexData!$J$12:$K$244,2)</f>
        <v>0</v>
      </c>
      <c r="BO272">
        <f t="shared" si="84"/>
        <v>0.74758409526132508</v>
      </c>
      <c r="BP272">
        <f t="shared" si="85"/>
        <v>-0.30650947905714326</v>
      </c>
      <c r="BQ272">
        <f t="shared" si="86"/>
        <v>0</v>
      </c>
      <c r="BR272">
        <f t="shared" si="87"/>
        <v>0</v>
      </c>
      <c r="BS272">
        <f t="shared" si="88"/>
        <v>0</v>
      </c>
    </row>
    <row r="273" spans="1:71" ht="18" x14ac:dyDescent="0.25">
      <c r="A273" s="100">
        <f t="shared" si="78"/>
        <v>39417</v>
      </c>
      <c r="B273" s="329">
        <f t="array" ref="B273">SUM(IF(MONTH(NymexData!$AL$12:$AL$250)&amp;YEAR(NymexData!$AL$12:$AL$250)=MONTH(A273)&amp;YEAR(A273),NymexData!$AM$12:$AM$250))</f>
        <v>-92.463818959999998</v>
      </c>
      <c r="C273" s="330">
        <f t="shared" si="79"/>
        <v>0</v>
      </c>
      <c r="D273" s="331">
        <f t="shared" si="80"/>
        <v>-92.463818959999998</v>
      </c>
      <c r="E273" s="332">
        <f t="array" ref="E273">SUM(IF(MONTH(NymexData!$A$12:$A$250)&amp;YEAR(NymexData!$A$12:$A$250)=MONTH(A273)&amp;YEAR(A273),NymexData!$B$12:$B$250))</f>
        <v>-0.41</v>
      </c>
      <c r="F273" s="332">
        <f t="shared" si="81"/>
        <v>0</v>
      </c>
      <c r="G273" s="333">
        <f t="array" ref="G273">IF(NymexData!$H$12="",GasPosn!E273,SUM(IF(MONTH(NymexData!$H$12:$H$250)&amp;YEAR(NymexData!$H$12:$H$250)=MONTH(A273)&amp;YEAR(A273),NymexData!$I$12:$I$250)))</f>
        <v>-0.41</v>
      </c>
      <c r="H273" s="85">
        <f t="shared" si="82"/>
        <v>0</v>
      </c>
      <c r="I273" s="88">
        <f t="shared" si="83"/>
        <v>0</v>
      </c>
      <c r="J273" s="88">
        <f t="shared" si="75"/>
        <v>0</v>
      </c>
      <c r="O273" s="47">
        <f t="shared" si="76"/>
        <v>39417</v>
      </c>
      <c r="BD273" s="48">
        <f t="shared" si="89"/>
        <v>0</v>
      </c>
      <c r="BE273" s="334">
        <f t="shared" si="90"/>
        <v>0</v>
      </c>
      <c r="BG273" s="51">
        <f t="shared" si="77"/>
        <v>39417</v>
      </c>
      <c r="BH273" s="335">
        <f t="shared" si="74"/>
        <v>0</v>
      </c>
      <c r="BI273" s="52">
        <f>VLOOKUP(GasPosn!A273,'Pricing Summary'!$AB$12:$AD$250,3)</f>
        <v>31</v>
      </c>
      <c r="BJ273" s="50">
        <f>VLOOKUP(A273,Interest!$AF$8:$AK$367,6)</f>
        <v>0.74373547948976915</v>
      </c>
      <c r="BL273">
        <f>J273*VLOOKUP(A273,NymexData!$J$12:$K$244,2)</f>
        <v>0</v>
      </c>
      <c r="BO273">
        <f t="shared" si="84"/>
        <v>0.74373547948976915</v>
      </c>
      <c r="BP273">
        <f t="shared" si="85"/>
        <v>-0.30493154659080535</v>
      </c>
      <c r="BQ273">
        <f t="shared" si="86"/>
        <v>0</v>
      </c>
      <c r="BR273">
        <f t="shared" si="87"/>
        <v>0</v>
      </c>
      <c r="BS273">
        <f t="shared" si="88"/>
        <v>0</v>
      </c>
    </row>
    <row r="274" spans="1:71" ht="18" x14ac:dyDescent="0.25">
      <c r="A274" s="98">
        <f t="shared" si="78"/>
        <v>39448</v>
      </c>
      <c r="B274" s="324">
        <f t="array" ref="B274">SUM(IF(MONTH(NymexData!$AL$12:$AL$250)&amp;YEAR(NymexData!$AL$12:$AL$250)=MONTH(A274)&amp;YEAR(A274),NymexData!$AM$12:$AM$250))</f>
        <v>-91.984121450000004</v>
      </c>
      <c r="C274" s="324">
        <f t="shared" si="79"/>
        <v>0</v>
      </c>
      <c r="D274" s="326">
        <f t="shared" si="80"/>
        <v>-91.984121450000004</v>
      </c>
      <c r="E274" s="327">
        <f t="array" ref="E274">SUM(IF(MONTH(NymexData!$A$12:$A$250)&amp;YEAR(NymexData!$A$12:$A$250)=MONTH(A274)&amp;YEAR(A274),NymexData!$B$12:$B$250))</f>
        <v>-0.41</v>
      </c>
      <c r="F274" s="327">
        <f t="shared" si="81"/>
        <v>0</v>
      </c>
      <c r="G274" s="328">
        <f t="array" ref="G274">IF(NymexData!$H$12="",GasPosn!E274,SUM(IF(MONTH(NymexData!$H$12:$H$250)&amp;YEAR(NymexData!$H$12:$H$250)=MONTH(A274)&amp;YEAR(A274),NymexData!$I$12:$I$250)))</f>
        <v>-0.41</v>
      </c>
      <c r="H274" s="99">
        <f t="shared" si="82"/>
        <v>0</v>
      </c>
      <c r="I274" s="92">
        <f t="shared" si="83"/>
        <v>0</v>
      </c>
      <c r="J274" s="92">
        <f t="shared" si="75"/>
        <v>0</v>
      </c>
      <c r="O274" s="47">
        <f t="shared" si="76"/>
        <v>39448</v>
      </c>
      <c r="BD274" s="48">
        <f t="shared" si="89"/>
        <v>0</v>
      </c>
      <c r="BE274" s="334">
        <f t="shared" si="90"/>
        <v>0</v>
      </c>
      <c r="BG274" s="51">
        <f t="shared" si="77"/>
        <v>39448</v>
      </c>
      <c r="BH274" s="335">
        <f t="shared" si="74"/>
        <v>0</v>
      </c>
      <c r="BI274" s="52">
        <f>VLOOKUP(GasPosn!A274,'Pricing Summary'!$AB$12:$AD$250,3)</f>
        <v>31</v>
      </c>
      <c r="BJ274" s="50">
        <f>VLOOKUP(A274,Interest!$AF$8:$AK$367,6)</f>
        <v>0.73985600866200218</v>
      </c>
      <c r="BL274">
        <f>J274*VLOOKUP(A274,NymexData!$J$12:$K$244,2)</f>
        <v>0</v>
      </c>
      <c r="BO274">
        <f t="shared" si="84"/>
        <v>0.73985600866200218</v>
      </c>
      <c r="BP274">
        <f t="shared" si="85"/>
        <v>-0.30334096355142087</v>
      </c>
      <c r="BQ274">
        <f t="shared" si="86"/>
        <v>0</v>
      </c>
      <c r="BR274">
        <f t="shared" si="87"/>
        <v>0</v>
      </c>
      <c r="BS274">
        <f t="shared" si="88"/>
        <v>0</v>
      </c>
    </row>
    <row r="275" spans="1:71" ht="18" x14ac:dyDescent="0.25">
      <c r="A275" s="100">
        <f t="shared" si="78"/>
        <v>39479</v>
      </c>
      <c r="B275" s="329">
        <f t="array" ref="B275">SUM(IF(MONTH(NymexData!$AL$12:$AL$250)&amp;YEAR(NymexData!$AL$12:$AL$250)=MONTH(A275)&amp;YEAR(A275),NymexData!$AM$12:$AM$250))</f>
        <v>-85.600619280000004</v>
      </c>
      <c r="C275" s="330">
        <f t="shared" si="79"/>
        <v>0</v>
      </c>
      <c r="D275" s="331">
        <f t="shared" si="80"/>
        <v>-85.600619280000004</v>
      </c>
      <c r="E275" s="332">
        <f t="array" ref="E275">SUM(IF(MONTH(NymexData!$A$12:$A$250)&amp;YEAR(NymexData!$A$12:$A$250)=MONTH(A275)&amp;YEAR(A275),NymexData!$B$12:$B$250))</f>
        <v>-0.41</v>
      </c>
      <c r="F275" s="332">
        <f t="shared" si="81"/>
        <v>0</v>
      </c>
      <c r="G275" s="333">
        <f t="array" ref="G275">IF(NymexData!$H$12="",GasPosn!E275,SUM(IF(MONTH(NymexData!$H$12:$H$250)&amp;YEAR(NymexData!$H$12:$H$250)=MONTH(A275)&amp;YEAR(A275),NymexData!$I$12:$I$250)))</f>
        <v>-0.41</v>
      </c>
      <c r="H275" s="85">
        <f t="shared" si="82"/>
        <v>0</v>
      </c>
      <c r="I275" s="88">
        <f t="shared" si="83"/>
        <v>0</v>
      </c>
      <c r="J275" s="88">
        <f t="shared" si="75"/>
        <v>0</v>
      </c>
      <c r="O275" s="47">
        <f t="shared" si="76"/>
        <v>39479</v>
      </c>
      <c r="BD275" s="48">
        <f t="shared" si="89"/>
        <v>0</v>
      </c>
      <c r="BE275" s="334">
        <f t="shared" si="90"/>
        <v>0</v>
      </c>
      <c r="BG275" s="51">
        <f t="shared" si="77"/>
        <v>39479</v>
      </c>
      <c r="BH275" s="335">
        <f t="shared" si="74"/>
        <v>0</v>
      </c>
      <c r="BI275" s="52">
        <f>VLOOKUP(GasPosn!A275,'Pricing Summary'!$AB$12:$AD$250,3)</f>
        <v>29</v>
      </c>
      <c r="BJ275" s="50">
        <f>VLOOKUP(A275,Interest!$AF$8:$AK$367,6)</f>
        <v>0.73616760924634772</v>
      </c>
      <c r="BL275">
        <f>J275*VLOOKUP(A275,NymexData!$J$12:$K$244,2)</f>
        <v>0</v>
      </c>
      <c r="BO275">
        <f t="shared" si="84"/>
        <v>0.73616760924634772</v>
      </c>
      <c r="BP275">
        <f t="shared" si="85"/>
        <v>-0.30182871979100256</v>
      </c>
      <c r="BQ275">
        <f t="shared" si="86"/>
        <v>0</v>
      </c>
      <c r="BR275">
        <f t="shared" si="87"/>
        <v>0</v>
      </c>
      <c r="BS275">
        <f t="shared" si="88"/>
        <v>0</v>
      </c>
    </row>
    <row r="276" spans="1:71" ht="18" x14ac:dyDescent="0.25">
      <c r="A276" s="98">
        <f t="shared" si="78"/>
        <v>39508</v>
      </c>
      <c r="B276" s="324">
        <f t="array" ref="B276">SUM(IF(MONTH(NymexData!$AL$12:$AL$250)&amp;YEAR(NymexData!$AL$12:$AL$250)=MONTH(A276)&amp;YEAR(A276),NymexData!$AM$12:$AM$250))</f>
        <v>-91.054811290000004</v>
      </c>
      <c r="C276" s="324">
        <f t="shared" si="79"/>
        <v>0</v>
      </c>
      <c r="D276" s="326">
        <f t="shared" si="80"/>
        <v>-91.054811290000004</v>
      </c>
      <c r="E276" s="327">
        <f t="array" ref="E276">SUM(IF(MONTH(NymexData!$A$12:$A$250)&amp;YEAR(NymexData!$A$12:$A$250)=MONTH(A276)&amp;YEAR(A276),NymexData!$B$12:$B$250))</f>
        <v>-0.41</v>
      </c>
      <c r="F276" s="327">
        <f t="shared" si="81"/>
        <v>0</v>
      </c>
      <c r="G276" s="328">
        <f t="array" ref="G276">IF(NymexData!$H$12="",GasPosn!E276,SUM(IF(MONTH(NymexData!$H$12:$H$250)&amp;YEAR(NymexData!$H$12:$H$250)=MONTH(A276)&amp;YEAR(A276),NymexData!$I$12:$I$250)))</f>
        <v>-0.41</v>
      </c>
      <c r="H276" s="99">
        <f t="shared" si="82"/>
        <v>0</v>
      </c>
      <c r="I276" s="92">
        <f t="shared" si="83"/>
        <v>0</v>
      </c>
      <c r="J276" s="92">
        <f t="shared" si="75"/>
        <v>0</v>
      </c>
      <c r="O276" s="47">
        <f t="shared" si="76"/>
        <v>39508</v>
      </c>
      <c r="BD276" s="48">
        <f t="shared" si="89"/>
        <v>0</v>
      </c>
      <c r="BE276" s="334">
        <f t="shared" si="90"/>
        <v>0</v>
      </c>
      <c r="BG276" s="51">
        <f t="shared" si="77"/>
        <v>39508</v>
      </c>
      <c r="BH276" s="335">
        <f t="shared" si="74"/>
        <v>0</v>
      </c>
      <c r="BI276" s="52">
        <f>VLOOKUP(GasPosn!A276,'Pricing Summary'!$AB$12:$AD$250,3)</f>
        <v>31</v>
      </c>
      <c r="BJ276" s="50">
        <f>VLOOKUP(A276,Interest!$AF$8:$AK$367,6)</f>
        <v>0.73233896283891031</v>
      </c>
      <c r="BL276">
        <f>J276*VLOOKUP(A276,NymexData!$J$12:$K$244,2)</f>
        <v>0</v>
      </c>
      <c r="BO276">
        <f t="shared" si="84"/>
        <v>0.73233896283891031</v>
      </c>
      <c r="BP276">
        <f t="shared" si="85"/>
        <v>-0.30025897476395319</v>
      </c>
      <c r="BQ276">
        <f t="shared" si="86"/>
        <v>0</v>
      </c>
      <c r="BR276">
        <f t="shared" si="87"/>
        <v>0</v>
      </c>
      <c r="BS276">
        <f t="shared" si="88"/>
        <v>0</v>
      </c>
    </row>
    <row r="277" spans="1:71" ht="18" x14ac:dyDescent="0.25">
      <c r="A277" s="100">
        <f t="shared" si="78"/>
        <v>39539</v>
      </c>
      <c r="B277" s="329">
        <f t="array" ref="B277">SUM(IF(MONTH(NymexData!$AL$12:$AL$250)&amp;YEAR(NymexData!$AL$12:$AL$250)=MONTH(A277)&amp;YEAR(A277),NymexData!$AM$12:$AM$250))</f>
        <v>-87.652530799999994</v>
      </c>
      <c r="C277" s="330">
        <f t="shared" si="79"/>
        <v>0</v>
      </c>
      <c r="D277" s="331">
        <f t="shared" si="80"/>
        <v>-87.652530799999994</v>
      </c>
      <c r="E277" s="332">
        <f t="array" ref="E277">SUM(IF(MONTH(NymexData!$A$12:$A$250)&amp;YEAR(NymexData!$A$12:$A$250)=MONTH(A277)&amp;YEAR(A277),NymexData!$B$12:$B$250))</f>
        <v>-0.46500000000000002</v>
      </c>
      <c r="F277" s="332">
        <f t="shared" si="81"/>
        <v>0</v>
      </c>
      <c r="G277" s="333">
        <f t="array" ref="G277">IF(NymexData!$H$12="",GasPosn!E277,SUM(IF(MONTH(NymexData!$H$12:$H$250)&amp;YEAR(NymexData!$H$12:$H$250)=MONTH(A277)&amp;YEAR(A277),NymexData!$I$12:$I$250)))</f>
        <v>-0.46500000000000002</v>
      </c>
      <c r="H277" s="85">
        <f t="shared" si="82"/>
        <v>0</v>
      </c>
      <c r="I277" s="88">
        <f t="shared" si="83"/>
        <v>0</v>
      </c>
      <c r="J277" s="88">
        <f t="shared" si="75"/>
        <v>0</v>
      </c>
      <c r="O277" s="47">
        <f t="shared" si="76"/>
        <v>39539</v>
      </c>
      <c r="BD277" s="48">
        <f t="shared" si="89"/>
        <v>0</v>
      </c>
      <c r="BE277" s="334">
        <f t="shared" si="90"/>
        <v>0</v>
      </c>
      <c r="BG277" s="51">
        <f t="shared" si="77"/>
        <v>39539</v>
      </c>
      <c r="BH277" s="335">
        <f t="shared" si="74"/>
        <v>0</v>
      </c>
      <c r="BI277" s="52">
        <f>VLOOKUP(GasPosn!A277,'Pricing Summary'!$AB$12:$AD$250,3)</f>
        <v>30</v>
      </c>
      <c r="BJ277" s="50">
        <f>VLOOKUP(A277,Interest!$AF$8:$AK$367,6)</f>
        <v>0.72854810430901051</v>
      </c>
      <c r="BL277">
        <f>J277*VLOOKUP(A277,NymexData!$J$12:$K$244,2)</f>
        <v>0</v>
      </c>
      <c r="BO277">
        <f t="shared" si="84"/>
        <v>0.72854810430901051</v>
      </c>
      <c r="BP277">
        <f t="shared" si="85"/>
        <v>-0.33877486850368993</v>
      </c>
      <c r="BQ277">
        <f t="shared" si="86"/>
        <v>0</v>
      </c>
      <c r="BR277">
        <f t="shared" si="87"/>
        <v>0</v>
      </c>
      <c r="BS277">
        <f t="shared" si="88"/>
        <v>0</v>
      </c>
    </row>
    <row r="278" spans="1:71" ht="18" x14ac:dyDescent="0.25">
      <c r="A278" s="98">
        <f t="shared" si="78"/>
        <v>39569</v>
      </c>
      <c r="B278" s="324">
        <f t="array" ref="B278">SUM(IF(MONTH(NymexData!$AL$12:$AL$250)&amp;YEAR(NymexData!$AL$12:$AL$250)=MONTH(A278)&amp;YEAR(A278),NymexData!$AM$12:$AM$250))</f>
        <v>-90.109041450000007</v>
      </c>
      <c r="C278" s="324">
        <f t="shared" si="79"/>
        <v>0</v>
      </c>
      <c r="D278" s="326">
        <f t="shared" si="80"/>
        <v>-90.109041450000007</v>
      </c>
      <c r="E278" s="327">
        <f t="array" ref="E278">SUM(IF(MONTH(NymexData!$A$12:$A$250)&amp;YEAR(NymexData!$A$12:$A$250)=MONTH(A278)&amp;YEAR(A278),NymexData!$B$12:$B$250))</f>
        <v>-0.46500000000000002</v>
      </c>
      <c r="F278" s="327">
        <f t="shared" si="81"/>
        <v>0</v>
      </c>
      <c r="G278" s="328">
        <f t="array" ref="G278">IF(NymexData!$H$12="",GasPosn!E278,SUM(IF(MONTH(NymexData!$H$12:$H$250)&amp;YEAR(NymexData!$H$12:$H$250)=MONTH(A278)&amp;YEAR(A278),NymexData!$I$12:$I$250)))</f>
        <v>-0.46500000000000002</v>
      </c>
      <c r="H278" s="99">
        <f t="shared" si="82"/>
        <v>0</v>
      </c>
      <c r="I278" s="92">
        <f t="shared" si="83"/>
        <v>0</v>
      </c>
      <c r="J278" s="92">
        <f t="shared" si="75"/>
        <v>0</v>
      </c>
      <c r="O278" s="47">
        <f t="shared" si="76"/>
        <v>39569</v>
      </c>
      <c r="BD278" s="48">
        <f t="shared" si="89"/>
        <v>0</v>
      </c>
      <c r="BE278" s="334">
        <f t="shared" si="90"/>
        <v>0</v>
      </c>
      <c r="BG278" s="51">
        <f t="shared" si="77"/>
        <v>39569</v>
      </c>
      <c r="BH278" s="335">
        <f t="shared" si="74"/>
        <v>0</v>
      </c>
      <c r="BI278" s="52">
        <f>VLOOKUP(GasPosn!A278,'Pricing Summary'!$AB$12:$AD$250,3)</f>
        <v>31</v>
      </c>
      <c r="BJ278" s="50">
        <f>VLOOKUP(A278,Interest!$AF$8:$AK$367,6)</f>
        <v>0.72468693967770559</v>
      </c>
      <c r="BL278">
        <f>J278*VLOOKUP(A278,NymexData!$J$12:$K$244,2)</f>
        <v>0</v>
      </c>
      <c r="BO278">
        <f t="shared" si="84"/>
        <v>0.72468693967770559</v>
      </c>
      <c r="BP278">
        <f t="shared" si="85"/>
        <v>-0.33697942695013311</v>
      </c>
      <c r="BQ278">
        <f t="shared" si="86"/>
        <v>0</v>
      </c>
      <c r="BR278">
        <f t="shared" si="87"/>
        <v>0</v>
      </c>
      <c r="BS278">
        <f t="shared" si="88"/>
        <v>0</v>
      </c>
    </row>
    <row r="279" spans="1:71" ht="18" x14ac:dyDescent="0.25">
      <c r="A279" s="100">
        <f t="shared" si="78"/>
        <v>39600</v>
      </c>
      <c r="B279" s="329">
        <f t="array" ref="B279">SUM(IF(MONTH(NymexData!$AL$12:$AL$250)&amp;YEAR(NymexData!$AL$12:$AL$250)=MONTH(A279)&amp;YEAR(A279),NymexData!$AM$12:$AM$250))</f>
        <v>-86.736875130000001</v>
      </c>
      <c r="C279" s="330">
        <f t="shared" si="79"/>
        <v>0</v>
      </c>
      <c r="D279" s="331">
        <f t="shared" si="80"/>
        <v>-86.736875130000001</v>
      </c>
      <c r="E279" s="332">
        <f t="array" ref="E279">SUM(IF(MONTH(NymexData!$A$12:$A$250)&amp;YEAR(NymexData!$A$12:$A$250)=MONTH(A279)&amp;YEAR(A279),NymexData!$B$12:$B$250))</f>
        <v>-0.46500000000000002</v>
      </c>
      <c r="F279" s="332">
        <f t="shared" si="81"/>
        <v>0</v>
      </c>
      <c r="G279" s="333">
        <f t="array" ref="G279">IF(NymexData!$H$12="",GasPosn!E279,SUM(IF(MONTH(NymexData!$H$12:$H$250)&amp;YEAR(NymexData!$H$12:$H$250)=MONTH(A279)&amp;YEAR(A279),NymexData!$I$12:$I$250)))</f>
        <v>-0.46500000000000002</v>
      </c>
      <c r="H279" s="85">
        <f t="shared" si="82"/>
        <v>0</v>
      </c>
      <c r="I279" s="88">
        <f t="shared" si="83"/>
        <v>0</v>
      </c>
      <c r="J279" s="88">
        <f t="shared" si="75"/>
        <v>0</v>
      </c>
      <c r="O279" s="47">
        <f t="shared" si="76"/>
        <v>39600</v>
      </c>
      <c r="BD279" s="48">
        <f t="shared" si="89"/>
        <v>0</v>
      </c>
      <c r="BE279" s="334">
        <f t="shared" si="90"/>
        <v>0</v>
      </c>
      <c r="BG279" s="51">
        <f t="shared" si="77"/>
        <v>39600</v>
      </c>
      <c r="BH279" s="335">
        <f t="shared" si="74"/>
        <v>0</v>
      </c>
      <c r="BI279" s="52">
        <f>VLOOKUP(GasPosn!A279,'Pricing Summary'!$AB$12:$AD$250,3)</f>
        <v>30</v>
      </c>
      <c r="BJ279" s="50">
        <f>VLOOKUP(A279,Interest!$AF$8:$AK$367,6)</f>
        <v>0.72089158107105944</v>
      </c>
      <c r="BL279">
        <f>J279*VLOOKUP(A279,NymexData!$J$12:$K$244,2)</f>
        <v>0</v>
      </c>
      <c r="BO279">
        <f t="shared" si="84"/>
        <v>0.72089158107105944</v>
      </c>
      <c r="BP279">
        <f t="shared" si="85"/>
        <v>-0.33521458519804265</v>
      </c>
      <c r="BQ279">
        <f t="shared" si="86"/>
        <v>0</v>
      </c>
      <c r="BR279">
        <f t="shared" si="87"/>
        <v>0</v>
      </c>
      <c r="BS279">
        <f t="shared" si="88"/>
        <v>0</v>
      </c>
    </row>
    <row r="280" spans="1:71" ht="18" x14ac:dyDescent="0.25">
      <c r="A280" s="98">
        <f t="shared" si="78"/>
        <v>39630</v>
      </c>
      <c r="B280" s="324">
        <f t="array" ref="B280">SUM(IF(MONTH(NymexData!$AL$12:$AL$250)&amp;YEAR(NymexData!$AL$12:$AL$250)=MONTH(A280)&amp;YEAR(A280),NymexData!$AM$12:$AM$250))</f>
        <v>-89.1625272</v>
      </c>
      <c r="C280" s="324">
        <f t="shared" si="79"/>
        <v>0</v>
      </c>
      <c r="D280" s="326">
        <f t="shared" si="80"/>
        <v>-89.1625272</v>
      </c>
      <c r="E280" s="327">
        <f t="array" ref="E280">SUM(IF(MONTH(NymexData!$A$12:$A$250)&amp;YEAR(NymexData!$A$12:$A$250)=MONTH(A280)&amp;YEAR(A280),NymexData!$B$12:$B$250))</f>
        <v>-0.46500000000000002</v>
      </c>
      <c r="F280" s="327">
        <f t="shared" si="81"/>
        <v>0</v>
      </c>
      <c r="G280" s="328">
        <f t="array" ref="G280">IF(NymexData!$H$12="",GasPosn!E280,SUM(IF(MONTH(NymexData!$H$12:$H$250)&amp;YEAR(NymexData!$H$12:$H$250)=MONTH(A280)&amp;YEAR(A280),NymexData!$I$12:$I$250)))</f>
        <v>-0.46500000000000002</v>
      </c>
      <c r="H280" s="99">
        <f t="shared" si="82"/>
        <v>0</v>
      </c>
      <c r="I280" s="92">
        <f t="shared" si="83"/>
        <v>0</v>
      </c>
      <c r="J280" s="92">
        <f t="shared" si="75"/>
        <v>0</v>
      </c>
      <c r="O280" s="47">
        <f t="shared" si="76"/>
        <v>39630</v>
      </c>
      <c r="BD280" s="48">
        <f t="shared" si="89"/>
        <v>0</v>
      </c>
      <c r="BE280" s="334">
        <f t="shared" si="90"/>
        <v>0</v>
      </c>
      <c r="BG280" s="51">
        <f t="shared" si="77"/>
        <v>39630</v>
      </c>
      <c r="BH280" s="335">
        <f t="shared" si="74"/>
        <v>0</v>
      </c>
      <c r="BI280" s="52">
        <f>VLOOKUP(GasPosn!A280,'Pricing Summary'!$AB$12:$AD$250,3)</f>
        <v>31</v>
      </c>
      <c r="BJ280" s="50">
        <f>VLOOKUP(A280,Interest!$AF$8:$AK$367,6)</f>
        <v>0.7170271219928841</v>
      </c>
      <c r="BL280">
        <f>J280*VLOOKUP(A280,NymexData!$J$12:$K$244,2)</f>
        <v>0</v>
      </c>
      <c r="BO280">
        <f t="shared" si="84"/>
        <v>0.7170271219928841</v>
      </c>
      <c r="BP280">
        <f t="shared" si="85"/>
        <v>-0.3334176117266911</v>
      </c>
      <c r="BQ280">
        <f t="shared" si="86"/>
        <v>0</v>
      </c>
      <c r="BR280">
        <f t="shared" si="87"/>
        <v>0</v>
      </c>
      <c r="BS280">
        <f t="shared" si="88"/>
        <v>0</v>
      </c>
    </row>
    <row r="281" spans="1:71" ht="18" x14ac:dyDescent="0.25">
      <c r="A281" s="100">
        <f t="shared" si="78"/>
        <v>39661</v>
      </c>
      <c r="B281" s="329">
        <f t="array" ref="B281">SUM(IF(MONTH(NymexData!$AL$12:$AL$250)&amp;YEAR(NymexData!$AL$12:$AL$250)=MONTH(A281)&amp;YEAR(A281),NymexData!$AM$12:$AM$250))</f>
        <v>-88.681301450000007</v>
      </c>
      <c r="C281" s="330">
        <f t="shared" si="79"/>
        <v>0</v>
      </c>
      <c r="D281" s="331">
        <f t="shared" si="80"/>
        <v>-88.681301450000007</v>
      </c>
      <c r="E281" s="332">
        <f t="array" ref="E281">SUM(IF(MONTH(NymexData!$A$12:$A$250)&amp;YEAR(NymexData!$A$12:$A$250)=MONTH(A281)&amp;YEAR(A281),NymexData!$B$12:$B$250))</f>
        <v>-0.46500000000000002</v>
      </c>
      <c r="F281" s="332">
        <f t="shared" si="81"/>
        <v>0</v>
      </c>
      <c r="G281" s="333">
        <f t="array" ref="G281">IF(NymexData!$H$12="",GasPosn!E281,SUM(IF(MONTH(NymexData!$H$12:$H$250)&amp;YEAR(NymexData!$H$12:$H$250)=MONTH(A281)&amp;YEAR(A281),NymexData!$I$12:$I$250)))</f>
        <v>-0.46500000000000002</v>
      </c>
      <c r="H281" s="85">
        <f t="shared" si="82"/>
        <v>0</v>
      </c>
      <c r="I281" s="88">
        <f t="shared" si="83"/>
        <v>0</v>
      </c>
      <c r="J281" s="88">
        <f t="shared" si="75"/>
        <v>0</v>
      </c>
      <c r="O281" s="47">
        <f t="shared" si="76"/>
        <v>39661</v>
      </c>
      <c r="BD281" s="48">
        <f t="shared" si="89"/>
        <v>0</v>
      </c>
      <c r="BE281" s="334">
        <f t="shared" si="90"/>
        <v>0</v>
      </c>
      <c r="BG281" s="51">
        <f t="shared" si="77"/>
        <v>39661</v>
      </c>
      <c r="BH281" s="335">
        <f t="shared" si="74"/>
        <v>0</v>
      </c>
      <c r="BI281" s="52">
        <f>VLOOKUP(GasPosn!A281,'Pricing Summary'!$AB$12:$AD$250,3)</f>
        <v>31</v>
      </c>
      <c r="BJ281" s="50">
        <f>VLOOKUP(A281,Interest!$AF$8:$AK$367,6)</f>
        <v>0.71313207292218828</v>
      </c>
      <c r="BL281">
        <f>J281*VLOOKUP(A281,NymexData!$J$12:$K$244,2)</f>
        <v>0</v>
      </c>
      <c r="BO281">
        <f t="shared" si="84"/>
        <v>0.71313207292218828</v>
      </c>
      <c r="BP281">
        <f t="shared" si="85"/>
        <v>-0.33160641390881757</v>
      </c>
      <c r="BQ281">
        <f t="shared" si="86"/>
        <v>0</v>
      </c>
      <c r="BR281">
        <f t="shared" si="87"/>
        <v>0</v>
      </c>
      <c r="BS281">
        <f t="shared" si="88"/>
        <v>0</v>
      </c>
    </row>
    <row r="282" spans="1:71" ht="18" x14ac:dyDescent="0.25">
      <c r="A282" s="98">
        <f t="shared" si="78"/>
        <v>39692</v>
      </c>
      <c r="B282" s="324">
        <f t="array" ref="B282">SUM(IF(MONTH(NymexData!$AL$12:$AL$250)&amp;YEAR(NymexData!$AL$12:$AL$250)=MONTH(A282)&amp;YEAR(A282),NymexData!$AM$12:$AM$250))</f>
        <v>-85.354813849999999</v>
      </c>
      <c r="C282" s="324">
        <f t="shared" si="79"/>
        <v>0</v>
      </c>
      <c r="D282" s="326">
        <f t="shared" si="80"/>
        <v>-85.354813849999999</v>
      </c>
      <c r="E282" s="327">
        <f t="array" ref="E282">SUM(IF(MONTH(NymexData!$A$12:$A$250)&amp;YEAR(NymexData!$A$12:$A$250)=MONTH(A282)&amp;YEAR(A282),NymexData!$B$12:$B$250))</f>
        <v>-0.46500000000000002</v>
      </c>
      <c r="F282" s="327">
        <f t="shared" si="81"/>
        <v>0</v>
      </c>
      <c r="G282" s="328">
        <f t="array" ref="G282">IF(NymexData!$H$12="",GasPosn!E282,SUM(IF(MONTH(NymexData!$H$12:$H$250)&amp;YEAR(NymexData!$H$12:$H$250)=MONTH(A282)&amp;YEAR(A282),NymexData!$I$12:$I$250)))</f>
        <v>-0.46500000000000002</v>
      </c>
      <c r="H282" s="99">
        <f t="shared" si="82"/>
        <v>0</v>
      </c>
      <c r="I282" s="92">
        <f t="shared" si="83"/>
        <v>0</v>
      </c>
      <c r="J282" s="92">
        <f t="shared" si="75"/>
        <v>0</v>
      </c>
      <c r="O282" s="47">
        <f t="shared" si="76"/>
        <v>39692</v>
      </c>
      <c r="BD282" s="48">
        <f t="shared" si="89"/>
        <v>0</v>
      </c>
      <c r="BE282" s="334">
        <f t="shared" si="90"/>
        <v>0</v>
      </c>
      <c r="BG282" s="51">
        <f t="shared" si="77"/>
        <v>39692</v>
      </c>
      <c r="BH282" s="335">
        <f t="shared" si="74"/>
        <v>0</v>
      </c>
      <c r="BI282" s="52">
        <f>VLOOKUP(GasPosn!A282,'Pricing Summary'!$AB$12:$AD$250,3)</f>
        <v>30</v>
      </c>
      <c r="BJ282" s="50">
        <f>VLOOKUP(A282,Interest!$AF$8:$AK$367,6)</f>
        <v>0.70933179214243081</v>
      </c>
      <c r="BL282">
        <f>J282*VLOOKUP(A282,NymexData!$J$12:$K$244,2)</f>
        <v>0</v>
      </c>
      <c r="BO282">
        <f t="shared" si="84"/>
        <v>0.70933179214243081</v>
      </c>
      <c r="BP282">
        <f t="shared" si="85"/>
        <v>-0.32983928334623036</v>
      </c>
      <c r="BQ282">
        <f t="shared" si="86"/>
        <v>0</v>
      </c>
      <c r="BR282">
        <f t="shared" si="87"/>
        <v>0</v>
      </c>
      <c r="BS282">
        <f t="shared" si="88"/>
        <v>0</v>
      </c>
    </row>
    <row r="283" spans="1:71" ht="18" x14ac:dyDescent="0.25">
      <c r="A283" s="100">
        <f t="shared" si="78"/>
        <v>39722</v>
      </c>
      <c r="B283" s="329">
        <f t="array" ref="B283">SUM(IF(MONTH(NymexData!$AL$12:$AL$250)&amp;YEAR(NymexData!$AL$12:$AL$250)=MONTH(A283)&amp;YEAR(A283),NymexData!$AM$12:$AM$250))</f>
        <v>-87.734105850000006</v>
      </c>
      <c r="C283" s="330">
        <f t="shared" si="79"/>
        <v>0</v>
      </c>
      <c r="D283" s="331">
        <f t="shared" si="80"/>
        <v>-87.734105850000006</v>
      </c>
      <c r="E283" s="332">
        <f t="array" ref="E283">SUM(IF(MONTH(NymexData!$A$12:$A$250)&amp;YEAR(NymexData!$A$12:$A$250)=MONTH(A283)&amp;YEAR(A283),NymexData!$B$12:$B$250))</f>
        <v>-0.46500000000000002</v>
      </c>
      <c r="F283" s="332">
        <f t="shared" si="81"/>
        <v>0</v>
      </c>
      <c r="G283" s="333">
        <f t="array" ref="G283">IF(NymexData!$H$12="",GasPosn!E283,SUM(IF(MONTH(NymexData!$H$12:$H$250)&amp;YEAR(NymexData!$H$12:$H$250)=MONTH(A283)&amp;YEAR(A283),NymexData!$I$12:$I$250)))</f>
        <v>-0.46500000000000002</v>
      </c>
      <c r="H283" s="85">
        <f t="shared" si="82"/>
        <v>0</v>
      </c>
      <c r="I283" s="88">
        <f t="shared" si="83"/>
        <v>0</v>
      </c>
      <c r="J283" s="88">
        <f t="shared" si="75"/>
        <v>0</v>
      </c>
      <c r="O283" s="47">
        <f t="shared" si="76"/>
        <v>39722</v>
      </c>
      <c r="BD283" s="48">
        <f t="shared" si="89"/>
        <v>0</v>
      </c>
      <c r="BE283" s="334">
        <f t="shared" si="90"/>
        <v>0</v>
      </c>
      <c r="BG283" s="51">
        <f t="shared" si="77"/>
        <v>39722</v>
      </c>
      <c r="BH283" s="335">
        <f t="shared" si="74"/>
        <v>0</v>
      </c>
      <c r="BI283" s="52">
        <f>VLOOKUP(GasPosn!A283,'Pricing Summary'!$AB$12:$AD$250,3)</f>
        <v>31</v>
      </c>
      <c r="BJ283" s="50">
        <f>VLOOKUP(A283,Interest!$AF$8:$AK$367,6)</f>
        <v>0.70546422117749141</v>
      </c>
      <c r="BL283">
        <f>J283*VLOOKUP(A283,NymexData!$J$12:$K$244,2)</f>
        <v>0</v>
      </c>
      <c r="BO283">
        <f t="shared" si="84"/>
        <v>0.70546422117749141</v>
      </c>
      <c r="BP283">
        <f t="shared" si="85"/>
        <v>-0.32804086284753353</v>
      </c>
      <c r="BQ283">
        <f t="shared" si="86"/>
        <v>0</v>
      </c>
      <c r="BR283">
        <f t="shared" si="87"/>
        <v>0</v>
      </c>
      <c r="BS283">
        <f t="shared" si="88"/>
        <v>0</v>
      </c>
    </row>
    <row r="284" spans="1:71" ht="18" x14ac:dyDescent="0.25">
      <c r="A284" s="98">
        <f t="shared" si="78"/>
        <v>39753</v>
      </c>
      <c r="B284" s="324">
        <f t="array" ref="B284">SUM(IF(MONTH(NymexData!$AL$12:$AL$250)&amp;YEAR(NymexData!$AL$12:$AL$250)=MONTH(A284)&amp;YEAR(A284),NymexData!$AM$12:$AM$250))</f>
        <v>-84.438065289999997</v>
      </c>
      <c r="C284" s="324">
        <f t="shared" si="79"/>
        <v>0</v>
      </c>
      <c r="D284" s="326">
        <f t="shared" si="80"/>
        <v>-84.438065289999997</v>
      </c>
      <c r="E284" s="327">
        <f t="array" ref="E284">SUM(IF(MONTH(NymexData!$A$12:$A$250)&amp;YEAR(NymexData!$A$12:$A$250)=MONTH(A284)&amp;YEAR(A284),NymexData!$B$12:$B$250))</f>
        <v>-0.44</v>
      </c>
      <c r="F284" s="327">
        <f t="shared" si="81"/>
        <v>0</v>
      </c>
      <c r="G284" s="328">
        <f t="array" ref="G284">IF(NymexData!$H$12="",GasPosn!E284,SUM(IF(MONTH(NymexData!$H$12:$H$250)&amp;YEAR(NymexData!$H$12:$H$250)=MONTH(A284)&amp;YEAR(A284),NymexData!$I$12:$I$250)))</f>
        <v>-0.44</v>
      </c>
      <c r="H284" s="99">
        <f t="shared" si="82"/>
        <v>0</v>
      </c>
      <c r="I284" s="92">
        <f t="shared" si="83"/>
        <v>0</v>
      </c>
      <c r="J284" s="92">
        <f t="shared" si="75"/>
        <v>0</v>
      </c>
      <c r="O284" s="47">
        <f t="shared" si="76"/>
        <v>39753</v>
      </c>
      <c r="BD284" s="48">
        <f t="shared" si="89"/>
        <v>0</v>
      </c>
      <c r="BE284" s="334">
        <f t="shared" si="90"/>
        <v>0</v>
      </c>
      <c r="BG284" s="51">
        <f t="shared" si="77"/>
        <v>39753</v>
      </c>
      <c r="BH284" s="335">
        <f t="shared" si="74"/>
        <v>0</v>
      </c>
      <c r="BI284" s="52">
        <f>VLOOKUP(GasPosn!A284,'Pricing Summary'!$AB$12:$AD$250,3)</f>
        <v>30</v>
      </c>
      <c r="BJ284" s="50">
        <f>VLOOKUP(A284,Interest!$AF$8:$AK$367,6)</f>
        <v>0.70172711217841266</v>
      </c>
      <c r="BL284">
        <f>J284*VLOOKUP(A284,NymexData!$J$12:$K$244,2)</f>
        <v>0</v>
      </c>
      <c r="BO284">
        <f t="shared" si="84"/>
        <v>0.70172711217841266</v>
      </c>
      <c r="BP284">
        <f t="shared" si="85"/>
        <v>-0.30875992935850155</v>
      </c>
      <c r="BQ284">
        <f t="shared" si="86"/>
        <v>0</v>
      </c>
      <c r="BR284">
        <f t="shared" si="87"/>
        <v>0</v>
      </c>
      <c r="BS284">
        <f t="shared" si="88"/>
        <v>0</v>
      </c>
    </row>
    <row r="285" spans="1:71" ht="18" x14ac:dyDescent="0.25">
      <c r="A285" s="100">
        <f t="shared" si="78"/>
        <v>39783</v>
      </c>
      <c r="B285" s="329">
        <f t="array" ref="B285">SUM(IF(MONTH(NymexData!$AL$12:$AL$250)&amp;YEAR(NymexData!$AL$12:$AL$250)=MONTH(A285)&amp;YEAR(A285),NymexData!$AM$12:$AM$250))</f>
        <v>-86.786747680000005</v>
      </c>
      <c r="C285" s="330">
        <f t="shared" si="79"/>
        <v>0</v>
      </c>
      <c r="D285" s="331">
        <f t="shared" si="80"/>
        <v>-86.786747680000005</v>
      </c>
      <c r="E285" s="332">
        <f t="array" ref="E285">SUM(IF(MONTH(NymexData!$A$12:$A$250)&amp;YEAR(NymexData!$A$12:$A$250)=MONTH(A285)&amp;YEAR(A285),NymexData!$B$12:$B$250))</f>
        <v>-0.44</v>
      </c>
      <c r="F285" s="332">
        <f t="shared" si="81"/>
        <v>0</v>
      </c>
      <c r="G285" s="333">
        <f t="array" ref="G285">IF(NymexData!$H$12="",GasPosn!E285,SUM(IF(MONTH(NymexData!$H$12:$H$250)&amp;YEAR(NymexData!$H$12:$H$250)=MONTH(A285)&amp;YEAR(A285),NymexData!$I$12:$I$250)))</f>
        <v>-0.44</v>
      </c>
      <c r="H285" s="85">
        <f t="shared" si="82"/>
        <v>0</v>
      </c>
      <c r="I285" s="88">
        <f t="shared" si="83"/>
        <v>0</v>
      </c>
      <c r="J285" s="88">
        <f t="shared" si="75"/>
        <v>0</v>
      </c>
      <c r="O285" s="47">
        <f t="shared" si="76"/>
        <v>39783</v>
      </c>
      <c r="BD285" s="48">
        <f t="shared" si="89"/>
        <v>0</v>
      </c>
      <c r="BE285" s="334">
        <f t="shared" si="90"/>
        <v>0</v>
      </c>
      <c r="BG285" s="51">
        <f t="shared" si="77"/>
        <v>39783</v>
      </c>
      <c r="BH285" s="335">
        <f t="shared" si="74"/>
        <v>0</v>
      </c>
      <c r="BI285" s="52">
        <f>VLOOKUP(GasPosn!A285,'Pricing Summary'!$AB$12:$AD$250,3)</f>
        <v>31</v>
      </c>
      <c r="BJ285" s="50">
        <f>VLOOKUP(A285,Interest!$AF$8:$AK$367,6)</f>
        <v>0.69825297092911909</v>
      </c>
      <c r="BL285">
        <f>J285*VLOOKUP(A285,NymexData!$J$12:$K$244,2)</f>
        <v>0</v>
      </c>
      <c r="BO285">
        <f t="shared" si="84"/>
        <v>0.69825297092911909</v>
      </c>
      <c r="BP285">
        <f t="shared" si="85"/>
        <v>-0.30723130720881242</v>
      </c>
      <c r="BQ285">
        <f t="shared" si="86"/>
        <v>0</v>
      </c>
      <c r="BR285">
        <f t="shared" si="87"/>
        <v>0</v>
      </c>
      <c r="BS285">
        <f t="shared" si="88"/>
        <v>0</v>
      </c>
    </row>
    <row r="286" spans="1:71" ht="18" x14ac:dyDescent="0.25">
      <c r="A286" s="98">
        <f t="shared" si="78"/>
        <v>39814</v>
      </c>
      <c r="B286" s="324">
        <f t="array" ref="B286">SUM(IF(MONTH(NymexData!$AL$12:$AL$250)&amp;YEAR(NymexData!$AL$12:$AL$250)=MONTH(A286)&amp;YEAR(A286),NymexData!$AM$12:$AM$250))</f>
        <v>-86.305314069999994</v>
      </c>
      <c r="C286" s="324">
        <f t="shared" si="79"/>
        <v>0</v>
      </c>
      <c r="D286" s="326">
        <f t="shared" si="80"/>
        <v>-86.305314069999994</v>
      </c>
      <c r="E286" s="327">
        <f t="array" ref="E286">SUM(IF(MONTH(NymexData!$A$12:$A$250)&amp;YEAR(NymexData!$A$12:$A$250)=MONTH(A286)&amp;YEAR(A286),NymexData!$B$12:$B$250))</f>
        <v>-0.44</v>
      </c>
      <c r="F286" s="327">
        <f t="shared" si="81"/>
        <v>0</v>
      </c>
      <c r="G286" s="328">
        <f t="array" ref="G286">IF(NymexData!$H$12="",GasPosn!E286,SUM(IF(MONTH(NymexData!$H$12:$H$250)&amp;YEAR(NymexData!$H$12:$H$250)=MONTH(A286)&amp;YEAR(A286),NymexData!$I$12:$I$250)))</f>
        <v>-0.44</v>
      </c>
      <c r="H286" s="99">
        <f t="shared" si="82"/>
        <v>0</v>
      </c>
      <c r="I286" s="92">
        <f t="shared" si="83"/>
        <v>0</v>
      </c>
      <c r="J286" s="92">
        <f t="shared" si="75"/>
        <v>0</v>
      </c>
      <c r="O286" s="47">
        <f t="shared" si="76"/>
        <v>39814</v>
      </c>
      <c r="BD286" s="48">
        <f t="shared" si="89"/>
        <v>0</v>
      </c>
      <c r="BE286" s="334">
        <f t="shared" si="90"/>
        <v>0</v>
      </c>
      <c r="BG286" s="51">
        <f t="shared" si="77"/>
        <v>39814</v>
      </c>
      <c r="BH286" s="335">
        <f t="shared" si="74"/>
        <v>0</v>
      </c>
      <c r="BI286" s="52">
        <f>VLOOKUP(GasPosn!A286,'Pricing Summary'!$AB$12:$AD$250,3)</f>
        <v>31</v>
      </c>
      <c r="BJ286" s="50">
        <f>VLOOKUP(A286,Interest!$AF$8:$AK$367,6)</f>
        <v>0.6947667275091165</v>
      </c>
      <c r="BL286">
        <f>J286*VLOOKUP(A286,NymexData!$J$12:$K$244,2)</f>
        <v>0</v>
      </c>
      <c r="BO286">
        <f t="shared" si="84"/>
        <v>0.6947667275091165</v>
      </c>
      <c r="BP286">
        <f t="shared" si="85"/>
        <v>-0.30569736010401127</v>
      </c>
      <c r="BQ286">
        <f t="shared" si="86"/>
        <v>0</v>
      </c>
      <c r="BR286">
        <f t="shared" si="87"/>
        <v>0</v>
      </c>
      <c r="BS286">
        <f t="shared" si="88"/>
        <v>0</v>
      </c>
    </row>
    <row r="287" spans="1:71" ht="18" x14ac:dyDescent="0.25">
      <c r="A287" s="100">
        <f t="shared" si="78"/>
        <v>39845</v>
      </c>
      <c r="B287" s="329">
        <f t="array" ref="B287">SUM(IF(MONTH(NymexData!$AL$12:$AL$250)&amp;YEAR(NymexData!$AL$12:$AL$250)=MONTH(A287)&amp;YEAR(A287),NymexData!$AM$12:$AM$250))</f>
        <v>-77.518385600000002</v>
      </c>
      <c r="C287" s="330">
        <f t="shared" si="79"/>
        <v>0</v>
      </c>
      <c r="D287" s="331">
        <f t="shared" si="80"/>
        <v>-77.518385600000002</v>
      </c>
      <c r="E287" s="332">
        <f t="array" ref="E287">SUM(IF(MONTH(NymexData!$A$12:$A$250)&amp;YEAR(NymexData!$A$12:$A$250)=MONTH(A287)&amp;YEAR(A287),NymexData!$B$12:$B$250))</f>
        <v>-0.44</v>
      </c>
      <c r="F287" s="332">
        <f t="shared" si="81"/>
        <v>0</v>
      </c>
      <c r="G287" s="333">
        <f t="array" ref="G287">IF(NymexData!$H$12="",GasPosn!E287,SUM(IF(MONTH(NymexData!$H$12:$H$250)&amp;YEAR(NymexData!$H$12:$H$250)=MONTH(A287)&amp;YEAR(A287),NymexData!$I$12:$I$250)))</f>
        <v>-0.44</v>
      </c>
      <c r="H287" s="85">
        <f t="shared" si="82"/>
        <v>0</v>
      </c>
      <c r="I287" s="88">
        <f t="shared" si="83"/>
        <v>0</v>
      </c>
      <c r="J287" s="88">
        <f t="shared" si="75"/>
        <v>0</v>
      </c>
      <c r="O287" s="47">
        <f t="shared" si="76"/>
        <v>39845</v>
      </c>
      <c r="BD287" s="48">
        <f t="shared" si="89"/>
        <v>0</v>
      </c>
      <c r="BE287" s="334">
        <f t="shared" si="90"/>
        <v>0</v>
      </c>
      <c r="BG287" s="51">
        <f t="shared" si="77"/>
        <v>39845</v>
      </c>
      <c r="BH287" s="335">
        <f t="shared" si="74"/>
        <v>0</v>
      </c>
      <c r="BI287" s="52">
        <f>VLOOKUP(GasPosn!A287,'Pricing Summary'!$AB$12:$AD$250,3)</f>
        <v>28</v>
      </c>
      <c r="BJ287" s="50">
        <f>VLOOKUP(A287,Interest!$AF$8:$AK$367,6)</f>
        <v>0.69157009976106687</v>
      </c>
      <c r="BL287">
        <f>J287*VLOOKUP(A287,NymexData!$J$12:$K$244,2)</f>
        <v>0</v>
      </c>
      <c r="BO287">
        <f t="shared" si="84"/>
        <v>0.69157009976106687</v>
      </c>
      <c r="BP287">
        <f t="shared" si="85"/>
        <v>-0.30429084389486943</v>
      </c>
      <c r="BQ287">
        <f t="shared" si="86"/>
        <v>0</v>
      </c>
      <c r="BR287">
        <f t="shared" si="87"/>
        <v>0</v>
      </c>
      <c r="BS287">
        <f t="shared" si="88"/>
        <v>0</v>
      </c>
    </row>
    <row r="288" spans="1:71" ht="18" x14ac:dyDescent="0.25">
      <c r="A288" s="98">
        <f t="shared" si="78"/>
        <v>39873</v>
      </c>
      <c r="B288" s="324">
        <f t="array" ref="B288">SUM(IF(MONTH(NymexData!$AL$12:$AL$250)&amp;YEAR(NymexData!$AL$12:$AL$250)=MONTH(A288)&amp;YEAR(A288),NymexData!$AM$12:$AM$250))</f>
        <v>-85.389190009999993</v>
      </c>
      <c r="C288" s="324">
        <f t="shared" si="79"/>
        <v>0</v>
      </c>
      <c r="D288" s="326">
        <f t="shared" si="80"/>
        <v>-85.389190009999993</v>
      </c>
      <c r="E288" s="327">
        <f t="array" ref="E288">SUM(IF(MONTH(NymexData!$A$12:$A$250)&amp;YEAR(NymexData!$A$12:$A$250)=MONTH(A288)&amp;YEAR(A288),NymexData!$B$12:$B$250))</f>
        <v>-0.44</v>
      </c>
      <c r="F288" s="327">
        <f t="shared" si="81"/>
        <v>0</v>
      </c>
      <c r="G288" s="328">
        <f t="array" ref="G288">IF(NymexData!$H$12="",GasPosn!E288,SUM(IF(MONTH(NymexData!$H$12:$H$250)&amp;YEAR(NymexData!$H$12:$H$250)=MONTH(A288)&amp;YEAR(A288),NymexData!$I$12:$I$250)))</f>
        <v>-0.44</v>
      </c>
      <c r="H288" s="99">
        <f t="shared" si="82"/>
        <v>0</v>
      </c>
      <c r="I288" s="92">
        <f t="shared" si="83"/>
        <v>0</v>
      </c>
      <c r="J288" s="92">
        <f t="shared" si="75"/>
        <v>0</v>
      </c>
      <c r="O288" s="47">
        <f t="shared" si="76"/>
        <v>39873</v>
      </c>
      <c r="BD288" s="48">
        <f t="shared" si="89"/>
        <v>0</v>
      </c>
      <c r="BE288" s="334">
        <f t="shared" si="90"/>
        <v>0</v>
      </c>
      <c r="BG288" s="51">
        <f t="shared" si="77"/>
        <v>39873</v>
      </c>
      <c r="BH288" s="335">
        <f t="shared" si="74"/>
        <v>0</v>
      </c>
      <c r="BI288" s="52">
        <f>VLOOKUP(GasPosn!A288,'Pricing Summary'!$AB$12:$AD$250,3)</f>
        <v>31</v>
      </c>
      <c r="BJ288" s="50">
        <f>VLOOKUP(A288,Interest!$AF$8:$AK$367,6)</f>
        <v>0.6881455884701001</v>
      </c>
      <c r="BL288">
        <f>J288*VLOOKUP(A288,NymexData!$J$12:$K$244,2)</f>
        <v>0</v>
      </c>
      <c r="BO288">
        <f t="shared" si="84"/>
        <v>0.6881455884701001</v>
      </c>
      <c r="BP288">
        <f t="shared" si="85"/>
        <v>-0.30278405892684407</v>
      </c>
      <c r="BQ288">
        <f t="shared" si="86"/>
        <v>0</v>
      </c>
      <c r="BR288">
        <f t="shared" si="87"/>
        <v>0</v>
      </c>
      <c r="BS288">
        <f t="shared" si="88"/>
        <v>0</v>
      </c>
    </row>
    <row r="289" spans="1:71" ht="18" x14ac:dyDescent="0.25">
      <c r="A289" s="100">
        <f t="shared" si="78"/>
        <v>39904</v>
      </c>
      <c r="B289" s="329">
        <f t="array" ref="B289">SUM(IF(MONTH(NymexData!$AL$12:$AL$250)&amp;YEAR(NymexData!$AL$12:$AL$250)=MONTH(A289)&amp;YEAR(A289),NymexData!$AM$12:$AM$250))</f>
        <v>-82.169005679999998</v>
      </c>
      <c r="C289" s="330">
        <f t="shared" si="79"/>
        <v>0</v>
      </c>
      <c r="D289" s="331">
        <f t="shared" si="80"/>
        <v>-82.169005679999998</v>
      </c>
      <c r="E289" s="332">
        <f t="array" ref="E289">SUM(IF(MONTH(NymexData!$A$12:$A$250)&amp;YEAR(NymexData!$A$12:$A$250)=MONTH(A289)&amp;YEAR(A289),NymexData!$B$12:$B$250))</f>
        <v>-0.53</v>
      </c>
      <c r="F289" s="332">
        <f t="shared" si="81"/>
        <v>0</v>
      </c>
      <c r="G289" s="333">
        <f t="array" ref="G289">IF(NymexData!$H$12="",GasPosn!E289,SUM(IF(MONTH(NymexData!$H$12:$H$250)&amp;YEAR(NymexData!$H$12:$H$250)=MONTH(A289)&amp;YEAR(A289),NymexData!$I$12:$I$250)))</f>
        <v>-0.53</v>
      </c>
      <c r="H289" s="85">
        <f t="shared" si="82"/>
        <v>0</v>
      </c>
      <c r="I289" s="88">
        <f t="shared" si="83"/>
        <v>0</v>
      </c>
      <c r="J289" s="88">
        <f t="shared" si="75"/>
        <v>0</v>
      </c>
      <c r="O289" s="47">
        <f t="shared" si="76"/>
        <v>39904</v>
      </c>
      <c r="BD289" s="48">
        <f t="shared" si="89"/>
        <v>0</v>
      </c>
      <c r="BE289" s="334">
        <f t="shared" si="90"/>
        <v>0</v>
      </c>
      <c r="BG289" s="51">
        <f t="shared" si="77"/>
        <v>39904</v>
      </c>
      <c r="BH289" s="335">
        <f t="shared" si="74"/>
        <v>0</v>
      </c>
      <c r="BI289" s="52">
        <f>VLOOKUP(GasPosn!A289,'Pricing Summary'!$AB$12:$AD$250,3)</f>
        <v>30</v>
      </c>
      <c r="BJ289" s="50">
        <f>VLOOKUP(A289,Interest!$AF$8:$AK$367,6)</f>
        <v>0.68476853354713207</v>
      </c>
      <c r="BL289">
        <f>J289*VLOOKUP(A289,NymexData!$J$12:$K$244,2)</f>
        <v>0</v>
      </c>
      <c r="BO289">
        <f t="shared" si="84"/>
        <v>0.68476853354713207</v>
      </c>
      <c r="BP289">
        <f t="shared" si="85"/>
        <v>-0.36292732277998002</v>
      </c>
      <c r="BQ289">
        <f t="shared" si="86"/>
        <v>0</v>
      </c>
      <c r="BR289">
        <f t="shared" si="87"/>
        <v>0</v>
      </c>
      <c r="BS289">
        <f t="shared" si="88"/>
        <v>0</v>
      </c>
    </row>
    <row r="290" spans="1:71" ht="18" x14ac:dyDescent="0.25">
      <c r="A290" s="98">
        <f t="shared" si="78"/>
        <v>39934</v>
      </c>
      <c r="B290" s="324">
        <f t="array" ref="B290">SUM(IF(MONTH(NymexData!$AL$12:$AL$250)&amp;YEAR(NymexData!$AL$12:$AL$250)=MONTH(A290)&amp;YEAR(A290),NymexData!$AM$12:$AM$250))</f>
        <v>-84.442403040000002</v>
      </c>
      <c r="C290" s="324">
        <f t="shared" si="79"/>
        <v>0</v>
      </c>
      <c r="D290" s="326">
        <f t="shared" si="80"/>
        <v>-84.442403040000002</v>
      </c>
      <c r="E290" s="327">
        <f t="array" ref="E290">SUM(IF(MONTH(NymexData!$A$12:$A$250)&amp;YEAR(NymexData!$A$12:$A$250)=MONTH(A290)&amp;YEAR(A290),NymexData!$B$12:$B$250))</f>
        <v>-0.53</v>
      </c>
      <c r="F290" s="327">
        <f t="shared" si="81"/>
        <v>0</v>
      </c>
      <c r="G290" s="328">
        <f t="array" ref="G290">IF(NymexData!$H$12="",GasPosn!E290,SUM(IF(MONTH(NymexData!$H$12:$H$250)&amp;YEAR(NymexData!$H$12:$H$250)=MONTH(A290)&amp;YEAR(A290),NymexData!$I$12:$I$250)))</f>
        <v>-0.53</v>
      </c>
      <c r="H290" s="99">
        <f t="shared" si="82"/>
        <v>0</v>
      </c>
      <c r="I290" s="92">
        <f t="shared" si="83"/>
        <v>0</v>
      </c>
      <c r="J290" s="92">
        <f t="shared" si="75"/>
        <v>0</v>
      </c>
      <c r="O290" s="47">
        <f t="shared" si="76"/>
        <v>39934</v>
      </c>
      <c r="BD290" s="48">
        <f t="shared" si="89"/>
        <v>0</v>
      </c>
      <c r="BE290" s="334">
        <f t="shared" si="90"/>
        <v>0</v>
      </c>
      <c r="BG290" s="51">
        <f t="shared" si="77"/>
        <v>39934</v>
      </c>
      <c r="BH290" s="335">
        <f t="shared" si="74"/>
        <v>0</v>
      </c>
      <c r="BI290" s="52">
        <f>VLOOKUP(GasPosn!A290,'Pricing Summary'!$AB$12:$AD$250,3)</f>
        <v>31</v>
      </c>
      <c r="BJ290" s="50">
        <f>VLOOKUP(A290,Interest!$AF$8:$AK$367,6)</f>
        <v>0.68131987728758214</v>
      </c>
      <c r="BL290">
        <f>J290*VLOOKUP(A290,NymexData!$J$12:$K$244,2)</f>
        <v>0</v>
      </c>
      <c r="BO290">
        <f t="shared" si="84"/>
        <v>0.68131987728758214</v>
      </c>
      <c r="BP290">
        <f t="shared" si="85"/>
        <v>-0.36109953496241853</v>
      </c>
      <c r="BQ290">
        <f t="shared" si="86"/>
        <v>0</v>
      </c>
      <c r="BR290">
        <f t="shared" si="87"/>
        <v>0</v>
      </c>
      <c r="BS290">
        <f t="shared" si="88"/>
        <v>0</v>
      </c>
    </row>
    <row r="291" spans="1:71" ht="18" x14ac:dyDescent="0.25">
      <c r="A291" s="100">
        <f t="shared" si="78"/>
        <v>39965</v>
      </c>
      <c r="B291" s="329">
        <f t="array" ref="B291">SUM(IF(MONTH(NymexData!$AL$12:$AL$250)&amp;YEAR(NymexData!$AL$12:$AL$250)=MONTH(A291)&amp;YEAR(A291),NymexData!$AM$12:$AM$250))</f>
        <v>-81.253037199999994</v>
      </c>
      <c r="C291" s="330">
        <f t="shared" si="79"/>
        <v>0</v>
      </c>
      <c r="D291" s="331">
        <f t="shared" si="80"/>
        <v>-81.253037199999994</v>
      </c>
      <c r="E291" s="332">
        <f t="array" ref="E291">SUM(IF(MONTH(NymexData!$A$12:$A$250)&amp;YEAR(NymexData!$A$12:$A$250)=MONTH(A291)&amp;YEAR(A291),NymexData!$B$12:$B$250))</f>
        <v>-0.53</v>
      </c>
      <c r="F291" s="332">
        <f t="shared" si="81"/>
        <v>0</v>
      </c>
      <c r="G291" s="333">
        <f t="array" ref="G291">IF(NymexData!$H$12="",GasPosn!E291,SUM(IF(MONTH(NymexData!$H$12:$H$250)&amp;YEAR(NymexData!$H$12:$H$250)=MONTH(A291)&amp;YEAR(A291),NymexData!$I$12:$I$250)))</f>
        <v>-0.53</v>
      </c>
      <c r="H291" s="85">
        <f t="shared" si="82"/>
        <v>0</v>
      </c>
      <c r="I291" s="88">
        <f t="shared" si="83"/>
        <v>0</v>
      </c>
      <c r="J291" s="88">
        <f t="shared" si="75"/>
        <v>0</v>
      </c>
      <c r="O291" s="47">
        <f t="shared" si="76"/>
        <v>39965</v>
      </c>
      <c r="BD291" s="48">
        <f t="shared" si="89"/>
        <v>0</v>
      </c>
      <c r="BE291" s="334">
        <f t="shared" si="90"/>
        <v>0</v>
      </c>
      <c r="BG291" s="51">
        <f t="shared" si="77"/>
        <v>39965</v>
      </c>
      <c r="BH291" s="335">
        <f t="shared" si="74"/>
        <v>0</v>
      </c>
      <c r="BI291" s="52">
        <f>VLOOKUP(GasPosn!A291,'Pricing Summary'!$AB$12:$AD$250,3)</f>
        <v>30</v>
      </c>
      <c r="BJ291" s="50">
        <f>VLOOKUP(A291,Interest!$AF$8:$AK$367,6)</f>
        <v>0.67795282095455944</v>
      </c>
      <c r="BL291">
        <f>J291*VLOOKUP(A291,NymexData!$J$12:$K$244,2)</f>
        <v>0</v>
      </c>
      <c r="BO291">
        <f t="shared" si="84"/>
        <v>0.67795282095455944</v>
      </c>
      <c r="BP291">
        <f t="shared" si="85"/>
        <v>-0.35931499510591652</v>
      </c>
      <c r="BQ291">
        <f t="shared" si="86"/>
        <v>0</v>
      </c>
      <c r="BR291">
        <f t="shared" si="87"/>
        <v>0</v>
      </c>
      <c r="BS291">
        <f t="shared" si="88"/>
        <v>0</v>
      </c>
    </row>
    <row r="292" spans="1:71" ht="18" x14ac:dyDescent="0.25">
      <c r="A292" s="98">
        <f t="shared" si="78"/>
        <v>39995</v>
      </c>
      <c r="B292" s="324">
        <f t="array" ref="B292">SUM(IF(MONTH(NymexData!$AL$12:$AL$250)&amp;YEAR(NymexData!$AL$12:$AL$250)=MONTH(A292)&amp;YEAR(A292),NymexData!$AM$12:$AM$250))</f>
        <v>-83.496233349999997</v>
      </c>
      <c r="C292" s="324">
        <f t="shared" si="79"/>
        <v>0</v>
      </c>
      <c r="D292" s="326">
        <f t="shared" si="80"/>
        <v>-83.496233349999997</v>
      </c>
      <c r="E292" s="327">
        <f t="array" ref="E292">SUM(IF(MONTH(NymexData!$A$12:$A$250)&amp;YEAR(NymexData!$A$12:$A$250)=MONTH(A292)&amp;YEAR(A292),NymexData!$B$12:$B$250))</f>
        <v>-0.53</v>
      </c>
      <c r="F292" s="327">
        <f t="shared" si="81"/>
        <v>0</v>
      </c>
      <c r="G292" s="328">
        <f t="array" ref="G292">IF(NymexData!$H$12="",GasPosn!E292,SUM(IF(MONTH(NymexData!$H$12:$H$250)&amp;YEAR(NymexData!$H$12:$H$250)=MONTH(A292)&amp;YEAR(A292),NymexData!$I$12:$I$250)))</f>
        <v>-0.53</v>
      </c>
      <c r="H292" s="99">
        <f t="shared" si="82"/>
        <v>0</v>
      </c>
      <c r="I292" s="92">
        <f t="shared" si="83"/>
        <v>0</v>
      </c>
      <c r="J292" s="92">
        <f t="shared" si="75"/>
        <v>0</v>
      </c>
      <c r="O292" s="47">
        <f t="shared" si="76"/>
        <v>39995</v>
      </c>
      <c r="BD292" s="48">
        <f>(P292+R292+T292+V292+X292+Z292+AB292+AD292+AF292+AH292+AJ292+AL292+AN292+AP292+AR292+AT292+AV292+AX292+AZ292+BB292)</f>
        <v>0</v>
      </c>
      <c r="BE292" s="334">
        <f>IF(AND(BD292=0,BH292=0),0,(ABS(P292)*Q292+ABS(R292)*S292+ABS(T292)*U292+ABS(V292)*W292+ABS(X292)*Y292+ABS(Z292)*AA292+ABS(AB292)*AC292+ABS(AD292)*AE292+ABS(AF292)*AG292+ABS(AH292)*AI292+ABS(AJ292)*AK292+ABS(AL292)*AM292+ABS(AN292)*AO292+ABS(AP292)*AQ292+ABS(AR292)*AS292+ABS(AT292)*AU292+ABS(AV292)*AW292+ABS(AX292)*AY292+ABS(AZ292)*BA292+ABS(BB292)*BC292)/BH292)</f>
        <v>0</v>
      </c>
      <c r="BG292" s="51">
        <f t="shared" si="77"/>
        <v>39995</v>
      </c>
      <c r="BH292" s="335">
        <f t="shared" si="74"/>
        <v>0</v>
      </c>
      <c r="BI292" s="52">
        <f>VLOOKUP(GasPosn!A292,'Pricing Summary'!$AB$12:$AD$250,3)</f>
        <v>31</v>
      </c>
      <c r="BJ292" s="50">
        <f>VLOOKUP(A292,Interest!$AF$8:$AK$367,6)</f>
        <v>0.67451511099680994</v>
      </c>
      <c r="BL292">
        <f>J292*VLOOKUP(A292,NymexData!$J$12:$K$244,2)</f>
        <v>0</v>
      </c>
      <c r="BO292">
        <f t="shared" si="84"/>
        <v>0.67451511099680994</v>
      </c>
      <c r="BP292">
        <f t="shared" si="85"/>
        <v>-0.35749300882830931</v>
      </c>
      <c r="BQ292">
        <f t="shared" si="86"/>
        <v>0</v>
      </c>
      <c r="BR292">
        <f t="shared" si="87"/>
        <v>0</v>
      </c>
      <c r="BS292">
        <f t="shared" si="88"/>
        <v>0</v>
      </c>
    </row>
    <row r="293" spans="1:71" ht="18" x14ac:dyDescent="0.25">
      <c r="A293" s="100">
        <f t="shared" si="78"/>
        <v>40026</v>
      </c>
      <c r="B293" s="329">
        <f t="array" ref="B293">SUM(IF(MONTH(NymexData!$AL$12:$AL$250)&amp;YEAR(NymexData!$AL$12:$AL$250)=MONTH(A293)&amp;YEAR(A293),NymexData!$AM$12:$AM$250))</f>
        <v>-83.015699600000005</v>
      </c>
      <c r="C293" s="330">
        <f t="shared" si="79"/>
        <v>0</v>
      </c>
      <c r="D293" s="331">
        <f t="shared" si="80"/>
        <v>-83.015699600000005</v>
      </c>
      <c r="E293" s="332">
        <f t="array" ref="E293">SUM(IF(MONTH(NymexData!$A$12:$A$250)&amp;YEAR(NymexData!$A$12:$A$250)=MONTH(A293)&amp;YEAR(A293),NymexData!$B$12:$B$250))</f>
        <v>-0.53</v>
      </c>
      <c r="F293" s="332">
        <f t="shared" si="81"/>
        <v>0</v>
      </c>
      <c r="G293" s="333">
        <f t="array" ref="G293">IF(NymexData!$H$12="",GasPosn!E293,SUM(IF(MONTH(NymexData!$H$12:$H$250)&amp;YEAR(NymexData!$H$12:$H$250)=MONTH(A293)&amp;YEAR(A293),NymexData!$I$12:$I$250)))</f>
        <v>-0.53</v>
      </c>
      <c r="H293" s="85">
        <f t="shared" si="82"/>
        <v>0</v>
      </c>
      <c r="I293" s="88">
        <f t="shared" si="83"/>
        <v>0</v>
      </c>
      <c r="J293" s="88">
        <f t="shared" si="75"/>
        <v>0</v>
      </c>
      <c r="O293" s="47">
        <f t="shared" si="76"/>
        <v>40026</v>
      </c>
      <c r="BD293" s="48">
        <f t="shared" ref="BD293:BD315" si="91">(P293+R293+T293+V293+X293+Z293+AB293+AD293+AF293+AH293+AJ293+AL293+AN293+AP293+AR293+AT293+AV293+AX293+AZ293+BB293)</f>
        <v>0</v>
      </c>
      <c r="BE293" s="334">
        <f t="shared" ref="BE293:BE315" si="92">IF(AND(BD293=0,BH293=0),0,(ABS(P293)*Q293+ABS(R293)*S293+ABS(T293)*U293+ABS(V293)*W293+ABS(X293)*Y293+ABS(Z293)*AA293+ABS(AB293)*AC293+ABS(AD293)*AE293+ABS(AF293)*AG293+ABS(AH293)*AI293+ABS(AJ293)*AK293+ABS(AL293)*AM293+ABS(AN293)*AO293+ABS(AP293)*AQ293+ABS(AR293)*AS293+ABS(AT293)*AU293+ABS(AV293)*AW293+ABS(AX293)*AY293+ABS(AZ293)*BA293+ABS(BB293)*BC293)/BH293)</f>
        <v>0</v>
      </c>
      <c r="BG293" s="51">
        <f t="shared" si="77"/>
        <v>40026</v>
      </c>
      <c r="BH293" s="335">
        <f t="shared" si="74"/>
        <v>0</v>
      </c>
      <c r="BI293" s="52">
        <f>VLOOKUP(GasPosn!A293,'Pricing Summary'!$AB$12:$AD$250,3)</f>
        <v>31</v>
      </c>
      <c r="BJ293" s="50">
        <f>VLOOKUP(A293,Interest!$AF$8:$AK$367,6)</f>
        <v>0.67106521431262189</v>
      </c>
      <c r="BL293">
        <f>J293*VLOOKUP(A293,NymexData!$J$12:$K$244,2)</f>
        <v>0</v>
      </c>
      <c r="BO293">
        <f t="shared" si="84"/>
        <v>0.67106521431262189</v>
      </c>
      <c r="BP293">
        <f t="shared" si="85"/>
        <v>-0.3556645635856896</v>
      </c>
      <c r="BQ293">
        <f t="shared" si="86"/>
        <v>0</v>
      </c>
      <c r="BR293">
        <f t="shared" si="87"/>
        <v>0</v>
      </c>
      <c r="BS293">
        <f t="shared" si="88"/>
        <v>0</v>
      </c>
    </row>
    <row r="294" spans="1:71" ht="18" x14ac:dyDescent="0.25">
      <c r="A294" s="98">
        <f t="shared" si="78"/>
        <v>40057</v>
      </c>
      <c r="B294" s="324">
        <f t="array" ref="B294">SUM(IF(MONTH(NymexData!$AL$12:$AL$250)&amp;YEAR(NymexData!$AL$12:$AL$250)=MONTH(A294)&amp;YEAR(A294),NymexData!$AM$12:$AM$250))</f>
        <v>-79.872977520000006</v>
      </c>
      <c r="C294" s="324">
        <f t="shared" si="79"/>
        <v>0</v>
      </c>
      <c r="D294" s="326">
        <f t="shared" si="80"/>
        <v>-79.872977520000006</v>
      </c>
      <c r="E294" s="327">
        <f t="array" ref="E294">SUM(IF(MONTH(NymexData!$A$12:$A$250)&amp;YEAR(NymexData!$A$12:$A$250)=MONTH(A294)&amp;YEAR(A294),NymexData!$B$12:$B$250))</f>
        <v>-0.53</v>
      </c>
      <c r="F294" s="327">
        <f t="shared" si="81"/>
        <v>0</v>
      </c>
      <c r="G294" s="328">
        <f t="array" ref="G294">IF(NymexData!$H$12="",GasPosn!E294,SUM(IF(MONTH(NymexData!$H$12:$H$250)&amp;YEAR(NymexData!$H$12:$H$250)=MONTH(A294)&amp;YEAR(A294),NymexData!$I$12:$I$250)))</f>
        <v>-0.53</v>
      </c>
      <c r="H294" s="99">
        <f t="shared" si="82"/>
        <v>0</v>
      </c>
      <c r="I294" s="92">
        <f t="shared" si="83"/>
        <v>0</v>
      </c>
      <c r="J294" s="92">
        <f t="shared" si="75"/>
        <v>0</v>
      </c>
      <c r="O294" s="47">
        <f t="shared" si="76"/>
        <v>40057</v>
      </c>
      <c r="BD294" s="48">
        <f t="shared" si="91"/>
        <v>0</v>
      </c>
      <c r="BE294" s="334">
        <f t="shared" si="92"/>
        <v>0</v>
      </c>
      <c r="BG294" s="51">
        <f t="shared" si="77"/>
        <v>40057</v>
      </c>
      <c r="BH294" s="335">
        <f t="shared" si="74"/>
        <v>0</v>
      </c>
      <c r="BI294" s="52">
        <f>VLOOKUP(GasPosn!A294,'Pricing Summary'!$AB$12:$AD$250,3)</f>
        <v>30</v>
      </c>
      <c r="BJ294" s="50">
        <f>VLOOKUP(A294,Interest!$AF$8:$AK$367,6)</f>
        <v>0.66771393771431842</v>
      </c>
      <c r="BL294">
        <f>J294*VLOOKUP(A294,NymexData!$J$12:$K$244,2)</f>
        <v>0</v>
      </c>
      <c r="BO294">
        <f t="shared" si="84"/>
        <v>0.66771393771431842</v>
      </c>
      <c r="BP294">
        <f t="shared" si="85"/>
        <v>-0.35388838698858877</v>
      </c>
      <c r="BQ294">
        <f t="shared" si="86"/>
        <v>0</v>
      </c>
      <c r="BR294">
        <f t="shared" si="87"/>
        <v>0</v>
      </c>
      <c r="BS294">
        <f t="shared" si="88"/>
        <v>0</v>
      </c>
    </row>
    <row r="295" spans="1:71" ht="18" x14ac:dyDescent="0.25">
      <c r="A295" s="100">
        <f t="shared" si="78"/>
        <v>40087</v>
      </c>
      <c r="B295" s="329">
        <f t="array" ref="B295">SUM(IF(MONTH(NymexData!$AL$12:$AL$250)&amp;YEAR(NymexData!$AL$12:$AL$250)=MONTH(A295)&amp;YEAR(A295),NymexData!$AM$12:$AM$250))</f>
        <v>-82.070872890000004</v>
      </c>
      <c r="C295" s="330">
        <f t="shared" si="79"/>
        <v>0</v>
      </c>
      <c r="D295" s="331">
        <f t="shared" si="80"/>
        <v>-82.070872890000004</v>
      </c>
      <c r="E295" s="332">
        <f t="array" ref="E295">SUM(IF(MONTH(NymexData!$A$12:$A$250)&amp;YEAR(NymexData!$A$12:$A$250)=MONTH(A295)&amp;YEAR(A295),NymexData!$B$12:$B$250))</f>
        <v>-0.53</v>
      </c>
      <c r="F295" s="332">
        <f t="shared" si="81"/>
        <v>0</v>
      </c>
      <c r="G295" s="333">
        <f t="array" ref="G295">IF(NymexData!$H$12="",GasPosn!E295,SUM(IF(MONTH(NymexData!$H$12:$H$250)&amp;YEAR(NymexData!$H$12:$H$250)=MONTH(A295)&amp;YEAR(A295),NymexData!$I$12:$I$250)))</f>
        <v>-0.53</v>
      </c>
      <c r="H295" s="85">
        <f t="shared" si="82"/>
        <v>0</v>
      </c>
      <c r="I295" s="88">
        <f t="shared" si="83"/>
        <v>0</v>
      </c>
      <c r="J295" s="88">
        <f t="shared" si="75"/>
        <v>0</v>
      </c>
      <c r="O295" s="47">
        <f t="shared" si="76"/>
        <v>40087</v>
      </c>
      <c r="BD295" s="48">
        <f t="shared" si="91"/>
        <v>0</v>
      </c>
      <c r="BE295" s="334">
        <f t="shared" si="92"/>
        <v>0</v>
      </c>
      <c r="BG295" s="51">
        <f t="shared" si="77"/>
        <v>40087</v>
      </c>
      <c r="BH295" s="335">
        <f t="shared" si="74"/>
        <v>0</v>
      </c>
      <c r="BI295" s="52">
        <f>VLOOKUP(GasPosn!A295,'Pricing Summary'!$AB$12:$AD$250,3)</f>
        <v>31</v>
      </c>
      <c r="BJ295" s="50">
        <f>VLOOKUP(A295,Interest!$AF$8:$AK$367,6)</f>
        <v>0.6642934265736008</v>
      </c>
      <c r="BL295">
        <f>J295*VLOOKUP(A295,NymexData!$J$12:$K$244,2)</f>
        <v>0</v>
      </c>
      <c r="BO295">
        <f t="shared" si="84"/>
        <v>0.6642934265736008</v>
      </c>
      <c r="BP295">
        <f t="shared" si="85"/>
        <v>-0.35207551608400844</v>
      </c>
      <c r="BQ295">
        <f t="shared" si="86"/>
        <v>0</v>
      </c>
      <c r="BR295">
        <f t="shared" si="87"/>
        <v>0</v>
      </c>
      <c r="BS295">
        <f t="shared" si="88"/>
        <v>0</v>
      </c>
    </row>
    <row r="296" spans="1:71" ht="18" x14ac:dyDescent="0.25">
      <c r="A296" s="98">
        <f t="shared" si="78"/>
        <v>40118</v>
      </c>
      <c r="B296" s="324">
        <f t="array" ref="B296">SUM(IF(MONTH(NymexData!$AL$12:$AL$250)&amp;YEAR(NymexData!$AL$12:$AL$250)=MONTH(A296)&amp;YEAR(A296),NymexData!$AM$12:$AM$250))</f>
        <v>-78.959173669999998</v>
      </c>
      <c r="C296" s="324">
        <f t="shared" si="79"/>
        <v>0</v>
      </c>
      <c r="D296" s="326">
        <f t="shared" si="80"/>
        <v>-78.959173669999998</v>
      </c>
      <c r="E296" s="327">
        <f t="array" ref="E296">SUM(IF(MONTH(NymexData!$A$12:$A$250)&amp;YEAR(NymexData!$A$12:$A$250)=MONTH(A296)&amp;YEAR(A296),NymexData!$B$12:$B$250))</f>
        <v>-0.47</v>
      </c>
      <c r="F296" s="327">
        <f t="shared" si="81"/>
        <v>0</v>
      </c>
      <c r="G296" s="328">
        <f t="array" ref="G296">IF(NymexData!$H$12="",GasPosn!E296,SUM(IF(MONTH(NymexData!$H$12:$H$250)&amp;YEAR(NymexData!$H$12:$H$250)=MONTH(A296)&amp;YEAR(A296),NymexData!$I$12:$I$250)))</f>
        <v>-0.47</v>
      </c>
      <c r="H296" s="99">
        <f t="shared" si="82"/>
        <v>0</v>
      </c>
      <c r="I296" s="92">
        <f t="shared" si="83"/>
        <v>0</v>
      </c>
      <c r="J296" s="92">
        <f t="shared" si="75"/>
        <v>0</v>
      </c>
      <c r="O296" s="47">
        <f t="shared" si="76"/>
        <v>40118</v>
      </c>
      <c r="BD296" s="48">
        <f t="shared" si="91"/>
        <v>0</v>
      </c>
      <c r="BE296" s="334">
        <f t="shared" si="92"/>
        <v>0</v>
      </c>
      <c r="BG296" s="51">
        <f t="shared" si="77"/>
        <v>40118</v>
      </c>
      <c r="BH296" s="335">
        <f t="shared" si="74"/>
        <v>0</v>
      </c>
      <c r="BI296" s="52">
        <f>VLOOKUP(GasPosn!A296,'Pricing Summary'!$AB$12:$AD$250,3)</f>
        <v>30</v>
      </c>
      <c r="BJ296" s="50">
        <f>VLOOKUP(A296,Interest!$AF$8:$AK$367,6)</f>
        <v>0.6609530678798945</v>
      </c>
      <c r="BL296">
        <f>J296*VLOOKUP(A296,NymexData!$J$12:$K$244,2)</f>
        <v>0</v>
      </c>
      <c r="BO296">
        <f t="shared" si="84"/>
        <v>0.6609530678798945</v>
      </c>
      <c r="BP296">
        <f t="shared" si="85"/>
        <v>-0.31064794190355038</v>
      </c>
      <c r="BQ296">
        <f t="shared" si="86"/>
        <v>0</v>
      </c>
      <c r="BR296">
        <f t="shared" si="87"/>
        <v>0</v>
      </c>
      <c r="BS296">
        <f t="shared" si="88"/>
        <v>0</v>
      </c>
    </row>
    <row r="297" spans="1:71" ht="18" x14ac:dyDescent="0.25">
      <c r="A297" s="100">
        <f t="shared" si="78"/>
        <v>40148</v>
      </c>
      <c r="B297" s="329">
        <f t="array" ref="B297">SUM(IF(MONTH(NymexData!$AL$12:$AL$250)&amp;YEAR(NymexData!$AL$12:$AL$250)=MONTH(A297)&amp;YEAR(A297),NymexData!$AM$12:$AM$250))</f>
        <v>-81.127205689999997</v>
      </c>
      <c r="C297" s="330">
        <f t="shared" si="79"/>
        <v>0</v>
      </c>
      <c r="D297" s="331">
        <f t="shared" si="80"/>
        <v>-81.127205689999997</v>
      </c>
      <c r="E297" s="332">
        <f t="array" ref="E297">SUM(IF(MONTH(NymexData!$A$12:$A$250)&amp;YEAR(NymexData!$A$12:$A$250)=MONTH(A297)&amp;YEAR(A297),NymexData!$B$12:$B$250))</f>
        <v>-0.47</v>
      </c>
      <c r="F297" s="332">
        <f t="shared" si="81"/>
        <v>0</v>
      </c>
      <c r="G297" s="333">
        <f t="array" ref="G297">IF(NymexData!$H$12="",GasPosn!E297,SUM(IF(MONTH(NymexData!$H$12:$H$250)&amp;YEAR(NymexData!$H$12:$H$250)=MONTH(A297)&amp;YEAR(A297),NymexData!$I$12:$I$250)))</f>
        <v>-0.47</v>
      </c>
      <c r="H297" s="85">
        <f t="shared" si="82"/>
        <v>0</v>
      </c>
      <c r="I297" s="88">
        <f t="shared" si="83"/>
        <v>0</v>
      </c>
      <c r="J297" s="88">
        <f t="shared" si="75"/>
        <v>0</v>
      </c>
      <c r="O297" s="47">
        <f t="shared" si="76"/>
        <v>40148</v>
      </c>
      <c r="BD297" s="48">
        <f t="shared" si="91"/>
        <v>0</v>
      </c>
      <c r="BE297" s="334">
        <f t="shared" si="92"/>
        <v>0</v>
      </c>
      <c r="BG297" s="51">
        <f t="shared" si="77"/>
        <v>40148</v>
      </c>
      <c r="BH297" s="335">
        <f t="shared" si="74"/>
        <v>0</v>
      </c>
      <c r="BI297" s="52">
        <f>VLOOKUP(GasPosn!A297,'Pricing Summary'!$AB$12:$AD$250,3)</f>
        <v>31</v>
      </c>
      <c r="BJ297" s="50">
        <f>VLOOKUP(A297,Interest!$AF$8:$AK$367,6)</f>
        <v>0.65754440861175778</v>
      </c>
      <c r="BL297">
        <f>J297*VLOOKUP(A297,NymexData!$J$12:$K$244,2)</f>
        <v>0</v>
      </c>
      <c r="BO297">
        <f t="shared" si="84"/>
        <v>0.65754440861175778</v>
      </c>
      <c r="BP297">
        <f t="shared" si="85"/>
        <v>-0.30904587204752615</v>
      </c>
      <c r="BQ297">
        <f t="shared" si="86"/>
        <v>0</v>
      </c>
      <c r="BR297">
        <f t="shared" si="87"/>
        <v>0</v>
      </c>
      <c r="BS297">
        <f t="shared" si="88"/>
        <v>0</v>
      </c>
    </row>
    <row r="298" spans="1:71" ht="18" x14ac:dyDescent="0.25">
      <c r="A298" s="98">
        <f t="shared" si="78"/>
        <v>40179</v>
      </c>
      <c r="B298" s="324">
        <f t="array" ref="B298">SUM(IF(MONTH(NymexData!$AL$12:$AL$250)&amp;YEAR(NymexData!$AL$12:$AL$250)=MONTH(A298)&amp;YEAR(A298),NymexData!$AM$12:$AM$250))</f>
        <v>-80.648149270000005</v>
      </c>
      <c r="C298" s="324">
        <f t="shared" si="79"/>
        <v>0</v>
      </c>
      <c r="D298" s="326">
        <f t="shared" si="80"/>
        <v>-80.648149270000005</v>
      </c>
      <c r="E298" s="327">
        <f t="array" ref="E298">SUM(IF(MONTH(NymexData!$A$12:$A$250)&amp;YEAR(NymexData!$A$12:$A$250)=MONTH(A298)&amp;YEAR(A298),NymexData!$B$12:$B$250))</f>
        <v>-0.47</v>
      </c>
      <c r="F298" s="327">
        <f t="shared" si="81"/>
        <v>0</v>
      </c>
      <c r="G298" s="328">
        <f t="array" ref="G298">IF(NymexData!$H$12="",GasPosn!E298,SUM(IF(MONTH(NymexData!$H$12:$H$250)&amp;YEAR(NymexData!$H$12:$H$250)=MONTH(A298)&amp;YEAR(A298),NymexData!$I$12:$I$250)))</f>
        <v>-0.47</v>
      </c>
      <c r="H298" s="99">
        <f t="shared" si="82"/>
        <v>0</v>
      </c>
      <c r="I298" s="92">
        <f t="shared" si="83"/>
        <v>0</v>
      </c>
      <c r="J298" s="92">
        <f t="shared" si="75"/>
        <v>0</v>
      </c>
      <c r="O298" s="47">
        <f t="shared" si="76"/>
        <v>40179</v>
      </c>
      <c r="BD298" s="48">
        <f t="shared" si="91"/>
        <v>0</v>
      </c>
      <c r="BE298" s="334">
        <f t="shared" si="92"/>
        <v>0</v>
      </c>
      <c r="BG298" s="51">
        <f t="shared" si="77"/>
        <v>40179</v>
      </c>
      <c r="BH298" s="335">
        <f t="shared" si="74"/>
        <v>0</v>
      </c>
      <c r="BI298" s="52">
        <f>VLOOKUP(GasPosn!A298,'Pricing Summary'!$AB$12:$AD$250,3)</f>
        <v>31</v>
      </c>
      <c r="BJ298" s="50">
        <f>VLOOKUP(A298,Interest!$AF$8:$AK$367,6)</f>
        <v>0.65412353264283984</v>
      </c>
      <c r="BL298">
        <f>J298*VLOOKUP(A298,NymexData!$J$12:$K$244,2)</f>
        <v>0</v>
      </c>
      <c r="BO298">
        <f t="shared" si="84"/>
        <v>0.65412353264283984</v>
      </c>
      <c r="BP298">
        <f t="shared" si="85"/>
        <v>-0.30743806034213472</v>
      </c>
      <c r="BQ298">
        <f t="shared" si="86"/>
        <v>0</v>
      </c>
      <c r="BR298">
        <f t="shared" si="87"/>
        <v>0</v>
      </c>
      <c r="BS298">
        <f t="shared" si="88"/>
        <v>0</v>
      </c>
    </row>
    <row r="299" spans="1:71" ht="18" x14ac:dyDescent="0.25">
      <c r="A299" s="100">
        <f t="shared" si="78"/>
        <v>40210</v>
      </c>
      <c r="B299" s="329">
        <f t="array" ref="B299">SUM(IF(MONTH(NymexData!$AL$12:$AL$250)&amp;YEAR(NymexData!$AL$12:$AL$250)=MONTH(A299)&amp;YEAR(A299),NymexData!$AM$12:$AM$250))</f>
        <v>-72.41113799</v>
      </c>
      <c r="C299" s="330">
        <f t="shared" si="79"/>
        <v>0</v>
      </c>
      <c r="D299" s="331">
        <f t="shared" si="80"/>
        <v>-72.41113799</v>
      </c>
      <c r="E299" s="332">
        <f t="array" ref="E299">SUM(IF(MONTH(NymexData!$A$12:$A$250)&amp;YEAR(NymexData!$A$12:$A$250)=MONTH(A299)&amp;YEAR(A299),NymexData!$B$12:$B$250))</f>
        <v>-0.47</v>
      </c>
      <c r="F299" s="332">
        <f t="shared" si="81"/>
        <v>0</v>
      </c>
      <c r="G299" s="333">
        <f t="array" ref="G299">IF(NymexData!$H$12="",GasPosn!E299,SUM(IF(MONTH(NymexData!$H$12:$H$250)&amp;YEAR(NymexData!$H$12:$H$250)=MONTH(A299)&amp;YEAR(A299),NymexData!$I$12:$I$250)))</f>
        <v>-0.47</v>
      </c>
      <c r="H299" s="85">
        <f t="shared" si="82"/>
        <v>0</v>
      </c>
      <c r="I299" s="88">
        <f t="shared" si="83"/>
        <v>0</v>
      </c>
      <c r="J299" s="88">
        <f t="shared" si="75"/>
        <v>0</v>
      </c>
      <c r="O299" s="47">
        <f t="shared" si="76"/>
        <v>40210</v>
      </c>
      <c r="BD299" s="48">
        <f t="shared" si="91"/>
        <v>0</v>
      </c>
      <c r="BE299" s="334">
        <f t="shared" si="92"/>
        <v>0</v>
      </c>
      <c r="BG299" s="51">
        <f t="shared" si="77"/>
        <v>40210</v>
      </c>
      <c r="BH299" s="335">
        <f t="shared" si="74"/>
        <v>0</v>
      </c>
      <c r="BI299" s="52">
        <f>VLOOKUP(GasPosn!A299,'Pricing Summary'!$AB$12:$AD$250,3)</f>
        <v>28</v>
      </c>
      <c r="BJ299" s="50">
        <f>VLOOKUP(A299,Interest!$AF$8:$AK$367,6)</f>
        <v>0.65098335064156532</v>
      </c>
      <c r="BL299">
        <f>J299*VLOOKUP(A299,NymexData!$J$12:$K$244,2)</f>
        <v>0</v>
      </c>
      <c r="BO299">
        <f t="shared" si="84"/>
        <v>0.65098335064156532</v>
      </c>
      <c r="BP299">
        <f t="shared" si="85"/>
        <v>-0.3059621748015357</v>
      </c>
      <c r="BQ299">
        <f t="shared" si="86"/>
        <v>0</v>
      </c>
      <c r="BR299">
        <f t="shared" si="87"/>
        <v>0</v>
      </c>
      <c r="BS299">
        <f t="shared" si="88"/>
        <v>0</v>
      </c>
    </row>
    <row r="300" spans="1:71" ht="18" x14ac:dyDescent="0.25">
      <c r="A300" s="98">
        <f t="shared" si="78"/>
        <v>40238</v>
      </c>
      <c r="B300" s="324">
        <f t="array" ref="B300">SUM(IF(MONTH(NymexData!$AL$12:$AL$250)&amp;YEAR(NymexData!$AL$12:$AL$250)=MONTH(A300)&amp;YEAR(A300),NymexData!$AM$12:$AM$250))</f>
        <v>-79.737473030000004</v>
      </c>
      <c r="C300" s="324">
        <f t="shared" si="79"/>
        <v>0</v>
      </c>
      <c r="D300" s="326">
        <f t="shared" si="80"/>
        <v>-79.737473030000004</v>
      </c>
      <c r="E300" s="327">
        <f t="array" ref="E300">SUM(IF(MONTH(NymexData!$A$12:$A$250)&amp;YEAR(NymexData!$A$12:$A$250)=MONTH(A300)&amp;YEAR(A300),NymexData!$B$12:$B$250))</f>
        <v>-0.47</v>
      </c>
      <c r="F300" s="327">
        <f t="shared" si="81"/>
        <v>0</v>
      </c>
      <c r="G300" s="328">
        <f t="array" ref="G300">IF(NymexData!$H$12="",GasPosn!E300,SUM(IF(MONTH(NymexData!$H$12:$H$250)&amp;YEAR(NymexData!$H$12:$H$250)=MONTH(A300)&amp;YEAR(A300),NymexData!$I$12:$I$250)))</f>
        <v>-0.47</v>
      </c>
      <c r="H300" s="99">
        <f t="shared" si="82"/>
        <v>0</v>
      </c>
      <c r="I300" s="92">
        <f t="shared" si="83"/>
        <v>0</v>
      </c>
      <c r="J300" s="92">
        <f t="shared" si="75"/>
        <v>0</v>
      </c>
      <c r="O300" s="47">
        <f t="shared" si="76"/>
        <v>40238</v>
      </c>
      <c r="BD300" s="48">
        <f t="shared" si="91"/>
        <v>0</v>
      </c>
      <c r="BE300" s="334">
        <f t="shared" si="92"/>
        <v>0</v>
      </c>
      <c r="BG300" s="51">
        <f t="shared" si="77"/>
        <v>40238</v>
      </c>
      <c r="BH300" s="335">
        <f t="shared" ref="BH300:BH316" si="93">(ABS(P300)+ABS(R300)+ABS(T300)+ABS(V300)+ABS(X300)+ABS(Z300)+ABS(AB300)+ABS(AD300)+ABS(AF300)+ABS(AH300)+ABS(AJ300)+ABS(AL300)+ABS(AN300)+ABS(AP300)+ABS(AR300)+ABS(AT300)+ABS(AV300)+ABS(AX300)+ABS(AZ300)+ABS(BB300))</f>
        <v>0</v>
      </c>
      <c r="BI300" s="52">
        <f>VLOOKUP(GasPosn!A300,'Pricing Summary'!$AB$12:$AD$250,3)</f>
        <v>31</v>
      </c>
      <c r="BJ300" s="50">
        <f>VLOOKUP(A300,Interest!$AF$8:$AK$367,6)</f>
        <v>0.6476299124673337</v>
      </c>
      <c r="BL300">
        <f>J300*VLOOKUP(A300,NymexData!$J$12:$K$244,2)</f>
        <v>0</v>
      </c>
      <c r="BO300">
        <f t="shared" si="84"/>
        <v>0.6476299124673337</v>
      </c>
      <c r="BP300">
        <f t="shared" si="85"/>
        <v>-0.30438605885964681</v>
      </c>
      <c r="BQ300">
        <f t="shared" si="86"/>
        <v>0</v>
      </c>
      <c r="BR300">
        <f t="shared" si="87"/>
        <v>0</v>
      </c>
      <c r="BS300">
        <f t="shared" si="88"/>
        <v>0</v>
      </c>
    </row>
    <row r="301" spans="1:71" ht="18" x14ac:dyDescent="0.25">
      <c r="A301" s="100">
        <f t="shared" si="78"/>
        <v>40269</v>
      </c>
      <c r="B301" s="329">
        <f t="array" ref="B301">SUM(IF(MONTH(NymexData!$AL$12:$AL$250)&amp;YEAR(NymexData!$AL$12:$AL$250)=MONTH(A301)&amp;YEAR(A301),NymexData!$AM$12:$AM$250))</f>
        <v>-76.702837610000003</v>
      </c>
      <c r="C301" s="330">
        <f t="shared" si="79"/>
        <v>0</v>
      </c>
      <c r="D301" s="331">
        <f t="shared" si="80"/>
        <v>-76.702837610000003</v>
      </c>
      <c r="E301" s="332">
        <f t="array" ref="E301">SUM(IF(MONTH(NymexData!$A$12:$A$250)&amp;YEAR(NymexData!$A$12:$A$250)=MONTH(A301)&amp;YEAR(A301),NymexData!$B$12:$B$250))</f>
        <v>-0.59499999999999997</v>
      </c>
      <c r="F301" s="332">
        <f t="shared" si="81"/>
        <v>0</v>
      </c>
      <c r="G301" s="333">
        <f t="array" ref="G301">IF(NymexData!$H$12="",GasPosn!E301,SUM(IF(MONTH(NymexData!$H$12:$H$250)&amp;YEAR(NymexData!$H$12:$H$250)=MONTH(A301)&amp;YEAR(A301),NymexData!$I$12:$I$250)))</f>
        <v>-0.59499999999999997</v>
      </c>
      <c r="H301" s="85">
        <f t="shared" si="82"/>
        <v>0</v>
      </c>
      <c r="I301" s="88">
        <f t="shared" si="83"/>
        <v>0</v>
      </c>
      <c r="J301" s="88">
        <f t="shared" si="75"/>
        <v>0</v>
      </c>
      <c r="O301" s="47">
        <f t="shared" si="76"/>
        <v>40269</v>
      </c>
      <c r="BD301" s="48">
        <f t="shared" si="91"/>
        <v>0</v>
      </c>
      <c r="BE301" s="334">
        <f t="shared" si="92"/>
        <v>0</v>
      </c>
      <c r="BG301" s="51">
        <f t="shared" si="77"/>
        <v>40269</v>
      </c>
      <c r="BH301" s="335">
        <f t="shared" si="93"/>
        <v>0</v>
      </c>
      <c r="BI301" s="52">
        <f>VLOOKUP(GasPosn!A301,'Pricing Summary'!$AB$12:$AD$250,3)</f>
        <v>30</v>
      </c>
      <c r="BJ301" s="50">
        <f>VLOOKUP(A301,Interest!$AF$8:$AK$367,6)</f>
        <v>0.64431809826080089</v>
      </c>
      <c r="BL301">
        <f>J301*VLOOKUP(A301,NymexData!$J$12:$K$244,2)</f>
        <v>0</v>
      </c>
      <c r="BO301">
        <f t="shared" si="84"/>
        <v>0.64431809826080089</v>
      </c>
      <c r="BP301">
        <f t="shared" si="85"/>
        <v>-0.38336926846517649</v>
      </c>
      <c r="BQ301">
        <f t="shared" si="86"/>
        <v>0</v>
      </c>
      <c r="BR301">
        <f t="shared" si="87"/>
        <v>0</v>
      </c>
      <c r="BS301">
        <f t="shared" si="88"/>
        <v>0</v>
      </c>
    </row>
    <row r="302" spans="1:71" ht="18" x14ac:dyDescent="0.25">
      <c r="A302" s="98">
        <f t="shared" si="78"/>
        <v>40299</v>
      </c>
      <c r="B302" s="324">
        <f t="array" ref="B302">SUM(IF(MONTH(NymexData!$AL$12:$AL$250)&amp;YEAR(NymexData!$AL$12:$AL$250)=MONTH(A302)&amp;YEAR(A302),NymexData!$AM$12:$AM$250))</f>
        <v>-78.797577599999997</v>
      </c>
      <c r="C302" s="324">
        <f t="shared" si="79"/>
        <v>0</v>
      </c>
      <c r="D302" s="326">
        <f t="shared" si="80"/>
        <v>-78.797577599999997</v>
      </c>
      <c r="E302" s="327">
        <f t="array" ref="E302">SUM(IF(MONTH(NymexData!$A$12:$A$250)&amp;YEAR(NymexData!$A$12:$A$250)=MONTH(A302)&amp;YEAR(A302),NymexData!$B$12:$B$250))</f>
        <v>-0.59499999999999997</v>
      </c>
      <c r="F302" s="327">
        <f t="shared" si="81"/>
        <v>0</v>
      </c>
      <c r="G302" s="328">
        <f t="array" ref="G302">IF(NymexData!$H$12="",GasPosn!E302,SUM(IF(MONTH(NymexData!$H$12:$H$250)&amp;YEAR(NymexData!$H$12:$H$250)=MONTH(A302)&amp;YEAR(A302),NymexData!$I$12:$I$250)))</f>
        <v>-0.59499999999999997</v>
      </c>
      <c r="H302" s="99">
        <f t="shared" si="82"/>
        <v>0</v>
      </c>
      <c r="I302" s="92">
        <f t="shared" si="83"/>
        <v>0</v>
      </c>
      <c r="J302" s="92">
        <f t="shared" si="75"/>
        <v>0</v>
      </c>
      <c r="O302" s="47">
        <f t="shared" si="76"/>
        <v>40299</v>
      </c>
      <c r="BD302" s="48">
        <f t="shared" si="91"/>
        <v>0</v>
      </c>
      <c r="BE302" s="334">
        <f t="shared" si="92"/>
        <v>0</v>
      </c>
      <c r="BG302" s="51">
        <f t="shared" si="77"/>
        <v>40299</v>
      </c>
      <c r="BH302" s="335">
        <f t="shared" si="93"/>
        <v>0</v>
      </c>
      <c r="BI302" s="52">
        <f>VLOOKUP(GasPosn!A302,'Pricing Summary'!$AB$12:$AD$250,3)</f>
        <v>31</v>
      </c>
      <c r="BJ302" s="50">
        <f>VLOOKUP(A302,Interest!$AF$8:$AK$367,6)</f>
        <v>0.64094027092430039</v>
      </c>
      <c r="BL302">
        <f>J302*VLOOKUP(A302,NymexData!$J$12:$K$244,2)</f>
        <v>0</v>
      </c>
      <c r="BO302">
        <f t="shared" si="84"/>
        <v>0.64094027092430039</v>
      </c>
      <c r="BP302">
        <f t="shared" si="85"/>
        <v>-0.38135946119995873</v>
      </c>
      <c r="BQ302">
        <f t="shared" si="86"/>
        <v>0</v>
      </c>
      <c r="BR302">
        <f t="shared" si="87"/>
        <v>0</v>
      </c>
      <c r="BS302">
        <f t="shared" si="88"/>
        <v>0</v>
      </c>
    </row>
    <row r="303" spans="1:71" ht="18" x14ac:dyDescent="0.25">
      <c r="A303" s="100">
        <f t="shared" si="78"/>
        <v>40330</v>
      </c>
      <c r="B303" s="329">
        <f t="array" ref="B303">SUM(IF(MONTH(NymexData!$AL$12:$AL$250)&amp;YEAR(NymexData!$AL$12:$AL$250)=MONTH(A303)&amp;YEAR(A303),NymexData!$AM$12:$AM$250))</f>
        <v>-75.794161590000002</v>
      </c>
      <c r="C303" s="330">
        <f t="shared" si="79"/>
        <v>0</v>
      </c>
      <c r="D303" s="331">
        <f t="shared" si="80"/>
        <v>-75.794161590000002</v>
      </c>
      <c r="E303" s="332">
        <f t="array" ref="E303">SUM(IF(MONTH(NymexData!$A$12:$A$250)&amp;YEAR(NymexData!$A$12:$A$250)=MONTH(A303)&amp;YEAR(A303),NymexData!$B$12:$B$250))</f>
        <v>-0.59499999999999997</v>
      </c>
      <c r="F303" s="332">
        <f t="shared" si="81"/>
        <v>0</v>
      </c>
      <c r="G303" s="333">
        <f t="array" ref="G303">IF(NymexData!$H$12="",GasPosn!E303,SUM(IF(MONTH(NymexData!$H$12:$H$250)&amp;YEAR(NymexData!$H$12:$H$250)=MONTH(A303)&amp;YEAR(A303),NymexData!$I$12:$I$250)))</f>
        <v>-0.59499999999999997</v>
      </c>
      <c r="H303" s="85">
        <f t="shared" si="82"/>
        <v>0</v>
      </c>
      <c r="I303" s="88">
        <f t="shared" si="83"/>
        <v>0</v>
      </c>
      <c r="J303" s="88">
        <f t="shared" si="75"/>
        <v>0</v>
      </c>
      <c r="O303" s="47">
        <f t="shared" si="76"/>
        <v>40330</v>
      </c>
      <c r="BD303" s="48">
        <f t="shared" si="91"/>
        <v>0</v>
      </c>
      <c r="BE303" s="334">
        <f t="shared" si="92"/>
        <v>0</v>
      </c>
      <c r="BG303" s="51">
        <f t="shared" si="77"/>
        <v>40330</v>
      </c>
      <c r="BH303" s="335">
        <f t="shared" si="93"/>
        <v>0</v>
      </c>
      <c r="BI303" s="52">
        <f>VLOOKUP(GasPosn!A303,'Pricing Summary'!$AB$12:$AD$250,3)</f>
        <v>30</v>
      </c>
      <c r="BJ303" s="50">
        <f>VLOOKUP(A303,Interest!$AF$8:$AK$367,6)</f>
        <v>0.63764058539844393</v>
      </c>
      <c r="BL303">
        <f>J303*VLOOKUP(A303,NymexData!$J$12:$K$244,2)</f>
        <v>0</v>
      </c>
      <c r="BO303">
        <f t="shared" si="84"/>
        <v>0.63764058539844393</v>
      </c>
      <c r="BP303">
        <f t="shared" si="85"/>
        <v>-0.37939614831207413</v>
      </c>
      <c r="BQ303">
        <f t="shared" si="86"/>
        <v>0</v>
      </c>
      <c r="BR303">
        <f t="shared" si="87"/>
        <v>0</v>
      </c>
      <c r="BS303">
        <f t="shared" si="88"/>
        <v>0</v>
      </c>
    </row>
    <row r="304" spans="1:71" ht="18" x14ac:dyDescent="0.25">
      <c r="A304" s="98">
        <f t="shared" si="78"/>
        <v>40360</v>
      </c>
      <c r="B304" s="324">
        <f t="array" ref="B304">SUM(IF(MONTH(NymexData!$AL$12:$AL$250)&amp;YEAR(NymexData!$AL$12:$AL$250)=MONTH(A304)&amp;YEAR(A304),NymexData!$AM$12:$AM$250))</f>
        <v>-77.859562150000002</v>
      </c>
      <c r="C304" s="324">
        <f t="shared" si="79"/>
        <v>0</v>
      </c>
      <c r="D304" s="326">
        <f t="shared" si="80"/>
        <v>-77.859562150000002</v>
      </c>
      <c r="E304" s="327">
        <f t="array" ref="E304">SUM(IF(MONTH(NymexData!$A$12:$A$250)&amp;YEAR(NymexData!$A$12:$A$250)=MONTH(A304)&amp;YEAR(A304),NymexData!$B$12:$B$250))</f>
        <v>-0.59499999999999997</v>
      </c>
      <c r="F304" s="327">
        <f t="shared" si="81"/>
        <v>0</v>
      </c>
      <c r="G304" s="328">
        <f t="array" ref="G304">IF(NymexData!$H$12="",GasPosn!E304,SUM(IF(MONTH(NymexData!$H$12:$H$250)&amp;YEAR(NymexData!$H$12:$H$250)=MONTH(A304)&amp;YEAR(A304),NymexData!$I$12:$I$250)))</f>
        <v>-0.59499999999999997</v>
      </c>
      <c r="H304" s="99">
        <f t="shared" si="82"/>
        <v>0</v>
      </c>
      <c r="I304" s="92">
        <f t="shared" si="83"/>
        <v>0</v>
      </c>
      <c r="J304" s="92">
        <f t="shared" si="75"/>
        <v>0</v>
      </c>
      <c r="O304" s="47">
        <f t="shared" si="76"/>
        <v>40360</v>
      </c>
      <c r="BD304" s="48">
        <f t="shared" si="91"/>
        <v>0</v>
      </c>
      <c r="BE304" s="334">
        <f t="shared" si="92"/>
        <v>0</v>
      </c>
      <c r="BG304" s="51">
        <f t="shared" si="77"/>
        <v>40360</v>
      </c>
      <c r="BH304" s="335">
        <f t="shared" si="93"/>
        <v>0</v>
      </c>
      <c r="BI304" s="52">
        <f>VLOOKUP(GasPosn!A304,'Pricing Summary'!$AB$12:$AD$250,3)</f>
        <v>31</v>
      </c>
      <c r="BJ304" s="50">
        <f>VLOOKUP(A304,Interest!$AF$8:$AK$367,6)</f>
        <v>0.63427580066950007</v>
      </c>
      <c r="BL304">
        <f>J304*VLOOKUP(A304,NymexData!$J$12:$K$244,2)</f>
        <v>0</v>
      </c>
      <c r="BO304">
        <f t="shared" si="84"/>
        <v>0.63427580066950007</v>
      </c>
      <c r="BP304">
        <f t="shared" si="85"/>
        <v>-0.3773941013983525</v>
      </c>
      <c r="BQ304">
        <f t="shared" si="86"/>
        <v>0</v>
      </c>
      <c r="BR304">
        <f t="shared" si="87"/>
        <v>0</v>
      </c>
      <c r="BS304">
        <f t="shared" si="88"/>
        <v>0</v>
      </c>
    </row>
    <row r="305" spans="1:72" ht="18" x14ac:dyDescent="0.25">
      <c r="A305" s="100">
        <f t="shared" si="78"/>
        <v>40391</v>
      </c>
      <c r="B305" s="329">
        <f t="array" ref="B305">SUM(IF(MONTH(NymexData!$AL$12:$AL$250)&amp;YEAR(NymexData!$AL$12:$AL$250)=MONTH(A305)&amp;YEAR(A305),NymexData!$AM$12:$AM$250))</f>
        <v>-77.383650549999999</v>
      </c>
      <c r="C305" s="330">
        <f t="shared" si="79"/>
        <v>0</v>
      </c>
      <c r="D305" s="331">
        <f t="shared" si="80"/>
        <v>-77.383650549999999</v>
      </c>
      <c r="E305" s="332">
        <f t="array" ref="E305">SUM(IF(MONTH(NymexData!$A$12:$A$250)&amp;YEAR(NymexData!$A$12:$A$250)=MONTH(A305)&amp;YEAR(A305),NymexData!$B$12:$B$250))</f>
        <v>-0.59499999999999997</v>
      </c>
      <c r="F305" s="332">
        <f t="shared" si="81"/>
        <v>0</v>
      </c>
      <c r="G305" s="333">
        <f t="array" ref="G305">IF(NymexData!$H$12="",GasPosn!E305,SUM(IF(MONTH(NymexData!$H$12:$H$250)&amp;YEAR(NymexData!$H$12:$H$250)=MONTH(A305)&amp;YEAR(A305),NymexData!$I$12:$I$250)))</f>
        <v>-0.59499999999999997</v>
      </c>
      <c r="H305" s="85">
        <f t="shared" si="82"/>
        <v>0</v>
      </c>
      <c r="I305" s="88">
        <f t="shared" si="83"/>
        <v>0</v>
      </c>
      <c r="J305" s="88">
        <f t="shared" si="75"/>
        <v>0</v>
      </c>
      <c r="O305" s="47">
        <f t="shared" si="76"/>
        <v>40391</v>
      </c>
      <c r="BD305" s="48">
        <f t="shared" si="91"/>
        <v>0</v>
      </c>
      <c r="BE305" s="334">
        <f t="shared" si="92"/>
        <v>0</v>
      </c>
      <c r="BG305" s="51">
        <f t="shared" si="77"/>
        <v>40391</v>
      </c>
      <c r="BH305" s="335">
        <f t="shared" si="93"/>
        <v>0</v>
      </c>
      <c r="BI305" s="52">
        <f>VLOOKUP(GasPosn!A305,'Pricing Summary'!$AB$12:$AD$250,3)</f>
        <v>31</v>
      </c>
      <c r="BJ305" s="50">
        <f>VLOOKUP(A305,Interest!$AF$8:$AK$367,6)</f>
        <v>0.63089879815721861</v>
      </c>
      <c r="BL305">
        <f>J305*VLOOKUP(A305,NymexData!$J$12:$K$244,2)</f>
        <v>0</v>
      </c>
      <c r="BO305">
        <f t="shared" si="84"/>
        <v>0.63089879815721861</v>
      </c>
      <c r="BP305">
        <f t="shared" si="85"/>
        <v>-0.37538478490354504</v>
      </c>
      <c r="BQ305">
        <f t="shared" si="86"/>
        <v>0</v>
      </c>
      <c r="BR305">
        <f t="shared" si="87"/>
        <v>0</v>
      </c>
      <c r="BS305">
        <f t="shared" si="88"/>
        <v>0</v>
      </c>
    </row>
    <row r="306" spans="1:72" ht="18" x14ac:dyDescent="0.25">
      <c r="A306" s="98">
        <f t="shared" si="78"/>
        <v>40422</v>
      </c>
      <c r="B306" s="324">
        <f t="array" ref="B306">SUM(IF(MONTH(NymexData!$AL$12:$AL$250)&amp;YEAR(NymexData!$AL$12:$AL$250)=MONTH(A306)&amp;YEAR(A306),NymexData!$AM$12:$AM$250))</f>
        <v>-74.427389270000006</v>
      </c>
      <c r="C306" s="324">
        <f t="shared" si="79"/>
        <v>0</v>
      </c>
      <c r="D306" s="326">
        <f t="shared" si="80"/>
        <v>-74.427389270000006</v>
      </c>
      <c r="E306" s="327">
        <f t="array" ref="E306">SUM(IF(MONTH(NymexData!$A$12:$A$250)&amp;YEAR(NymexData!$A$12:$A$250)=MONTH(A306)&amp;YEAR(A306),NymexData!$B$12:$B$250))</f>
        <v>-0.59499999999999997</v>
      </c>
      <c r="F306" s="327">
        <f t="shared" si="81"/>
        <v>0</v>
      </c>
      <c r="G306" s="328">
        <f t="array" ref="G306">IF(NymexData!$H$12="",GasPosn!E306,SUM(IF(MONTH(NymexData!$H$12:$H$250)&amp;YEAR(NymexData!$H$12:$H$250)=MONTH(A306)&amp;YEAR(A306),NymexData!$I$12:$I$250)))</f>
        <v>-0.59499999999999997</v>
      </c>
      <c r="H306" s="99">
        <f t="shared" si="82"/>
        <v>0</v>
      </c>
      <c r="I306" s="92">
        <f t="shared" si="83"/>
        <v>0</v>
      </c>
      <c r="J306" s="92">
        <f t="shared" si="75"/>
        <v>0</v>
      </c>
      <c r="O306" s="47">
        <f t="shared" si="76"/>
        <v>40422</v>
      </c>
      <c r="BD306" s="48">
        <f t="shared" si="91"/>
        <v>0</v>
      </c>
      <c r="BE306" s="334">
        <f t="shared" si="92"/>
        <v>0</v>
      </c>
      <c r="BG306" s="51">
        <f t="shared" si="77"/>
        <v>40422</v>
      </c>
      <c r="BH306" s="335">
        <f t="shared" si="93"/>
        <v>0</v>
      </c>
      <c r="BI306" s="52">
        <f>VLOOKUP(GasPosn!A306,'Pricing Summary'!$AB$12:$AD$250,3)</f>
        <v>30</v>
      </c>
      <c r="BJ306" s="50">
        <f>VLOOKUP(A306,Interest!$AF$8:$AK$367,6)</f>
        <v>0.62761803603086896</v>
      </c>
      <c r="BL306">
        <f>J306*VLOOKUP(A306,NymexData!$J$12:$K$244,2)</f>
        <v>0</v>
      </c>
      <c r="BO306">
        <f t="shared" si="84"/>
        <v>0.62761803603086896</v>
      </c>
      <c r="BP306">
        <f t="shared" si="85"/>
        <v>-0.37343273143836703</v>
      </c>
      <c r="BQ306">
        <f t="shared" si="86"/>
        <v>0</v>
      </c>
      <c r="BR306">
        <f t="shared" si="87"/>
        <v>0</v>
      </c>
      <c r="BS306">
        <f t="shared" si="88"/>
        <v>0</v>
      </c>
    </row>
    <row r="307" spans="1:72" ht="18" x14ac:dyDescent="0.25">
      <c r="A307" s="100">
        <f t="shared" si="78"/>
        <v>40452</v>
      </c>
      <c r="B307" s="329">
        <f t="array" ref="B307">SUM(IF(MONTH(NymexData!$AL$12:$AL$250)&amp;YEAR(NymexData!$AL$12:$AL$250)=MONTH(A307)&amp;YEAR(A307),NymexData!$AM$12:$AM$250))</f>
        <v>-76.448848330000004</v>
      </c>
      <c r="C307" s="330">
        <f t="shared" si="79"/>
        <v>0</v>
      </c>
      <c r="D307" s="331">
        <f t="shared" si="80"/>
        <v>-76.448848330000004</v>
      </c>
      <c r="E307" s="332">
        <f t="array" ref="E307">SUM(IF(MONTH(NymexData!$A$12:$A$250)&amp;YEAR(NymexData!$A$12:$A$250)=MONTH(A307)&amp;YEAR(A307),NymexData!$B$12:$B$250))</f>
        <v>-0.59499999999999997</v>
      </c>
      <c r="F307" s="332">
        <f t="shared" si="81"/>
        <v>0</v>
      </c>
      <c r="G307" s="333">
        <f t="array" ref="G307">IF(NymexData!$H$12="",GasPosn!E307,SUM(IF(MONTH(NymexData!$H$12:$H$250)&amp;YEAR(NymexData!$H$12:$H$250)=MONTH(A307)&amp;YEAR(A307),NymexData!$I$12:$I$250)))</f>
        <v>-0.59499999999999997</v>
      </c>
      <c r="H307" s="85">
        <f t="shared" si="82"/>
        <v>0</v>
      </c>
      <c r="I307" s="88">
        <f t="shared" si="83"/>
        <v>0</v>
      </c>
      <c r="J307" s="88">
        <f t="shared" si="75"/>
        <v>0</v>
      </c>
      <c r="O307" s="47">
        <f t="shared" si="76"/>
        <v>40452</v>
      </c>
      <c r="BD307" s="48">
        <f t="shared" si="91"/>
        <v>0</v>
      </c>
      <c r="BE307" s="334">
        <f t="shared" si="92"/>
        <v>0</v>
      </c>
      <c r="BG307" s="51">
        <f t="shared" si="77"/>
        <v>40452</v>
      </c>
      <c r="BH307" s="335">
        <f t="shared" si="93"/>
        <v>0</v>
      </c>
      <c r="BI307" s="52">
        <f>VLOOKUP(GasPosn!A307,'Pricing Summary'!$AB$12:$AD$250,3)</f>
        <v>31</v>
      </c>
      <c r="BJ307" s="50">
        <f>VLOOKUP(A307,Interest!$AF$8:$AK$367,6)</f>
        <v>0.62427354176836236</v>
      </c>
      <c r="BL307">
        <f>J307*VLOOKUP(A307,NymexData!$J$12:$K$244,2)</f>
        <v>0</v>
      </c>
      <c r="BO307">
        <f t="shared" si="84"/>
        <v>0.62427354176836236</v>
      </c>
      <c r="BP307">
        <f t="shared" si="85"/>
        <v>-0.37144275735217558</v>
      </c>
      <c r="BQ307">
        <f t="shared" si="86"/>
        <v>0</v>
      </c>
      <c r="BR307">
        <f t="shared" si="87"/>
        <v>0</v>
      </c>
      <c r="BS307">
        <f t="shared" si="88"/>
        <v>0</v>
      </c>
    </row>
    <row r="308" spans="1:72" ht="18" x14ac:dyDescent="0.25">
      <c r="A308" s="98">
        <f t="shared" si="78"/>
        <v>40483</v>
      </c>
      <c r="B308" s="324">
        <f t="array" ref="B308">SUM(IF(MONTH(NymexData!$AL$12:$AL$250)&amp;YEAR(NymexData!$AL$12:$AL$250)=MONTH(A308)&amp;YEAR(A308),NymexData!$AM$12:$AM$250))</f>
        <v>-73.523887209999998</v>
      </c>
      <c r="C308" s="324">
        <f t="shared" si="79"/>
        <v>0</v>
      </c>
      <c r="D308" s="326">
        <f t="shared" si="80"/>
        <v>-73.523887209999998</v>
      </c>
      <c r="E308" s="327">
        <f t="array" ref="E308">SUM(IF(MONTH(NymexData!$A$12:$A$250)&amp;YEAR(NymexData!$A$12:$A$250)=MONTH(A308)&amp;YEAR(A308),NymexData!$B$12:$B$250))</f>
        <v>-0.56499999999999995</v>
      </c>
      <c r="F308" s="327">
        <f t="shared" si="81"/>
        <v>0</v>
      </c>
      <c r="G308" s="328">
        <f t="array" ref="G308">IF(NymexData!$H$12="",GasPosn!E308,SUM(IF(MONTH(NymexData!$H$12:$H$250)&amp;YEAR(NymexData!$H$12:$H$250)=MONTH(A308)&amp;YEAR(A308),NymexData!$I$12:$I$250)))</f>
        <v>-0.56499999999999995</v>
      </c>
      <c r="H308" s="99">
        <f t="shared" si="82"/>
        <v>0</v>
      </c>
      <c r="I308" s="92">
        <f t="shared" si="83"/>
        <v>0</v>
      </c>
      <c r="J308" s="92">
        <f t="shared" si="75"/>
        <v>0</v>
      </c>
      <c r="O308" s="47">
        <f t="shared" si="76"/>
        <v>40483</v>
      </c>
      <c r="BD308" s="48">
        <f t="shared" si="91"/>
        <v>0</v>
      </c>
      <c r="BE308" s="334">
        <f t="shared" si="92"/>
        <v>0</v>
      </c>
      <c r="BG308" s="51">
        <f t="shared" si="77"/>
        <v>40483</v>
      </c>
      <c r="BH308" s="335">
        <f t="shared" si="93"/>
        <v>0</v>
      </c>
      <c r="BI308" s="52">
        <f>VLOOKUP(GasPosn!A308,'Pricing Summary'!$AB$12:$AD$250,3)</f>
        <v>30</v>
      </c>
      <c r="BJ308" s="50">
        <f>VLOOKUP(A308,Interest!$AF$8:$AK$367,6)</f>
        <v>0.6210057359407597</v>
      </c>
      <c r="BL308">
        <f>J308*VLOOKUP(A308,NymexData!$J$12:$K$244,2)</f>
        <v>0</v>
      </c>
      <c r="BO308">
        <f t="shared" si="84"/>
        <v>0.6210057359407597</v>
      </c>
      <c r="BP308">
        <f t="shared" si="85"/>
        <v>-0.35086824080652917</v>
      </c>
      <c r="BQ308">
        <f t="shared" si="86"/>
        <v>0</v>
      </c>
      <c r="BR308">
        <f t="shared" si="87"/>
        <v>0</v>
      </c>
      <c r="BS308">
        <f t="shared" si="88"/>
        <v>0</v>
      </c>
    </row>
    <row r="309" spans="1:72" ht="18" x14ac:dyDescent="0.25">
      <c r="A309" s="100">
        <f t="shared" si="78"/>
        <v>40513</v>
      </c>
      <c r="B309" s="329">
        <f t="array" ref="B309">SUM(IF(MONTH(NymexData!$AL$12:$AL$250)&amp;YEAR(NymexData!$AL$12:$AL$250)=MONTH(A309)&amp;YEAR(A309),NymexData!$AM$12:$AM$250))</f>
        <v>-75.516422489999997</v>
      </c>
      <c r="C309" s="330">
        <f t="shared" si="79"/>
        <v>0</v>
      </c>
      <c r="D309" s="331">
        <f t="shared" si="80"/>
        <v>-75.516422489999997</v>
      </c>
      <c r="E309" s="332">
        <f t="array" ref="E309">SUM(IF(MONTH(NymexData!$A$12:$A$250)&amp;YEAR(NymexData!$A$12:$A$250)=MONTH(A309)&amp;YEAR(A309),NymexData!$B$12:$B$250))</f>
        <v>-0.56499999999999995</v>
      </c>
      <c r="F309" s="332">
        <f t="shared" si="81"/>
        <v>0</v>
      </c>
      <c r="G309" s="333">
        <f t="array" ref="G309">IF(NymexData!$H$12="",GasPosn!E309,SUM(IF(MONTH(NymexData!$H$12:$H$250)&amp;YEAR(NymexData!$H$12:$H$250)=MONTH(A309)&amp;YEAR(A309),NymexData!$I$12:$I$250)))</f>
        <v>-0.56499999999999995</v>
      </c>
      <c r="H309" s="85">
        <f t="shared" si="82"/>
        <v>0</v>
      </c>
      <c r="I309" s="88">
        <f t="shared" si="83"/>
        <v>0</v>
      </c>
      <c r="J309" s="88">
        <f t="shared" si="75"/>
        <v>0</v>
      </c>
      <c r="O309" s="47">
        <f t="shared" si="76"/>
        <v>40513</v>
      </c>
      <c r="BD309" s="48">
        <f t="shared" si="91"/>
        <v>0</v>
      </c>
      <c r="BE309" s="334">
        <f t="shared" si="92"/>
        <v>0</v>
      </c>
      <c r="BG309" s="51">
        <f t="shared" si="77"/>
        <v>40513</v>
      </c>
      <c r="BH309" s="335">
        <f t="shared" si="93"/>
        <v>0</v>
      </c>
      <c r="BI309" s="52">
        <f>VLOOKUP(GasPosn!A309,'Pricing Summary'!$AB$12:$AD$250,3)</f>
        <v>31</v>
      </c>
      <c r="BJ309" s="50">
        <f>VLOOKUP(A309,Interest!$AF$8:$AK$367,6)</f>
        <v>0.61767509677595422</v>
      </c>
      <c r="BL309">
        <f>J309*VLOOKUP(A309,NymexData!$J$12:$K$244,2)</f>
        <v>0</v>
      </c>
      <c r="BO309">
        <f t="shared" si="84"/>
        <v>0.61767509677595422</v>
      </c>
      <c r="BP309">
        <f t="shared" si="85"/>
        <v>-0.34898642967841409</v>
      </c>
      <c r="BQ309">
        <f t="shared" si="86"/>
        <v>0</v>
      </c>
      <c r="BR309">
        <f t="shared" si="87"/>
        <v>0</v>
      </c>
      <c r="BS309">
        <f t="shared" si="88"/>
        <v>0</v>
      </c>
    </row>
    <row r="310" spans="1:72" ht="18" x14ac:dyDescent="0.25">
      <c r="A310" s="98">
        <f t="shared" si="78"/>
        <v>40544</v>
      </c>
      <c r="B310" s="324">
        <f t="array" ref="B310">SUM(IF(MONTH(NymexData!$AL$12:$AL$250)&amp;YEAR(NymexData!$AL$12:$AL$250)=MONTH(A310)&amp;YEAR(A310),NymexData!$AM$12:$AM$250))</f>
        <v>0</v>
      </c>
      <c r="C310" s="324">
        <f t="shared" si="79"/>
        <v>0</v>
      </c>
      <c r="D310" s="326">
        <f t="shared" si="80"/>
        <v>0</v>
      </c>
      <c r="E310" s="327">
        <f t="array" ref="E310">SUM(IF(MONTH(NymexData!$A$12:$A$250)&amp;YEAR(NymexData!$A$12:$A$250)=MONTH(A310)&amp;YEAR(A310),NymexData!$B$12:$B$250))</f>
        <v>-0.56499999999999995</v>
      </c>
      <c r="F310" s="327">
        <f t="shared" si="81"/>
        <v>0</v>
      </c>
      <c r="G310" s="328">
        <f t="array" ref="G310">IF(NymexData!$H$12="",GasPosn!E310,SUM(IF(MONTH(NymexData!$H$12:$H$250)&amp;YEAR(NymexData!$H$12:$H$250)=MONTH(A310)&amp;YEAR(A310),NymexData!$I$12:$I$250)))</f>
        <v>-0.56499999999999995</v>
      </c>
      <c r="H310" s="99">
        <f t="shared" si="82"/>
        <v>0</v>
      </c>
      <c r="I310" s="92">
        <f t="shared" si="83"/>
        <v>0</v>
      </c>
      <c r="J310" s="92">
        <f t="shared" si="75"/>
        <v>0</v>
      </c>
      <c r="O310" s="47">
        <f t="shared" si="76"/>
        <v>40544</v>
      </c>
      <c r="BD310" s="48">
        <f t="shared" si="91"/>
        <v>0</v>
      </c>
      <c r="BE310" s="334">
        <f t="shared" si="92"/>
        <v>0</v>
      </c>
      <c r="BG310" s="51">
        <f t="shared" si="77"/>
        <v>40544</v>
      </c>
      <c r="BH310" s="335">
        <f t="shared" si="93"/>
        <v>0</v>
      </c>
      <c r="BI310" s="52">
        <f>VLOOKUP(GasPosn!A310,'Pricing Summary'!$AB$12:$AD$250,3)</f>
        <v>31</v>
      </c>
      <c r="BJ310" s="50">
        <f>VLOOKUP(A310,Interest!$AF$8:$AK$367,6)</f>
        <v>0.6143322665765536</v>
      </c>
      <c r="BL310">
        <f>J310*VLOOKUP(A310,NymexData!$J$12:$K$244,2)</f>
        <v>0</v>
      </c>
      <c r="BO310">
        <f t="shared" si="84"/>
        <v>0.6143322665765536</v>
      </c>
      <c r="BP310">
        <f t="shared" si="85"/>
        <v>-0.34709773061575278</v>
      </c>
      <c r="BQ310">
        <f t="shared" si="86"/>
        <v>0</v>
      </c>
      <c r="BR310">
        <f t="shared" si="87"/>
        <v>0</v>
      </c>
      <c r="BS310">
        <f t="shared" si="88"/>
        <v>0</v>
      </c>
    </row>
    <row r="311" spans="1:72" ht="18" x14ac:dyDescent="0.25">
      <c r="A311" s="100">
        <f t="shared" si="78"/>
        <v>40575</v>
      </c>
      <c r="B311" s="329">
        <f t="array" ref="B311">SUM(IF(MONTH(NymexData!$AL$12:$AL$250)&amp;YEAR(NymexData!$AL$12:$AL$250)=MONTH(A311)&amp;YEAR(A311),NymexData!$AM$12:$AM$250))</f>
        <v>0</v>
      </c>
      <c r="C311" s="330">
        <f t="shared" si="79"/>
        <v>0</v>
      </c>
      <c r="D311" s="331">
        <f t="shared" si="80"/>
        <v>0</v>
      </c>
      <c r="E311" s="332">
        <f t="array" ref="E311">SUM(IF(MONTH(NymexData!$A$12:$A$250)&amp;YEAR(NymexData!$A$12:$A$250)=MONTH(A311)&amp;YEAR(A311),NymexData!$B$12:$B$250))</f>
        <v>-0.56499999999999995</v>
      </c>
      <c r="F311" s="332">
        <f t="shared" si="81"/>
        <v>0</v>
      </c>
      <c r="G311" s="333">
        <f t="array" ref="G311">IF(NymexData!$H$12="",GasPosn!E311,SUM(IF(MONTH(NymexData!$H$12:$H$250)&amp;YEAR(NymexData!$H$12:$H$250)=MONTH(A311)&amp;YEAR(A311),NymexData!$I$12:$I$250)))</f>
        <v>-0.56499999999999995</v>
      </c>
      <c r="H311" s="85">
        <f t="shared" si="82"/>
        <v>0</v>
      </c>
      <c r="I311" s="88">
        <f t="shared" si="83"/>
        <v>0</v>
      </c>
      <c r="J311" s="88">
        <f t="shared" si="75"/>
        <v>0</v>
      </c>
      <c r="O311" s="47">
        <f t="shared" si="76"/>
        <v>40575</v>
      </c>
      <c r="BD311" s="48">
        <f t="shared" si="91"/>
        <v>0</v>
      </c>
      <c r="BE311" s="334">
        <f t="shared" si="92"/>
        <v>0</v>
      </c>
      <c r="BG311" s="51">
        <f t="shared" si="77"/>
        <v>40575</v>
      </c>
      <c r="BH311" s="335">
        <f t="shared" si="93"/>
        <v>0</v>
      </c>
      <c r="BI311" s="52">
        <f>VLOOKUP(GasPosn!A311,'Pricing Summary'!$AB$12:$AD$250,3)</f>
        <v>28</v>
      </c>
      <c r="BJ311" s="50">
        <f>VLOOKUP(A311,Interest!$AF$8:$AK$367,6)</f>
        <v>0.61126063482693205</v>
      </c>
      <c r="BL311">
        <f>J311*VLOOKUP(A311,NymexData!$J$12:$K$244,2)</f>
        <v>0</v>
      </c>
      <c r="BO311">
        <f t="shared" si="84"/>
        <v>0.61126063482693205</v>
      </c>
      <c r="BP311">
        <f t="shared" si="85"/>
        <v>-0.34536225867721659</v>
      </c>
      <c r="BQ311">
        <f t="shared" si="86"/>
        <v>0</v>
      </c>
      <c r="BR311">
        <f t="shared" si="87"/>
        <v>0</v>
      </c>
      <c r="BS311">
        <f t="shared" si="88"/>
        <v>0</v>
      </c>
    </row>
    <row r="312" spans="1:72" ht="18" x14ac:dyDescent="0.25">
      <c r="A312" s="98">
        <f t="shared" si="78"/>
        <v>40603</v>
      </c>
      <c r="B312" s="324">
        <f t="array" ref="B312">SUM(IF(MONTH(NymexData!$AL$12:$AL$250)&amp;YEAR(NymexData!$AL$12:$AL$250)=MONTH(A312)&amp;YEAR(A312),NymexData!$AM$12:$AM$250))</f>
        <v>0</v>
      </c>
      <c r="C312" s="324">
        <f t="shared" si="79"/>
        <v>0</v>
      </c>
      <c r="D312" s="326">
        <f t="shared" si="80"/>
        <v>0</v>
      </c>
      <c r="E312" s="327">
        <f t="array" ref="E312">SUM(IF(MONTH(NymexData!$A$12:$A$250)&amp;YEAR(NymexData!$A$12:$A$250)=MONTH(A312)&amp;YEAR(A312),NymexData!$B$12:$B$250))</f>
        <v>-0.56499999999999995</v>
      </c>
      <c r="F312" s="327">
        <f t="shared" si="81"/>
        <v>0</v>
      </c>
      <c r="G312" s="328">
        <f t="array" ref="G312">IF(NymexData!$H$12="",GasPosn!E312,SUM(IF(MONTH(NymexData!$H$12:$H$250)&amp;YEAR(NymexData!$H$12:$H$250)=MONTH(A312)&amp;YEAR(A312),NymexData!$I$12:$I$250)))</f>
        <v>-0.56499999999999995</v>
      </c>
      <c r="H312" s="99">
        <f t="shared" si="82"/>
        <v>0</v>
      </c>
      <c r="I312" s="92">
        <f t="shared" si="83"/>
        <v>0</v>
      </c>
      <c r="J312" s="92">
        <f t="shared" si="75"/>
        <v>0</v>
      </c>
      <c r="O312" s="47">
        <f t="shared" si="76"/>
        <v>40603</v>
      </c>
      <c r="BD312" s="48">
        <f t="shared" si="91"/>
        <v>0</v>
      </c>
      <c r="BE312" s="334">
        <f t="shared" si="92"/>
        <v>0</v>
      </c>
      <c r="BG312" s="51">
        <f t="shared" si="77"/>
        <v>40603</v>
      </c>
      <c r="BH312" s="335">
        <f t="shared" si="93"/>
        <v>0</v>
      </c>
      <c r="BI312" s="52">
        <f>VLOOKUP(GasPosn!A312,'Pricing Summary'!$AB$12:$AD$250,3)</f>
        <v>31</v>
      </c>
      <c r="BJ312" s="50">
        <f>VLOOKUP(A312,Interest!$AF$8:$AK$367,6)</f>
        <v>0.60798998071829635</v>
      </c>
      <c r="BL312">
        <f>J312*VLOOKUP(A312,NymexData!$J$12:$K$244,2)</f>
        <v>0</v>
      </c>
      <c r="BO312">
        <f t="shared" si="84"/>
        <v>0.60798998071829635</v>
      </c>
      <c r="BP312">
        <f t="shared" si="85"/>
        <v>-0.3435143391058374</v>
      </c>
      <c r="BQ312">
        <f t="shared" si="86"/>
        <v>0</v>
      </c>
      <c r="BR312">
        <f t="shared" si="87"/>
        <v>0</v>
      </c>
      <c r="BS312">
        <f t="shared" si="88"/>
        <v>0</v>
      </c>
    </row>
    <row r="313" spans="1:72" ht="18" x14ac:dyDescent="0.25">
      <c r="A313" s="100">
        <f t="shared" si="78"/>
        <v>40634</v>
      </c>
      <c r="B313" s="329">
        <f t="array" ref="B313">SUM(IF(MONTH(NymexData!$AL$12:$AL$250)&amp;YEAR(NymexData!$AL$12:$AL$250)=MONTH(A313)&amp;YEAR(A313),NymexData!$AM$12:$AM$250))</f>
        <v>0</v>
      </c>
      <c r="C313" s="330">
        <f t="shared" si="79"/>
        <v>0</v>
      </c>
      <c r="D313" s="331">
        <f t="shared" si="80"/>
        <v>0</v>
      </c>
      <c r="E313" s="332">
        <f t="array" ref="E313">SUM(IF(MONTH(NymexData!$A$12:$A$250)&amp;YEAR(NymexData!$A$12:$A$250)=MONTH(A313)&amp;YEAR(A313),NymexData!$B$12:$B$250))</f>
        <v>-0.56499999999999995</v>
      </c>
      <c r="F313" s="332">
        <f t="shared" si="81"/>
        <v>0</v>
      </c>
      <c r="G313" s="333">
        <f t="array" ref="G313">IF(NymexData!$H$12="",GasPosn!E313,SUM(IF(MONTH(NymexData!$H$12:$H$250)&amp;YEAR(NymexData!$H$12:$H$250)=MONTH(A313)&amp;YEAR(A313),NymexData!$I$12:$I$250)))</f>
        <v>-0.56499999999999995</v>
      </c>
      <c r="H313" s="85">
        <f t="shared" si="82"/>
        <v>0</v>
      </c>
      <c r="I313" s="88">
        <f t="shared" si="83"/>
        <v>0</v>
      </c>
      <c r="J313" s="88">
        <f t="shared" si="75"/>
        <v>0</v>
      </c>
      <c r="O313" s="47">
        <f t="shared" si="76"/>
        <v>40634</v>
      </c>
      <c r="BD313" s="48">
        <f t="shared" si="91"/>
        <v>0</v>
      </c>
      <c r="BE313" s="334">
        <f t="shared" si="92"/>
        <v>0</v>
      </c>
      <c r="BG313" s="51">
        <f t="shared" si="77"/>
        <v>40634</v>
      </c>
      <c r="BH313" s="335">
        <f t="shared" si="93"/>
        <v>0</v>
      </c>
      <c r="BI313" s="52">
        <f>VLOOKUP(GasPosn!A313,'Pricing Summary'!$AB$12:$AD$250,3)</f>
        <v>30</v>
      </c>
      <c r="BJ313" s="50">
        <f>VLOOKUP(A313,Interest!$AF$8:$AK$367,6)</f>
        <v>0.60475560624180724</v>
      </c>
      <c r="BL313">
        <f>J313*VLOOKUP(A313,NymexData!$J$12:$K$244,2)</f>
        <v>0</v>
      </c>
      <c r="BO313">
        <f t="shared" si="84"/>
        <v>0.60475560624180724</v>
      </c>
      <c r="BP313">
        <f t="shared" si="85"/>
        <v>-0.34168691752662106</v>
      </c>
      <c r="BQ313">
        <f t="shared" si="86"/>
        <v>0</v>
      </c>
      <c r="BR313">
        <f t="shared" si="87"/>
        <v>0</v>
      </c>
      <c r="BS313">
        <f t="shared" si="88"/>
        <v>0</v>
      </c>
    </row>
    <row r="314" spans="1:72" ht="18" x14ac:dyDescent="0.25">
      <c r="A314" s="98">
        <f t="shared" si="78"/>
        <v>40664</v>
      </c>
      <c r="B314" s="324">
        <f t="array" ref="B314">SUM(IF(MONTH(NymexData!$AL$12:$AL$250)&amp;YEAR(NymexData!$AL$12:$AL$250)=MONTH(A314)&amp;YEAR(A314),NymexData!$AM$12:$AM$250))</f>
        <v>0</v>
      </c>
      <c r="C314" s="324">
        <f t="shared" si="79"/>
        <v>0</v>
      </c>
      <c r="D314" s="326">
        <f t="shared" si="80"/>
        <v>0</v>
      </c>
      <c r="E314" s="327">
        <f t="array" ref="E314">SUM(IF(MONTH(NymexData!$A$12:$A$250)&amp;YEAR(NymexData!$A$12:$A$250)=MONTH(A314)&amp;YEAR(A314),NymexData!$B$12:$B$250))</f>
        <v>-0.56499999999999995</v>
      </c>
      <c r="F314" s="327">
        <f t="shared" si="81"/>
        <v>0</v>
      </c>
      <c r="G314" s="328">
        <f t="array" ref="G314">IF(NymexData!$H$12="",GasPosn!E314,SUM(IF(MONTH(NymexData!$H$12:$H$250)&amp;YEAR(NymexData!$H$12:$H$250)=MONTH(A314)&amp;YEAR(A314),NymexData!$I$12:$I$250)))</f>
        <v>-0.56499999999999995</v>
      </c>
      <c r="H314" s="99">
        <f t="shared" si="82"/>
        <v>0</v>
      </c>
      <c r="I314" s="92">
        <f t="shared" si="83"/>
        <v>0</v>
      </c>
      <c r="J314" s="92">
        <f t="shared" si="75"/>
        <v>0</v>
      </c>
      <c r="O314" s="47">
        <f t="shared" si="76"/>
        <v>40664</v>
      </c>
      <c r="BD314" s="48">
        <f t="shared" si="91"/>
        <v>0</v>
      </c>
      <c r="BE314" s="334">
        <f t="shared" si="92"/>
        <v>0</v>
      </c>
      <c r="BG314" s="51">
        <f t="shared" si="77"/>
        <v>40664</v>
      </c>
      <c r="BH314" s="335">
        <f t="shared" si="93"/>
        <v>0</v>
      </c>
      <c r="BI314" s="52">
        <f>VLOOKUP(GasPosn!A314,'Pricing Summary'!$AB$12:$AD$250,3)</f>
        <v>31</v>
      </c>
      <c r="BJ314" s="50">
        <f>VLOOKUP(A314,Interest!$AF$8:$AK$367,6)</f>
        <v>0.60146059659194084</v>
      </c>
      <c r="BL314">
        <f>J314*VLOOKUP(A314,NymexData!$J$12:$K$244,2)</f>
        <v>0</v>
      </c>
      <c r="BO314">
        <f t="shared" si="84"/>
        <v>0.60146059659194084</v>
      </c>
      <c r="BP314">
        <f t="shared" si="85"/>
        <v>-0.33982523707444656</v>
      </c>
      <c r="BQ314">
        <f t="shared" si="86"/>
        <v>0</v>
      </c>
      <c r="BR314">
        <f t="shared" si="87"/>
        <v>0</v>
      </c>
      <c r="BS314">
        <f t="shared" si="88"/>
        <v>0</v>
      </c>
    </row>
    <row r="315" spans="1:72" ht="18" x14ac:dyDescent="0.25">
      <c r="A315" s="100">
        <f t="shared" si="78"/>
        <v>40695</v>
      </c>
      <c r="B315" s="329">
        <f t="array" ref="B315">SUM(IF(MONTH(NymexData!$AL$12:$AL$250)&amp;YEAR(NymexData!$AL$12:$AL$250)=MONTH(A315)&amp;YEAR(A315),NymexData!$AM$12:$AM$250))</f>
        <v>0</v>
      </c>
      <c r="C315" s="330">
        <f t="shared" si="79"/>
        <v>0</v>
      </c>
      <c r="D315" s="331">
        <f t="shared" si="80"/>
        <v>0</v>
      </c>
      <c r="E315" s="332">
        <f t="array" ref="E315">SUM(IF(MONTH(NymexData!$A$12:$A$250)&amp;YEAR(NymexData!$A$12:$A$250)=MONTH(A315)&amp;YEAR(A315),NymexData!$B$12:$B$250))</f>
        <v>-0.56499999999999995</v>
      </c>
      <c r="F315" s="332">
        <f t="shared" si="81"/>
        <v>0</v>
      </c>
      <c r="G315" s="333">
        <f t="array" ref="G315">IF(NymexData!$H$12="",GasPosn!E315,SUM(IF(MONTH(NymexData!$H$12:$H$250)&amp;YEAR(NymexData!$H$12:$H$250)=MONTH(A315)&amp;YEAR(A315),NymexData!$I$12:$I$250)))</f>
        <v>-0.56499999999999995</v>
      </c>
      <c r="H315" s="85">
        <f t="shared" si="82"/>
        <v>0</v>
      </c>
      <c r="I315" s="88">
        <f t="shared" si="83"/>
        <v>0</v>
      </c>
      <c r="J315" s="88">
        <f t="shared" si="75"/>
        <v>0</v>
      </c>
      <c r="O315" s="47">
        <f t="shared" si="76"/>
        <v>40695</v>
      </c>
      <c r="BD315" s="48">
        <f t="shared" si="91"/>
        <v>0</v>
      </c>
      <c r="BE315" s="334">
        <f t="shared" si="92"/>
        <v>0</v>
      </c>
      <c r="BG315" s="51">
        <f t="shared" si="77"/>
        <v>40695</v>
      </c>
      <c r="BH315" s="335">
        <f t="shared" si="93"/>
        <v>0</v>
      </c>
      <c r="BI315" s="52">
        <f>VLOOKUP(GasPosn!A315,'Pricing Summary'!$AB$12:$AD$250,3)</f>
        <v>30</v>
      </c>
      <c r="BJ315" s="50">
        <f>VLOOKUP(A315,Interest!$AF$8:$AK$367,6)</f>
        <v>0.59824026033477595</v>
      </c>
      <c r="BL315">
        <f>J315*VLOOKUP(A315,NymexData!$J$12:$K$244,2)</f>
        <v>0</v>
      </c>
      <c r="BO315">
        <f t="shared" si="84"/>
        <v>0.59824026033477595</v>
      </c>
      <c r="BP315">
        <f t="shared" si="85"/>
        <v>-0.33800574708914838</v>
      </c>
      <c r="BQ315">
        <f t="shared" si="86"/>
        <v>0</v>
      </c>
      <c r="BR315">
        <f t="shared" si="87"/>
        <v>0</v>
      </c>
      <c r="BS315">
        <f t="shared" si="88"/>
        <v>0</v>
      </c>
    </row>
    <row r="316" spans="1:72" ht="18.75" thickBot="1" x14ac:dyDescent="0.3">
      <c r="A316" s="256">
        <f t="shared" si="78"/>
        <v>40725</v>
      </c>
      <c r="B316" s="341">
        <f t="array" ref="B316">SUM(IF(MONTH(NymexData!$AL$12:$AL$250)&amp;YEAR(NymexData!$AL$12:$AL$250)=MONTH(A316)&amp;YEAR(A316),NymexData!$AM$12:$AM$250))</f>
        <v>0</v>
      </c>
      <c r="C316" s="341">
        <f t="shared" si="79"/>
        <v>0</v>
      </c>
      <c r="D316" s="342">
        <f>C316+B316</f>
        <v>0</v>
      </c>
      <c r="E316" s="343">
        <f t="array" ref="E316">SUM(IF(MONTH(NymexData!$A$12:$A$250)&amp;YEAR(NymexData!$A$12:$A$250)=MONTH(A316)&amp;YEAR(A316),NymexData!$B$12:$B$250))</f>
        <v>-0.56499999999999995</v>
      </c>
      <c r="F316" s="343">
        <f t="shared" si="81"/>
        <v>0</v>
      </c>
      <c r="G316" s="344">
        <f t="array" ref="G316">IF(NymexData!$H$12="",GasPosn!E316,SUM(IF(MONTH(NymexData!$H$12:$H$250)&amp;YEAR(NymexData!$H$12:$H$250)=MONTH(A316)&amp;YEAR(A316),NymexData!$I$12:$I$250)))</f>
        <v>-0.56499999999999995</v>
      </c>
      <c r="H316" s="345">
        <f t="shared" si="82"/>
        <v>0</v>
      </c>
      <c r="I316" s="346">
        <f t="shared" si="83"/>
        <v>0</v>
      </c>
      <c r="J316" s="346">
        <f>H316+I316</f>
        <v>0</v>
      </c>
      <c r="O316" s="347">
        <f t="shared" si="76"/>
        <v>40725</v>
      </c>
      <c r="BD316" s="348">
        <f>(P316+R316+T316+V316+X316+Z316+AB316+AD316+AF316+AH316+AJ316+AL316+AN316+AP316+AR316+AT316+AV316+AX316+AZ316+BB316)</f>
        <v>0</v>
      </c>
      <c r="BE316" s="349">
        <f>IF(AND(BD316=0,BH316=0),0,(ABS(P316)*Q316+ABS(R316)*S316+ABS(T316)*U316+ABS(V316)*W316+ABS(X316)*Y316+ABS(Z316)*AA316+ABS(AB316)*AC316+ABS(AD316)*AE316+ABS(AF316)*AG316+ABS(AH316)*AI316+ABS(AJ316)*AK316+ABS(AL316)*AM316+ABS(AN316)*AO316+ABS(AP316)*AQ316+ABS(AR316)*AS316+ABS(AT316)*AU316+ABS(AV316)*AW316+ABS(AX316)*AY316+ABS(AZ316)*BA316+ABS(BB316)*BC316)/BH316)</f>
        <v>0</v>
      </c>
      <c r="BG316" s="51">
        <f t="shared" si="77"/>
        <v>40725</v>
      </c>
      <c r="BH316" s="335">
        <f t="shared" si="93"/>
        <v>0</v>
      </c>
      <c r="BI316" s="52">
        <f>VLOOKUP(GasPosn!A316,'Pricing Summary'!$AB$12:$AD$250,3)</f>
        <v>31</v>
      </c>
      <c r="BJ316" s="50">
        <f>VLOOKUP(A316,Interest!$AF$8:$AK$367,6)</f>
        <v>0.59496016590654466</v>
      </c>
      <c r="BL316">
        <f>J316*VLOOKUP(A316,NymexData!$J$12:$K$244,2)</f>
        <v>0</v>
      </c>
      <c r="BO316">
        <f>BO128</f>
        <v>0.59496016590654466</v>
      </c>
      <c r="BP316">
        <f t="shared" si="85"/>
        <v>-0.33615249373719769</v>
      </c>
      <c r="BQ316">
        <f t="shared" si="86"/>
        <v>0</v>
      </c>
      <c r="BR316">
        <f t="shared" si="87"/>
        <v>0</v>
      </c>
      <c r="BS316">
        <f t="shared" si="88"/>
        <v>0</v>
      </c>
    </row>
    <row r="317" spans="1:72" x14ac:dyDescent="0.2">
      <c r="BR317">
        <f>SUM(BR200:BR316)</f>
        <v>11.792049278689955</v>
      </c>
      <c r="BS317">
        <f>SUM(BS200:BS316)</f>
        <v>-5.4845671155676374</v>
      </c>
      <c r="BT317">
        <f>BS317/BR317</f>
        <v>-0.4651072079116132</v>
      </c>
    </row>
    <row r="318" spans="1:72" ht="13.5" thickBot="1" x14ac:dyDescent="0.25"/>
    <row r="319" spans="1:72" ht="21" thickBot="1" x14ac:dyDescent="0.35">
      <c r="A319" s="366" t="s">
        <v>154</v>
      </c>
      <c r="D319" s="354"/>
      <c r="E319" s="355"/>
      <c r="F319" s="355"/>
      <c r="G319" s="356"/>
      <c r="H319" s="357"/>
      <c r="I319" s="102" t="s">
        <v>166</v>
      </c>
      <c r="J319" s="103"/>
    </row>
    <row r="320" spans="1:72" ht="18.75" thickBot="1" x14ac:dyDescent="0.3">
      <c r="A320" s="64" t="s">
        <v>155</v>
      </c>
      <c r="B320" s="367">
        <v>37257</v>
      </c>
      <c r="C320" s="368">
        <f>BT446</f>
        <v>4.7767987005139094</v>
      </c>
      <c r="D320" s="354"/>
      <c r="E320" s="355"/>
      <c r="F320" s="355"/>
      <c r="G320" s="356"/>
      <c r="H320" s="357"/>
      <c r="I320" s="104" t="s">
        <v>0</v>
      </c>
      <c r="J320" s="246">
        <f>SUM(BL329:BL445)</f>
        <v>-484160.82240472303</v>
      </c>
    </row>
    <row r="321" spans="1:71" ht="18.75" thickBot="1" x14ac:dyDescent="0.3">
      <c r="A321" s="40" t="s">
        <v>156</v>
      </c>
      <c r="B321" s="369">
        <v>39082</v>
      </c>
      <c r="D321" s="354"/>
      <c r="E321" s="355"/>
      <c r="F321" s="355"/>
      <c r="G321" s="356"/>
      <c r="H321" s="357"/>
      <c r="I321" s="104" t="s">
        <v>1</v>
      </c>
      <c r="J321" s="246">
        <f>SUM(BM329:BM445)</f>
        <v>0</v>
      </c>
    </row>
    <row r="322" spans="1:71" ht="18.75" thickBot="1" x14ac:dyDescent="0.3">
      <c r="A322" s="352"/>
      <c r="B322" s="353"/>
      <c r="C322" s="353"/>
      <c r="D322" s="354"/>
      <c r="E322" s="355"/>
      <c r="F322" s="355"/>
      <c r="G322" s="356"/>
      <c r="H322" s="357"/>
      <c r="I322" s="102" t="s">
        <v>143</v>
      </c>
      <c r="J322" s="247">
        <f>J320+J321</f>
        <v>-484160.82240472303</v>
      </c>
    </row>
    <row r="323" spans="1:71" ht="16.5" thickBot="1" x14ac:dyDescent="0.3">
      <c r="I323" s="102" t="s">
        <v>144</v>
      </c>
      <c r="J323" s="247">
        <f>SUM(J329:J445)</f>
        <v>-763172.17487890949</v>
      </c>
    </row>
    <row r="324" spans="1:71" x14ac:dyDescent="0.2">
      <c r="I324" s="277"/>
      <c r="J324" s="277"/>
    </row>
    <row r="325" spans="1:71" ht="34.5" thickBot="1" x14ac:dyDescent="0.55000000000000004">
      <c r="A325" s="236" t="s">
        <v>164</v>
      </c>
      <c r="B325" s="70"/>
      <c r="C325" s="69"/>
      <c r="D325" s="69"/>
      <c r="E325" s="69"/>
      <c r="F325" s="69"/>
      <c r="G325" s="69"/>
      <c r="H325" s="69"/>
      <c r="I325" s="71"/>
      <c r="J325" s="71"/>
    </row>
    <row r="326" spans="1:71" ht="18.75" thickBot="1" x14ac:dyDescent="0.3">
      <c r="A326" s="69"/>
      <c r="B326" s="70"/>
      <c r="C326" s="69"/>
      <c r="D326" s="69"/>
      <c r="E326" s="337"/>
      <c r="F326" s="338"/>
      <c r="G326" s="339"/>
      <c r="H326" s="340"/>
      <c r="I326" s="340"/>
      <c r="J326" s="340"/>
      <c r="L326" s="64" t="s">
        <v>130</v>
      </c>
    </row>
    <row r="327" spans="1:71" ht="13.5" thickBot="1" x14ac:dyDescent="0.25">
      <c r="A327" s="64"/>
      <c r="B327" s="64" t="s">
        <v>2</v>
      </c>
      <c r="C327" s="64" t="s">
        <v>131</v>
      </c>
      <c r="D327" s="64" t="s">
        <v>4</v>
      </c>
      <c r="E327" s="153" t="s">
        <v>18</v>
      </c>
      <c r="F327" s="153"/>
      <c r="G327" s="153" t="s">
        <v>19</v>
      </c>
      <c r="H327" s="153" t="s">
        <v>5</v>
      </c>
      <c r="I327" s="336" t="s">
        <v>6</v>
      </c>
      <c r="J327" s="336"/>
      <c r="L327" s="323">
        <v>1368154</v>
      </c>
      <c r="O327" s="33"/>
      <c r="P327" s="34">
        <v>1</v>
      </c>
      <c r="Q327" s="35"/>
      <c r="R327" s="34">
        <v>2</v>
      </c>
      <c r="S327" s="35"/>
      <c r="T327" s="34">
        <v>3</v>
      </c>
      <c r="U327" s="35"/>
      <c r="V327" s="34">
        <v>4</v>
      </c>
      <c r="W327" s="35"/>
      <c r="X327" s="34">
        <v>5</v>
      </c>
      <c r="Y327" s="35"/>
      <c r="Z327" s="34">
        <v>6</v>
      </c>
      <c r="AA327" s="35"/>
      <c r="AB327" s="34">
        <v>7</v>
      </c>
      <c r="AC327" s="35"/>
      <c r="AD327" s="34">
        <v>8</v>
      </c>
      <c r="AE327" s="35"/>
      <c r="AF327" s="34">
        <v>9</v>
      </c>
      <c r="AG327" s="35"/>
      <c r="AH327" s="34">
        <v>10</v>
      </c>
      <c r="AI327" s="35"/>
      <c r="AJ327" s="34">
        <v>11</v>
      </c>
      <c r="AK327" s="35"/>
      <c r="AL327" s="34">
        <v>12</v>
      </c>
      <c r="AM327" s="35"/>
      <c r="AN327" s="34">
        <v>13</v>
      </c>
      <c r="AO327" s="35"/>
      <c r="AP327" s="34">
        <v>14</v>
      </c>
      <c r="AQ327" s="35"/>
      <c r="AR327" s="34">
        <v>15</v>
      </c>
      <c r="AS327" s="35"/>
      <c r="AT327" s="34">
        <v>16</v>
      </c>
      <c r="AU327" s="35"/>
      <c r="AV327" s="34">
        <v>17</v>
      </c>
      <c r="AW327" s="35"/>
      <c r="AX327" s="34">
        <v>18</v>
      </c>
      <c r="AY327" s="35"/>
      <c r="AZ327" s="34">
        <v>19</v>
      </c>
      <c r="BA327" s="35"/>
      <c r="BB327" s="34">
        <v>20</v>
      </c>
      <c r="BC327" s="35"/>
      <c r="BD327" s="36" t="s">
        <v>26</v>
      </c>
      <c r="BE327" s="37" t="s">
        <v>27</v>
      </c>
      <c r="BF327" s="32"/>
      <c r="BG327" s="32"/>
      <c r="BH327" s="32" t="s">
        <v>28</v>
      </c>
      <c r="BI327" s="32"/>
      <c r="BJ327" s="32" t="s">
        <v>29</v>
      </c>
      <c r="BK327" s="32"/>
      <c r="BL327" t="s">
        <v>167</v>
      </c>
      <c r="BM327" t="s">
        <v>168</v>
      </c>
    </row>
    <row r="328" spans="1:71" ht="13.5" thickBot="1" x14ac:dyDescent="0.25">
      <c r="A328" s="40" t="s">
        <v>7</v>
      </c>
      <c r="B328" s="40" t="s">
        <v>132</v>
      </c>
      <c r="C328" s="40" t="s">
        <v>132</v>
      </c>
      <c r="D328" s="40" t="s">
        <v>132</v>
      </c>
      <c r="E328" s="40" t="s">
        <v>32</v>
      </c>
      <c r="F328" s="40" t="s">
        <v>33</v>
      </c>
      <c r="G328" s="40" t="s">
        <v>32</v>
      </c>
      <c r="H328" s="40" t="s">
        <v>11</v>
      </c>
      <c r="I328" s="42" t="s">
        <v>12</v>
      </c>
      <c r="J328" s="42" t="s">
        <v>13</v>
      </c>
      <c r="O328" s="40" t="s">
        <v>7</v>
      </c>
      <c r="P328" s="41" t="s">
        <v>37</v>
      </c>
      <c r="Q328" s="42" t="s">
        <v>32</v>
      </c>
      <c r="R328" s="41" t="s">
        <v>37</v>
      </c>
      <c r="S328" s="42" t="s">
        <v>32</v>
      </c>
      <c r="T328" s="41" t="s">
        <v>37</v>
      </c>
      <c r="U328" s="42" t="s">
        <v>32</v>
      </c>
      <c r="V328" s="41" t="s">
        <v>37</v>
      </c>
      <c r="W328" s="42" t="s">
        <v>32</v>
      </c>
      <c r="X328" s="41" t="s">
        <v>37</v>
      </c>
      <c r="Y328" s="42" t="s">
        <v>32</v>
      </c>
      <c r="Z328" s="41" t="s">
        <v>37</v>
      </c>
      <c r="AA328" s="42" t="s">
        <v>32</v>
      </c>
      <c r="AB328" s="41" t="s">
        <v>37</v>
      </c>
      <c r="AC328" s="42" t="s">
        <v>32</v>
      </c>
      <c r="AD328" s="41" t="s">
        <v>37</v>
      </c>
      <c r="AE328" s="42" t="s">
        <v>32</v>
      </c>
      <c r="AF328" s="41" t="s">
        <v>37</v>
      </c>
      <c r="AG328" s="42" t="s">
        <v>32</v>
      </c>
      <c r="AH328" s="41" t="s">
        <v>37</v>
      </c>
      <c r="AI328" s="42" t="s">
        <v>32</v>
      </c>
      <c r="AJ328" s="41" t="s">
        <v>37</v>
      </c>
      <c r="AK328" s="42" t="s">
        <v>32</v>
      </c>
      <c r="AL328" s="41" t="s">
        <v>37</v>
      </c>
      <c r="AM328" s="42" t="s">
        <v>32</v>
      </c>
      <c r="AN328" s="41" t="s">
        <v>37</v>
      </c>
      <c r="AO328" s="42" t="s">
        <v>32</v>
      </c>
      <c r="AP328" s="41" t="s">
        <v>37</v>
      </c>
      <c r="AQ328" s="42" t="s">
        <v>32</v>
      </c>
      <c r="AR328" s="41" t="s">
        <v>37</v>
      </c>
      <c r="AS328" s="42" t="s">
        <v>32</v>
      </c>
      <c r="AT328" s="41" t="s">
        <v>37</v>
      </c>
      <c r="AU328" s="42" t="s">
        <v>32</v>
      </c>
      <c r="AV328" s="41" t="s">
        <v>37</v>
      </c>
      <c r="AW328" s="42" t="s">
        <v>32</v>
      </c>
      <c r="AX328" s="41" t="s">
        <v>37</v>
      </c>
      <c r="AY328" s="42" t="s">
        <v>32</v>
      </c>
      <c r="AZ328" s="41" t="s">
        <v>37</v>
      </c>
      <c r="BA328" s="42" t="s">
        <v>32</v>
      </c>
      <c r="BB328" s="41" t="s">
        <v>37</v>
      </c>
      <c r="BC328" s="42" t="s">
        <v>32</v>
      </c>
      <c r="BD328" s="43" t="s">
        <v>37</v>
      </c>
      <c r="BE328" s="44" t="s">
        <v>32</v>
      </c>
      <c r="BF328" s="32"/>
      <c r="BG328" s="32"/>
      <c r="BH328" s="32" t="s">
        <v>133</v>
      </c>
      <c r="BI328" s="32"/>
      <c r="BJ328" s="32"/>
      <c r="BK328" s="32"/>
      <c r="BO328" s="238" t="s">
        <v>53</v>
      </c>
      <c r="BP328" s="238" t="s">
        <v>157</v>
      </c>
      <c r="BR328" s="238" t="s">
        <v>158</v>
      </c>
      <c r="BS328" s="238" t="s">
        <v>159</v>
      </c>
    </row>
    <row r="329" spans="1:71" ht="18" x14ac:dyDescent="0.25">
      <c r="A329" s="98">
        <f>A12</f>
        <v>37225</v>
      </c>
      <c r="B329" s="324">
        <f t="array" ref="B329">SUM(IF(MONTH(NymexData!$AO$12:$AO$250)&amp;YEAR(NymexData!$AO$12:$AO$250)=MONTH(A329)&amp;YEAR(A329),NymexData!$AP$12:$AP$250))</f>
        <v>-205.25684876214001</v>
      </c>
      <c r="C329" s="325">
        <f>BD329*BJ329*BI329</f>
        <v>0</v>
      </c>
      <c r="D329" s="326">
        <f>C329+B329</f>
        <v>-205.25684876214001</v>
      </c>
      <c r="E329" s="327">
        <v>3.95</v>
      </c>
      <c r="F329" s="327">
        <f>G329-E329</f>
        <v>-8.0000000000000071E-2</v>
      </c>
      <c r="G329" s="328">
        <v>3.87</v>
      </c>
      <c r="H329" s="99">
        <f>B329*10000*F329</f>
        <v>164205.47900971214</v>
      </c>
      <c r="I329" s="92">
        <f>(((G329-Q329)*P329+(G329-S329)*R329+(G329-U329)*T329+(G329-W329)*V329+(G329-Y329)*X329+(G329-AA329)*Z329+(G329-AC329)*AB329+(G329-AE329)*AD329+(G329-AG329)*AF329+(G329-AI329)*AH329+(G329-AK329)*AJ329+(G329-AM329)*AL329+(G329-AO329)*AN329+(G329-AQ329)*AP329+(G329-AS329)*AR329+(G329-AU329)*AT329+(G329-AW329)*AV329+(G329-AY329)*AX329+(G329-BA329)*AZ329+(G329-BC329)*BB329)*BJ329*BI329)*10000</f>
        <v>0</v>
      </c>
      <c r="J329" s="92">
        <f t="shared" ref="J329:J392" si="94">H329+I329</f>
        <v>164205.47900971214</v>
      </c>
      <c r="O329" s="47">
        <f t="shared" ref="O329:O392" si="95">A329</f>
        <v>37225</v>
      </c>
      <c r="BD329" s="48">
        <f>(P329+R329+T329+V329+X329+Z329+AB329+AD329+AF329+AH329+AJ329+AL329+AN329+AP329+AR329+AT329+AV329+AX329+AZ329+BB329)</f>
        <v>0</v>
      </c>
      <c r="BE329" s="334">
        <f>IF(AND(BD329=0,BH329=0),0,(ABS(P329)*Q329+ABS(R329)*S329+ABS(T329)*U329+ABS(V329)*W329+ABS(X329)*Y329+ABS(Z329)*AA329+ABS(AB329)*AC329+ABS(AD329)*AE329+ABS(AF329)*AG329+ABS(AH329)*AI329+ABS(AJ329)*AK329+ABS(AL329)*AM329+ABS(AN329)*AO329+ABS(AP329)*AQ329+ABS(AR329)*AS329+ABS(AT329)*AU329+ABS(AV329)*AW329+ABS(AX329)*AY329+ABS(AZ329)*BA329+ABS(BB329)*BC329)/BH329)</f>
        <v>0</v>
      </c>
      <c r="BF329" s="50"/>
      <c r="BG329" s="51">
        <f t="shared" ref="BG329:BG392" si="96">O329</f>
        <v>37225</v>
      </c>
      <c r="BH329" s="335">
        <f>(ABS(P329)+ABS(R329)+ABS(T329)+ABS(V329)+ABS(X329)+ABS(Z329)+ABS(AB329)+ABS(AD329)+ABS(AF329)+ABS(AH329)+ABS(AJ329)+ABS(AL329)+ABS(AN329)+ABS(AP329)+ABS(AR329)+ABS(AT329)+ABS(AV329)+ABS(AX329)+ABS(AZ329)+ABS(BB329))</f>
        <v>0</v>
      </c>
      <c r="BI329" s="52">
        <f>VLOOKUP(GasPosn!A329,'Pricing Summary'!$AB$12:$AD$250,3)</f>
        <v>30</v>
      </c>
      <c r="BJ329" s="50">
        <f>VLOOKUP(A329,Interest!$AF$8:$AK$367,6)</f>
        <v>0.99709512318270321</v>
      </c>
      <c r="BK329" s="335"/>
      <c r="BL329">
        <f>H329/VLOOKUP(A329,NymexData!$J$12:$K$128,2)</f>
        <v>104386.62534684858</v>
      </c>
      <c r="BM329">
        <f>I329/VLOOKUP(A329,NymexData!$J$12:$K$128,2)</f>
        <v>0</v>
      </c>
      <c r="BO329">
        <f>BO12</f>
        <v>0.99709512318270321</v>
      </c>
      <c r="BP329">
        <f>G329*BO329</f>
        <v>3.8587581267170616</v>
      </c>
      <c r="BQ329">
        <f>IF(AND(A329&gt;=$B$320,A329&lt;=$B$321),1,0)</f>
        <v>0</v>
      </c>
      <c r="BR329">
        <f>BO329*BQ329</f>
        <v>0</v>
      </c>
      <c r="BS329">
        <f>BP329*BQ329</f>
        <v>0</v>
      </c>
    </row>
    <row r="330" spans="1:71" ht="18" x14ac:dyDescent="0.25">
      <c r="A330" s="100">
        <f>A13</f>
        <v>37226</v>
      </c>
      <c r="B330" s="329">
        <f t="array" ref="B330">SUM(IF(MONTH(NymexData!$AO$12:$AO$250)&amp;YEAR(NymexData!$AO$12:$AO$250)=MONTH(A330)&amp;YEAR(A330),NymexData!$AP$12:$AP$250))</f>
        <v>0.421706900286</v>
      </c>
      <c r="C330" s="330">
        <f t="shared" ref="C330:C393" si="97">BD330*BJ330*BI330</f>
        <v>0</v>
      </c>
      <c r="D330" s="331">
        <f t="shared" ref="D330:D393" si="98">C330+B330</f>
        <v>0.421706900286</v>
      </c>
      <c r="E330" s="332">
        <f t="array" ref="E330">SUM(IF(MONTH(NymexData!$A$12:$A$250)&amp;YEAR(NymexData!$A$12:$A$250)=MONTH(A330)&amp;YEAR(A330),NymexData!$F$12:$F$250))</f>
        <v>4.2134269182120834</v>
      </c>
      <c r="F330" s="332">
        <f t="shared" ref="F330:F393" si="99">G330-E330</f>
        <v>-0.11510167180290054</v>
      </c>
      <c r="G330" s="333">
        <f t="array" ref="G330">IF(NymexData!$H$12="",GasPosn!E330,SUM(IF(MONTH(NymexData!$H$12:$H$250)&amp;YEAR(NymexData!$H$12:$H$250)=MONTH(A330)&amp;YEAR(A330),NymexData!$L$12:$L$250)))</f>
        <v>4.0983252464091828</v>
      </c>
      <c r="H330" s="85">
        <f t="shared" ref="H330:H393" si="100">B330*10000*F330</f>
        <v>-485.39169233737675</v>
      </c>
      <c r="I330" s="88">
        <f t="shared" ref="I330:I393" si="101">(((G330-Q330)*P330+(G330-S330)*R330+(G330-U330)*T330+(G330-W330)*V330+(G330-Y330)*X330+(G330-AA330)*Z330+(G330-AC330)*AB330+(G330-AE330)*AD330+(G330-AG330)*AF330+(G330-AI330)*AH330+(G330-AK330)*AJ330+(G330-AM330)*AL330+(G330-AO330)*AN330+(G330-AQ330)*AP330+(G330-AS330)*AR330+(G330-AU330)*AT330+(G330-AW330)*AV330+(G330-AY330)*AX330+(G330-BA330)*AZ330+(G330-BC330)*BB330)*BJ330*BI330)*10000</f>
        <v>0</v>
      </c>
      <c r="J330" s="88">
        <f t="shared" si="94"/>
        <v>-485.39169233737675</v>
      </c>
      <c r="O330" s="47">
        <f t="shared" si="95"/>
        <v>37226</v>
      </c>
      <c r="BD330" s="48">
        <f t="shared" ref="BD330:BD361" si="102">(P330+R330+T330+V330+X330+Z330+AB330+AD330+AF330+AH330+AJ330+AL330+AN330+AP330+AR330+AT330+AV330+AX330+AZ330+BB330)</f>
        <v>0</v>
      </c>
      <c r="BE330" s="334">
        <f t="shared" ref="BE330:BE361" si="103">IF(AND(BD330=0,BH330=0),0,(ABS(P330)*Q330+ABS(R330)*S330+ABS(T330)*U330+ABS(V330)*W330+ABS(X330)*Y330+ABS(Z330)*AA330+ABS(AB330)*AC330+ABS(AD330)*AE330+ABS(AF330)*AG330+ABS(AH330)*AI330+ABS(AJ330)*AK330+ABS(AL330)*AM330+ABS(AN330)*AO330+ABS(AP330)*AQ330+ABS(AR330)*AS330+ABS(AT330)*AU330+ABS(AV330)*AW330+ABS(AX330)*AY330+ABS(AZ330)*BA330+ABS(BB330)*BC330)/BH330)</f>
        <v>0</v>
      </c>
      <c r="BF330" s="50"/>
      <c r="BG330" s="51">
        <f t="shared" si="96"/>
        <v>37226</v>
      </c>
      <c r="BH330" s="335">
        <f t="shared" ref="BH330:BH361" si="104">(ABS(P330)+ABS(R330)+ABS(T330)+ABS(V330)+ABS(X330)+ABS(Z330)+ABS(AB330)+ABS(AD330)+ABS(AF330)+ABS(AH330)+ABS(AJ330)+ABS(AL330)+ABS(AN330)+ABS(AP330)+ABS(AR330)+ABS(AT330)+ABS(AV330)+ABS(AX330)+ABS(AZ330)+ABS(BB330))</f>
        <v>0</v>
      </c>
      <c r="BI330" s="52">
        <f>VLOOKUP(GasPosn!A330,'Pricing Summary'!$AB$12:$AD$250,3)</f>
        <v>31</v>
      </c>
      <c r="BJ330" s="50">
        <f>VLOOKUP(A330,Interest!$AF$8:$AK$367,6)</f>
        <v>0.99520793381540129</v>
      </c>
      <c r="BK330" s="50"/>
      <c r="BL330">
        <f>H330/VLOOKUP(A330,NymexData!$J$12:$K$128,2)</f>
        <v>-308.4800867244536</v>
      </c>
      <c r="BM330">
        <f>I330/VLOOKUP(A330,NymexData!$J$12:$K$128,2)</f>
        <v>0</v>
      </c>
      <c r="BO330">
        <f t="shared" ref="BO330:BO393" si="105">BO13</f>
        <v>0.99520793381540129</v>
      </c>
      <c r="BP330">
        <f t="shared" ref="BP330:BP393" si="106">G330*BO330</f>
        <v>4.0786858005823783</v>
      </c>
      <c r="BQ330">
        <f t="shared" ref="BQ330:BQ393" si="107">IF(AND(A330&gt;=$B$320,A330&lt;=$B$321),1,0)</f>
        <v>0</v>
      </c>
      <c r="BR330">
        <f t="shared" ref="BR330:BR393" si="108">BO330*BQ330</f>
        <v>0</v>
      </c>
      <c r="BS330">
        <f t="shared" ref="BS330:BS393" si="109">BP330*BQ330</f>
        <v>0</v>
      </c>
    </row>
    <row r="331" spans="1:71" ht="18" x14ac:dyDescent="0.25">
      <c r="A331" s="98">
        <f t="shared" ref="A331:A393" si="110">A14</f>
        <v>37257</v>
      </c>
      <c r="B331" s="324">
        <f t="array" ref="B331">SUM(IF(MONTH(NymexData!$AO$12:$AO$250)&amp;YEAR(NymexData!$AO$12:$AO$250)=MONTH(A331)&amp;YEAR(A331),NymexData!$AP$12:$AP$250))</f>
        <v>26.046969690238001</v>
      </c>
      <c r="C331" s="324">
        <f t="shared" si="97"/>
        <v>0</v>
      </c>
      <c r="D331" s="326">
        <f t="shared" si="98"/>
        <v>26.046969690238001</v>
      </c>
      <c r="E331" s="327">
        <f t="array" ref="E331">SUM(IF(MONTH(NymexData!$A$12:$A$250)&amp;YEAR(NymexData!$A$12:$A$250)=MONTH(A331)&amp;YEAR(A331),NymexData!$F$12:$F$250))</f>
        <v>4.3187744011862552</v>
      </c>
      <c r="F331" s="327">
        <f t="shared" si="99"/>
        <v>-0.12734353950971045</v>
      </c>
      <c r="G331" s="328">
        <f t="array" ref="G331">IF(NymexData!$H$12="",GasPosn!E331,SUM(IF(MONTH(NymexData!$H$12:$H$250)&amp;YEAR(NymexData!$H$12:$H$250)=MONTH(A331)&amp;YEAR(A331),NymexData!$L$12:$L$250)))</f>
        <v>4.1914308616765448</v>
      </c>
      <c r="H331" s="99">
        <f t="shared" si="100"/>
        <v>-33169.133138570534</v>
      </c>
      <c r="I331" s="92">
        <f t="shared" si="101"/>
        <v>0</v>
      </c>
      <c r="J331" s="92">
        <f t="shared" si="94"/>
        <v>-33169.133138570534</v>
      </c>
      <c r="O331" s="47">
        <f t="shared" si="95"/>
        <v>37257</v>
      </c>
      <c r="BD331" s="48">
        <f t="shared" si="102"/>
        <v>0</v>
      </c>
      <c r="BE331" s="334">
        <f t="shared" si="103"/>
        <v>0</v>
      </c>
      <c r="BF331" s="50"/>
      <c r="BG331" s="51">
        <f t="shared" si="96"/>
        <v>37257</v>
      </c>
      <c r="BH331" s="335">
        <f t="shared" si="104"/>
        <v>0</v>
      </c>
      <c r="BI331" s="52">
        <f>VLOOKUP(GasPosn!A331,'Pricing Summary'!$AB$12:$AD$250,3)</f>
        <v>31</v>
      </c>
      <c r="BJ331" s="50">
        <f>VLOOKUP(A331,Interest!$AF$8:$AK$367,6)</f>
        <v>0.9933227729493781</v>
      </c>
      <c r="BK331" s="50"/>
      <c r="BL331">
        <f>H331/VLOOKUP(A331,NymexData!$J$12:$K$128,2)</f>
        <v>-21076.700442095367</v>
      </c>
      <c r="BM331">
        <f>I331/VLOOKUP(A331,NymexData!$J$12:$K$128,2)</f>
        <v>0</v>
      </c>
      <c r="BO331">
        <f t="shared" si="105"/>
        <v>0.9933227729493781</v>
      </c>
      <c r="BP331">
        <f t="shared" si="106"/>
        <v>4.1634437261461468</v>
      </c>
      <c r="BQ331">
        <f t="shared" si="107"/>
        <v>1</v>
      </c>
      <c r="BR331">
        <f t="shared" si="108"/>
        <v>0.9933227729493781</v>
      </c>
      <c r="BS331">
        <f t="shared" si="109"/>
        <v>4.1634437261461468</v>
      </c>
    </row>
    <row r="332" spans="1:71" ht="18" x14ac:dyDescent="0.25">
      <c r="A332" s="100">
        <f t="shared" si="110"/>
        <v>37288</v>
      </c>
      <c r="B332" s="329">
        <f t="array" ref="B332">SUM(IF(MONTH(NymexData!$AO$12:$AO$250)&amp;YEAR(NymexData!$AO$12:$AO$250)=MONTH(A332)&amp;YEAR(A332),NymexData!$AP$12:$AP$250))</f>
        <v>23.477309343390001</v>
      </c>
      <c r="C332" s="330">
        <f t="shared" si="97"/>
        <v>0</v>
      </c>
      <c r="D332" s="331">
        <f t="shared" si="98"/>
        <v>23.477309343390001</v>
      </c>
      <c r="E332" s="332">
        <f t="array" ref="E332">SUM(IF(MONTH(NymexData!$A$12:$A$250)&amp;YEAR(NymexData!$A$12:$A$250)=MONTH(A332)&amp;YEAR(A332),NymexData!$F$12:$F$250))</f>
        <v>4.2894749838066186</v>
      </c>
      <c r="F332" s="332">
        <f t="shared" si="99"/>
        <v>-0.14559244227299217</v>
      </c>
      <c r="G332" s="333">
        <f t="array" ref="G332">IF(NymexData!$H$12="",GasPosn!E332,SUM(IF(MONTH(NymexData!$H$12:$H$250)&amp;YEAR(NymexData!$H$12:$H$250)=MONTH(A332)&amp;YEAR(A332),NymexData!$L$12:$L$250)))</f>
        <v>4.1438825415336265</v>
      </c>
      <c r="H332" s="85">
        <f t="shared" si="100"/>
        <v>-34181.188053026883</v>
      </c>
      <c r="I332" s="88">
        <f t="shared" si="101"/>
        <v>0</v>
      </c>
      <c r="J332" s="88">
        <f t="shared" si="94"/>
        <v>-34181.188053026883</v>
      </c>
      <c r="O332" s="47">
        <f t="shared" si="95"/>
        <v>37288</v>
      </c>
      <c r="BD332" s="48">
        <f t="shared" si="102"/>
        <v>0</v>
      </c>
      <c r="BE332" s="334">
        <f t="shared" si="103"/>
        <v>0</v>
      </c>
      <c r="BF332" s="50"/>
      <c r="BG332" s="51">
        <f t="shared" si="96"/>
        <v>37288</v>
      </c>
      <c r="BH332" s="335">
        <f t="shared" si="104"/>
        <v>0</v>
      </c>
      <c r="BI332" s="52">
        <f>VLOOKUP(GasPosn!A332,'Pricing Summary'!$AB$12:$AD$250,3)</f>
        <v>28</v>
      </c>
      <c r="BJ332" s="50">
        <f>VLOOKUP(A332,Interest!$AF$8:$AK$367,6)</f>
        <v>0.99158646099193282</v>
      </c>
      <c r="BK332" s="50"/>
      <c r="BL332">
        <f>H332/VLOOKUP(A332,NymexData!$J$12:$K$128,2)</f>
        <v>-21718.831031738933</v>
      </c>
      <c r="BM332">
        <f>I332/VLOOKUP(A332,NymexData!$J$12:$K$128,2)</f>
        <v>0</v>
      </c>
      <c r="BO332">
        <f t="shared" si="105"/>
        <v>0.99158646099193282</v>
      </c>
      <c r="BP332">
        <f t="shared" si="106"/>
        <v>4.1090178241255844</v>
      </c>
      <c r="BQ332">
        <f t="shared" si="107"/>
        <v>1</v>
      </c>
      <c r="BR332">
        <f t="shared" si="108"/>
        <v>0.99158646099193282</v>
      </c>
      <c r="BS332">
        <f t="shared" si="109"/>
        <v>4.1090178241255844</v>
      </c>
    </row>
    <row r="333" spans="1:71" ht="18" x14ac:dyDescent="0.25">
      <c r="A333" s="98">
        <f t="shared" si="110"/>
        <v>37316</v>
      </c>
      <c r="B333" s="324">
        <f t="array" ref="B333">SUM(IF(MONTH(NymexData!$AO$12:$AO$250)&amp;YEAR(NymexData!$AO$12:$AO$250)=MONTH(A333)&amp;YEAR(A333),NymexData!$AP$12:$AP$250))</f>
        <v>25.947791793980002</v>
      </c>
      <c r="C333" s="324">
        <f t="shared" si="97"/>
        <v>0</v>
      </c>
      <c r="D333" s="326">
        <f t="shared" si="98"/>
        <v>25.947791793980002</v>
      </c>
      <c r="E333" s="327">
        <f t="array" ref="E333">SUM(IF(MONTH(NymexData!$A$12:$A$250)&amp;YEAR(NymexData!$A$12:$A$250)=MONTH(A333)&amp;YEAR(A333),NymexData!$F$12:$F$250))</f>
        <v>4.1778863044427332</v>
      </c>
      <c r="F333" s="327">
        <f t="shared" si="99"/>
        <v>-0.15698316981090699</v>
      </c>
      <c r="G333" s="328">
        <f t="array" ref="G333">IF(NymexData!$H$12="",GasPosn!E333,SUM(IF(MONTH(NymexData!$H$12:$H$250)&amp;YEAR(NymexData!$H$12:$H$250)=MONTH(A333)&amp;YEAR(A333),NymexData!$L$12:$L$250)))</f>
        <v>4.0209031346318262</v>
      </c>
      <c r="H333" s="99">
        <f t="shared" si="100"/>
        <v>-40733.666054124216</v>
      </c>
      <c r="I333" s="92">
        <f t="shared" si="101"/>
        <v>0</v>
      </c>
      <c r="J333" s="92">
        <f t="shared" si="94"/>
        <v>-40733.666054124216</v>
      </c>
      <c r="O333" s="47">
        <f t="shared" si="95"/>
        <v>37316</v>
      </c>
      <c r="BD333" s="48">
        <f t="shared" si="102"/>
        <v>0</v>
      </c>
      <c r="BE333" s="334">
        <f t="shared" si="103"/>
        <v>0</v>
      </c>
      <c r="BF333" s="50"/>
      <c r="BG333" s="51">
        <f t="shared" si="96"/>
        <v>37316</v>
      </c>
      <c r="BH333" s="335">
        <f t="shared" si="104"/>
        <v>0</v>
      </c>
      <c r="BI333" s="52">
        <f>VLOOKUP(GasPosn!A333,'Pricing Summary'!$AB$12:$AD$250,3)</f>
        <v>31</v>
      </c>
      <c r="BJ333" s="50">
        <f>VLOOKUP(A333,Interest!$AF$8:$AK$367,6)</f>
        <v>0.98978170501446594</v>
      </c>
      <c r="BK333" s="50"/>
      <c r="BL333">
        <f>H333/VLOOKUP(A333,NymexData!$J$12:$K$128,2)</f>
        <v>-25876.953512993488</v>
      </c>
      <c r="BM333">
        <f>I333/VLOOKUP(A333,NymexData!$J$12:$K$128,2)</f>
        <v>0</v>
      </c>
      <c r="BO333">
        <f t="shared" si="105"/>
        <v>0.98978170501446594</v>
      </c>
      <c r="BP333">
        <f t="shared" si="106"/>
        <v>3.9798163602938996</v>
      </c>
      <c r="BQ333">
        <f t="shared" si="107"/>
        <v>1</v>
      </c>
      <c r="BR333">
        <f t="shared" si="108"/>
        <v>0.98978170501446594</v>
      </c>
      <c r="BS333">
        <f t="shared" si="109"/>
        <v>3.9798163602938996</v>
      </c>
    </row>
    <row r="334" spans="1:71" ht="18" x14ac:dyDescent="0.25">
      <c r="A334" s="100">
        <f t="shared" si="110"/>
        <v>37347</v>
      </c>
      <c r="B334" s="329">
        <f t="array" ref="B334">SUM(IF(MONTH(NymexData!$AO$12:$AO$250)&amp;YEAR(NymexData!$AO$12:$AO$250)=MONTH(A334)&amp;YEAR(A334),NymexData!$AP$12:$AP$250))</f>
        <v>25.062613650829999</v>
      </c>
      <c r="C334" s="330">
        <f t="shared" si="97"/>
        <v>0</v>
      </c>
      <c r="D334" s="331">
        <f t="shared" si="98"/>
        <v>25.062613650829999</v>
      </c>
      <c r="E334" s="332">
        <f t="array" ref="E334">SUM(IF(MONTH(NymexData!$A$12:$A$250)&amp;YEAR(NymexData!$A$12:$A$250)=MONTH(A334)&amp;YEAR(A334),NymexData!$F$12:$F$250))</f>
        <v>3.9842174640090655</v>
      </c>
      <c r="F334" s="332">
        <f t="shared" si="99"/>
        <v>-8.1890781293282977E-2</v>
      </c>
      <c r="G334" s="333">
        <f t="array" ref="G334">IF(NymexData!$H$12="",GasPosn!E334,SUM(IF(MONTH(NymexData!$H$12:$H$250)&amp;YEAR(NymexData!$H$12:$H$250)=MONTH(A334)&amp;YEAR(A334),NymexData!$L$12:$L$250)))</f>
        <v>3.9023266827157825</v>
      </c>
      <c r="H334" s="85">
        <f t="shared" si="100"/>
        <v>-20523.970131181679</v>
      </c>
      <c r="I334" s="88">
        <f t="shared" si="101"/>
        <v>0</v>
      </c>
      <c r="J334" s="88">
        <f t="shared" si="94"/>
        <v>-20523.970131181679</v>
      </c>
      <c r="O334" s="47">
        <f t="shared" si="95"/>
        <v>37347</v>
      </c>
      <c r="BD334" s="48">
        <f t="shared" si="102"/>
        <v>0</v>
      </c>
      <c r="BE334" s="334">
        <f t="shared" si="103"/>
        <v>0</v>
      </c>
      <c r="BF334" s="50"/>
      <c r="BG334" s="51">
        <f t="shared" si="96"/>
        <v>37347</v>
      </c>
      <c r="BH334" s="335">
        <f t="shared" si="104"/>
        <v>0</v>
      </c>
      <c r="BI334" s="52">
        <f>VLOOKUP(GasPosn!A334,'Pricing Summary'!$AB$12:$AD$250,3)</f>
        <v>30</v>
      </c>
      <c r="BJ334" s="50">
        <f>VLOOKUP(A334,Interest!$AF$8:$AK$367,6)</f>
        <v>0.98802618088084315</v>
      </c>
      <c r="BK334" s="50"/>
      <c r="BL334">
        <f>H334/VLOOKUP(A334,NymexData!$J$12:$K$128,2)</f>
        <v>-13035.687239599709</v>
      </c>
      <c r="BM334">
        <f>I334/VLOOKUP(A334,NymexData!$J$12:$K$128,2)</f>
        <v>0</v>
      </c>
      <c r="BO334">
        <f t="shared" si="105"/>
        <v>0.98802618088084315</v>
      </c>
      <c r="BP334">
        <f t="shared" si="106"/>
        <v>3.8556009288730846</v>
      </c>
      <c r="BQ334">
        <f t="shared" si="107"/>
        <v>1</v>
      </c>
      <c r="BR334">
        <f t="shared" si="108"/>
        <v>0.98802618088084315</v>
      </c>
      <c r="BS334">
        <f t="shared" si="109"/>
        <v>3.8556009288730846</v>
      </c>
    </row>
    <row r="335" spans="1:71" ht="18" x14ac:dyDescent="0.25">
      <c r="A335" s="98">
        <f t="shared" si="110"/>
        <v>37377</v>
      </c>
      <c r="B335" s="324">
        <f t="array" ref="B335">SUM(IF(MONTH(NymexData!$AO$12:$AO$250)&amp;YEAR(NymexData!$AO$12:$AO$250)=MONTH(A335)&amp;YEAR(A335),NymexData!$AP$12:$AP$250))</f>
        <v>25.847088498924002</v>
      </c>
      <c r="C335" s="324">
        <f t="shared" si="97"/>
        <v>0</v>
      </c>
      <c r="D335" s="326">
        <f t="shared" si="98"/>
        <v>25.847088498924002</v>
      </c>
      <c r="E335" s="327">
        <f t="array" ref="E335">SUM(IF(MONTH(NymexData!$A$12:$A$250)&amp;YEAR(NymexData!$A$12:$A$250)=MONTH(A335)&amp;YEAR(A335),NymexData!$F$12:$F$250))</f>
        <v>4.0292442064818363</v>
      </c>
      <c r="F335" s="327">
        <f t="shared" si="99"/>
        <v>-8.1754148970304641E-2</v>
      </c>
      <c r="G335" s="328">
        <f t="array" ref="G335">IF(NymexData!$H$12="",GasPosn!E335,SUM(IF(MONTH(NymexData!$H$12:$H$250)&amp;YEAR(NymexData!$H$12:$H$250)=MONTH(A335)&amp;YEAR(A335),NymexData!$L$12:$L$250)))</f>
        <v>3.9474900575115317</v>
      </c>
      <c r="H335" s="99">
        <f t="shared" si="100"/>
        <v>-21131.067235896808</v>
      </c>
      <c r="I335" s="92">
        <f t="shared" ref="I335:I346" si="111">(((G335-Q335)*P335+(G335-S335)*R335+(G335-U335)*T335+(G335-W335)*V335+(G335-Y335)*X335+(G335-AA335)*Z335+(G335-AC335)*AB335+(G335-AE335)*AD335+(G335-AG335)*AF335+(G335-AI335)*AH335+(G335-AK335)*AJ335+(G335-AM335)*AL335+(G335-AO335)*AN335+(G335-AQ335)*AP335+(G335-AS335)*AR335+(G335-AU335)*AT335+(G335-AW335)*AV335+(G335-AY335)*AX335+(G335-BA335)*AZ335+(G335-BC335)*BB335)*BJ335*BI335)*10000</f>
        <v>0</v>
      </c>
      <c r="J335" s="92">
        <f t="shared" si="94"/>
        <v>-21131.067235896808</v>
      </c>
      <c r="O335" s="47">
        <f t="shared" si="95"/>
        <v>37377</v>
      </c>
      <c r="BD335" s="48">
        <f t="shared" ref="BD335:BD346" si="112">(P335+R335+T335+V335+X335+Z335+AB335+AD335+AF335+AH335+AJ335+AL335+AN335+AP335+AR335+AT335+AV335+AX335+AZ335+BB335)</f>
        <v>0</v>
      </c>
      <c r="BE335" s="334">
        <f t="shared" ref="BE335:BE346" si="113">IF(AND(BD335=0,BH335=0),0,(ABS(P335)*Q335+ABS(R335)*S335+ABS(T335)*U335+ABS(V335)*W335+ABS(X335)*Y335+ABS(Z335)*AA335+ABS(AB335)*AC335+ABS(AD335)*AE335+ABS(AF335)*AG335+ABS(AH335)*AI335+ABS(AJ335)*AK335+ABS(AL335)*AM335+ABS(AN335)*AO335+ABS(AP335)*AQ335+ABS(AR335)*AS335+ABS(AT335)*AU335+ABS(AV335)*AW335+ABS(AX335)*AY335+ABS(AZ335)*BA335+ABS(BB335)*BC335)/BH335)</f>
        <v>0</v>
      </c>
      <c r="BF335" s="50"/>
      <c r="BG335" s="51">
        <f t="shared" si="96"/>
        <v>37377</v>
      </c>
      <c r="BH335" s="335">
        <f t="shared" ref="BH335:BH346" si="114">(ABS(P335)+ABS(R335)+ABS(T335)+ABS(V335)+ABS(X335)+ABS(Z335)+ABS(AB335)+ABS(AD335)+ABS(AF335)+ABS(AH335)+ABS(AJ335)+ABS(AL335)+ABS(AN335)+ABS(AP335)+ABS(AR335)+ABS(AT335)+ABS(AV335)+ABS(AX335)+ABS(AZ335)+ABS(BB335))</f>
        <v>0</v>
      </c>
      <c r="BI335" s="52">
        <f>VLOOKUP(GasPosn!A335,'Pricing Summary'!$AB$12:$AD$250,3)</f>
        <v>31</v>
      </c>
      <c r="BJ335" s="50">
        <f>VLOOKUP(A335,Interest!$AF$8:$AK$367,6)</f>
        <v>0.98608528624425162</v>
      </c>
      <c r="BK335" s="50"/>
      <c r="BL335">
        <f>H335/VLOOKUP(A335,NymexData!$J$12:$K$128,2)</f>
        <v>-13419.939310258629</v>
      </c>
      <c r="BM335">
        <f>I335/VLOOKUP(A335,NymexData!$J$12:$K$128,2)</f>
        <v>0</v>
      </c>
      <c r="BO335">
        <f t="shared" si="105"/>
        <v>0.98608528624425162</v>
      </c>
      <c r="BP335">
        <f t="shared" si="106"/>
        <v>3.8925618633075962</v>
      </c>
      <c r="BQ335">
        <f t="shared" si="107"/>
        <v>1</v>
      </c>
      <c r="BR335">
        <f t="shared" si="108"/>
        <v>0.98608528624425162</v>
      </c>
      <c r="BS335">
        <f t="shared" si="109"/>
        <v>3.8925618633075962</v>
      </c>
    </row>
    <row r="336" spans="1:71" ht="18" x14ac:dyDescent="0.25">
      <c r="A336" s="100">
        <f t="shared" si="110"/>
        <v>37408</v>
      </c>
      <c r="B336" s="329">
        <f t="array" ref="B336">SUM(IF(MONTH(NymexData!$AO$12:$AO$250)&amp;YEAR(NymexData!$AO$12:$AO$250)=MONTH(A336)&amp;YEAR(A336),NymexData!$AP$12:$AP$250))</f>
        <v>24.963024883272002</v>
      </c>
      <c r="C336" s="330">
        <f t="shared" si="97"/>
        <v>0</v>
      </c>
      <c r="D336" s="331">
        <f t="shared" si="98"/>
        <v>24.963024883272002</v>
      </c>
      <c r="E336" s="332">
        <f t="array" ref="E336">SUM(IF(MONTH(NymexData!$A$12:$A$250)&amp;YEAR(NymexData!$A$12:$A$250)=MONTH(A336)&amp;YEAR(A336),NymexData!$F$12:$F$250))</f>
        <v>4.0965482395122574</v>
      </c>
      <c r="F336" s="332">
        <f t="shared" si="99"/>
        <v>-8.9046473641957391E-2</v>
      </c>
      <c r="G336" s="333">
        <f t="array" ref="G336">IF(NymexData!$H$12="",GasPosn!E336,SUM(IF(MONTH(NymexData!$H$12:$H$250)&amp;YEAR(NymexData!$H$12:$H$250)=MONTH(A336)&amp;YEAR(A336),NymexData!$L$12:$L$250)))</f>
        <v>4.0075017658703</v>
      </c>
      <c r="H336" s="85">
        <f t="shared" si="100"/>
        <v>-22228.693372918067</v>
      </c>
      <c r="I336" s="88">
        <f t="shared" si="111"/>
        <v>0</v>
      </c>
      <c r="J336" s="88">
        <f t="shared" si="94"/>
        <v>-22228.693372918067</v>
      </c>
      <c r="O336" s="47">
        <f t="shared" si="95"/>
        <v>37408</v>
      </c>
      <c r="BD336" s="48">
        <f t="shared" si="112"/>
        <v>0</v>
      </c>
      <c r="BE336" s="334">
        <f t="shared" si="113"/>
        <v>0</v>
      </c>
      <c r="BF336" s="50"/>
      <c r="BG336" s="51">
        <f t="shared" si="96"/>
        <v>37408</v>
      </c>
      <c r="BH336" s="335">
        <f t="shared" si="114"/>
        <v>0</v>
      </c>
      <c r="BI336" s="52">
        <f>VLOOKUP(GasPosn!A336,'Pricing Summary'!$AB$12:$AD$250,3)</f>
        <v>30</v>
      </c>
      <c r="BJ336" s="50">
        <f>VLOOKUP(A336,Interest!$AF$8:$AK$367,6)</f>
        <v>0.98420348641036393</v>
      </c>
      <c r="BK336" s="50"/>
      <c r="BL336">
        <f>H336/VLOOKUP(A336,NymexData!$J$12:$K$128,2)</f>
        <v>-14115.913589439422</v>
      </c>
      <c r="BM336">
        <f>I336/VLOOKUP(A336,NymexData!$J$12:$K$128,2)</f>
        <v>0</v>
      </c>
      <c r="BO336">
        <f t="shared" si="105"/>
        <v>0.98420348641036393</v>
      </c>
      <c r="BP336">
        <f t="shared" si="106"/>
        <v>3.9441972097652394</v>
      </c>
      <c r="BQ336">
        <f t="shared" si="107"/>
        <v>1</v>
      </c>
      <c r="BR336">
        <f t="shared" si="108"/>
        <v>0.98420348641036393</v>
      </c>
      <c r="BS336">
        <f t="shared" si="109"/>
        <v>3.9441972097652394</v>
      </c>
    </row>
    <row r="337" spans="1:71" ht="18" x14ac:dyDescent="0.25">
      <c r="A337" s="98">
        <f t="shared" si="110"/>
        <v>37438</v>
      </c>
      <c r="B337" s="324">
        <f t="array" ref="B337">SUM(IF(MONTH(NymexData!$AO$12:$AO$250)&amp;YEAR(NymexData!$AO$12:$AO$250)=MONTH(A337)&amp;YEAR(A337),NymexData!$AP$12:$AP$250))</f>
        <v>-4.73856339593</v>
      </c>
      <c r="C337" s="324">
        <f t="shared" si="97"/>
        <v>0</v>
      </c>
      <c r="D337" s="326">
        <f t="shared" si="98"/>
        <v>-4.73856339593</v>
      </c>
      <c r="E337" s="327">
        <f t="array" ref="E337">SUM(IF(MONTH(NymexData!$A$12:$A$250)&amp;YEAR(NymexData!$A$12:$A$250)=MONTH(A337)&amp;YEAR(A337),NymexData!$F$12:$F$250))</f>
        <v>4.1563731319577464</v>
      </c>
      <c r="F337" s="327">
        <f t="shared" si="99"/>
        <v>-9.6363887397338921E-2</v>
      </c>
      <c r="G337" s="328">
        <f t="array" ref="G337">IF(NymexData!$H$12="",GasPosn!E337,SUM(IF(MONTH(NymexData!$H$12:$H$250)&amp;YEAR(NymexData!$H$12:$H$250)=MONTH(A337)&amp;YEAR(A337),NymexData!$L$12:$L$250)))</f>
        <v>4.0600092445604075</v>
      </c>
      <c r="H337" s="99">
        <f t="shared" si="100"/>
        <v>4566.2638951055042</v>
      </c>
      <c r="I337" s="92">
        <f t="shared" si="111"/>
        <v>0</v>
      </c>
      <c r="J337" s="92">
        <f t="shared" si="94"/>
        <v>4566.2638951055042</v>
      </c>
      <c r="O337" s="47">
        <f t="shared" si="95"/>
        <v>37438</v>
      </c>
      <c r="BD337" s="48">
        <f t="shared" si="112"/>
        <v>0</v>
      </c>
      <c r="BE337" s="334">
        <f t="shared" si="113"/>
        <v>0</v>
      </c>
      <c r="BF337" s="50"/>
      <c r="BG337" s="51">
        <f t="shared" si="96"/>
        <v>37438</v>
      </c>
      <c r="BH337" s="335">
        <f t="shared" si="114"/>
        <v>0</v>
      </c>
      <c r="BI337" s="52">
        <f>VLOOKUP(GasPosn!A337,'Pricing Summary'!$AB$12:$AD$250,3)</f>
        <v>31</v>
      </c>
      <c r="BJ337" s="50">
        <f>VLOOKUP(A337,Interest!$AF$8:$AK$367,6)</f>
        <v>0.98218225832978834</v>
      </c>
      <c r="BK337" s="50"/>
      <c r="BL337">
        <f>H337/VLOOKUP(A337,NymexData!$J$12:$K$128,2)</f>
        <v>2899.5284657297516</v>
      </c>
      <c r="BM337">
        <f>I337/VLOOKUP(A337,NymexData!$J$12:$K$128,2)</f>
        <v>0</v>
      </c>
      <c r="BO337">
        <f t="shared" si="105"/>
        <v>0.98218225832978834</v>
      </c>
      <c r="BP337">
        <f t="shared" si="106"/>
        <v>3.9876690486621591</v>
      </c>
      <c r="BQ337">
        <f t="shared" si="107"/>
        <v>1</v>
      </c>
      <c r="BR337">
        <f t="shared" si="108"/>
        <v>0.98218225832978834</v>
      </c>
      <c r="BS337">
        <f t="shared" si="109"/>
        <v>3.9876690486621591</v>
      </c>
    </row>
    <row r="338" spans="1:71" ht="18" x14ac:dyDescent="0.25">
      <c r="A338" s="100">
        <f t="shared" si="110"/>
        <v>37469</v>
      </c>
      <c r="B338" s="329">
        <f t="array" ref="B338">SUM(IF(MONTH(NymexData!$AO$12:$AO$250)&amp;YEAR(NymexData!$AO$12:$AO$250)=MONTH(A338)&amp;YEAR(A338),NymexData!$AP$12:$AP$250))</f>
        <v>-4.7281006980760001</v>
      </c>
      <c r="C338" s="330">
        <f t="shared" si="97"/>
        <v>0</v>
      </c>
      <c r="D338" s="331">
        <f t="shared" si="98"/>
        <v>-4.7281006980760001</v>
      </c>
      <c r="E338" s="332">
        <f t="array" ref="E338">SUM(IF(MONTH(NymexData!$A$12:$A$250)&amp;YEAR(NymexData!$A$12:$A$250)=MONTH(A338)&amp;YEAR(A338),NymexData!$F$12:$F$250))</f>
        <v>4.2161192090443231</v>
      </c>
      <c r="F338" s="332">
        <f t="shared" si="99"/>
        <v>-0.10372304094595908</v>
      </c>
      <c r="G338" s="333">
        <f t="array" ref="G338">IF(NymexData!$H$12="",GasPosn!E338,SUM(IF(MONTH(NymexData!$H$12:$H$250)&amp;YEAR(NymexData!$H$12:$H$250)=MONTH(A338)&amp;YEAR(A338),NymexData!$L$12:$L$250)))</f>
        <v>4.1123961680983641</v>
      </c>
      <c r="H338" s="85">
        <f t="shared" si="100"/>
        <v>4904.1298230315469</v>
      </c>
      <c r="I338" s="88">
        <f t="shared" si="111"/>
        <v>0</v>
      </c>
      <c r="J338" s="88">
        <f t="shared" si="94"/>
        <v>4904.1298230315469</v>
      </c>
      <c r="O338" s="47">
        <f t="shared" si="95"/>
        <v>37469</v>
      </c>
      <c r="BD338" s="48">
        <f t="shared" si="112"/>
        <v>0</v>
      </c>
      <c r="BE338" s="334">
        <f t="shared" si="113"/>
        <v>0</v>
      </c>
      <c r="BF338" s="50"/>
      <c r="BG338" s="51">
        <f t="shared" si="96"/>
        <v>37469</v>
      </c>
      <c r="BH338" s="335">
        <f t="shared" si="114"/>
        <v>0</v>
      </c>
      <c r="BI338" s="52">
        <f>VLOOKUP(GasPosn!A338,'Pricing Summary'!$AB$12:$AD$250,3)</f>
        <v>31</v>
      </c>
      <c r="BJ338" s="50">
        <f>VLOOKUP(A338,Interest!$AF$8:$AK$367,6)</f>
        <v>0.98000268640342925</v>
      </c>
      <c r="BK338" s="50"/>
      <c r="BL338">
        <f>H338/VLOOKUP(A338,NymexData!$J$12:$K$128,2)</f>
        <v>3113.9605345984305</v>
      </c>
      <c r="BM338">
        <f>I338/VLOOKUP(A338,NymexData!$J$12:$K$128,2)</f>
        <v>0</v>
      </c>
      <c r="BO338">
        <f t="shared" si="105"/>
        <v>0.98000268640342925</v>
      </c>
      <c r="BP338">
        <f t="shared" si="106"/>
        <v>4.0301592922915654</v>
      </c>
      <c r="BQ338">
        <f t="shared" si="107"/>
        <v>1</v>
      </c>
      <c r="BR338">
        <f t="shared" si="108"/>
        <v>0.98000268640342925</v>
      </c>
      <c r="BS338">
        <f t="shared" si="109"/>
        <v>4.0301592922915654</v>
      </c>
    </row>
    <row r="339" spans="1:71" ht="18" x14ac:dyDescent="0.25">
      <c r="A339" s="98">
        <f t="shared" si="110"/>
        <v>37500</v>
      </c>
      <c r="B339" s="324">
        <f t="array" ref="B339">SUM(IF(MONTH(NymexData!$AO$12:$AO$250)&amp;YEAR(NymexData!$AO$12:$AO$250)=MONTH(A339)&amp;YEAR(A339),NymexData!$AP$12:$AP$250))</f>
        <v>-4.5653490125600005</v>
      </c>
      <c r="C339" s="324">
        <f t="shared" si="97"/>
        <v>0</v>
      </c>
      <c r="D339" s="326">
        <f t="shared" si="98"/>
        <v>-4.5653490125600005</v>
      </c>
      <c r="E339" s="327">
        <f t="array" ref="E339">SUM(IF(MONTH(NymexData!$A$12:$A$250)&amp;YEAR(NymexData!$A$12:$A$250)=MONTH(A339)&amp;YEAR(A339),NymexData!$F$12:$F$250))</f>
        <v>4.2160948216450409</v>
      </c>
      <c r="F339" s="327">
        <f t="shared" si="99"/>
        <v>-0.10365427325406262</v>
      </c>
      <c r="G339" s="328">
        <f t="array" ref="G339">IF(NymexData!$H$12="",GasPosn!E339,SUM(IF(MONTH(NymexData!$H$12:$H$250)&amp;YEAR(NymexData!$H$12:$H$250)=MONTH(A339)&amp;YEAR(A339),NymexData!$L$12:$L$250)))</f>
        <v>4.1124405483909783</v>
      </c>
      <c r="H339" s="99">
        <f t="shared" si="100"/>
        <v>4732.1793404805921</v>
      </c>
      <c r="I339" s="92">
        <f t="shared" si="111"/>
        <v>0</v>
      </c>
      <c r="J339" s="92">
        <f t="shared" si="94"/>
        <v>4732.1793404805921</v>
      </c>
      <c r="O339" s="47">
        <f t="shared" si="95"/>
        <v>37500</v>
      </c>
      <c r="BD339" s="48">
        <f t="shared" si="112"/>
        <v>0</v>
      </c>
      <c r="BE339" s="334">
        <f t="shared" si="113"/>
        <v>0</v>
      </c>
      <c r="BF339" s="50"/>
      <c r="BG339" s="51">
        <f t="shared" si="96"/>
        <v>37500</v>
      </c>
      <c r="BH339" s="335">
        <f t="shared" si="114"/>
        <v>0</v>
      </c>
      <c r="BI339" s="52">
        <f>VLOOKUP(GasPosn!A339,'Pricing Summary'!$AB$12:$AD$250,3)</f>
        <v>30</v>
      </c>
      <c r="BJ339" s="50">
        <f>VLOOKUP(A339,Interest!$AF$8:$AK$367,6)</f>
        <v>0.97784162654764262</v>
      </c>
      <c r="BK339" s="50"/>
      <c r="BL339">
        <f>H339/VLOOKUP(A339,NymexData!$J$12:$K$128,2)</f>
        <v>3004.7452281759829</v>
      </c>
      <c r="BM339">
        <f>I339/VLOOKUP(A339,NymexData!$J$12:$K$128,2)</f>
        <v>0</v>
      </c>
      <c r="BO339">
        <f t="shared" si="105"/>
        <v>0.97784162654764262</v>
      </c>
      <c r="BP339">
        <f t="shared" si="106"/>
        <v>4.0213155549191137</v>
      </c>
      <c r="BQ339">
        <f t="shared" si="107"/>
        <v>1</v>
      </c>
      <c r="BR339">
        <f t="shared" si="108"/>
        <v>0.97784162654764262</v>
      </c>
      <c r="BS339">
        <f t="shared" si="109"/>
        <v>4.0213155549191137</v>
      </c>
    </row>
    <row r="340" spans="1:71" ht="18" x14ac:dyDescent="0.25">
      <c r="A340" s="100">
        <f t="shared" si="110"/>
        <v>37530</v>
      </c>
      <c r="B340" s="329">
        <f t="array" ref="B340">SUM(IF(MONTH(NymexData!$AO$12:$AO$250)&amp;YEAR(NymexData!$AO$12:$AO$250)=MONTH(A340)&amp;YEAR(A340),NymexData!$AP$12:$AP$250))</f>
        <v>25.570095133674002</v>
      </c>
      <c r="C340" s="330">
        <f t="shared" si="97"/>
        <v>0</v>
      </c>
      <c r="D340" s="331">
        <f t="shared" si="98"/>
        <v>25.570095133674002</v>
      </c>
      <c r="E340" s="332">
        <f t="array" ref="E340">SUM(IF(MONTH(NymexData!$A$12:$A$250)&amp;YEAR(NymexData!$A$12:$A$250)=MONTH(A340)&amp;YEAR(A340),NymexData!$F$12:$F$250))</f>
        <v>4.2608628004010392</v>
      </c>
      <c r="F340" s="332">
        <f t="shared" si="99"/>
        <v>-0.10355186297277097</v>
      </c>
      <c r="G340" s="333">
        <f t="array" ref="G340">IF(NymexData!$H$12="",GasPosn!E340,SUM(IF(MONTH(NymexData!$H$12:$H$250)&amp;YEAR(NymexData!$H$12:$H$250)=MONTH(A340)&amp;YEAR(A340),NymexData!$L$12:$L$250)))</f>
        <v>4.1573109374282682</v>
      </c>
      <c r="H340" s="85">
        <f t="shared" si="100"/>
        <v>-26478.30987482928</v>
      </c>
      <c r="I340" s="88">
        <f t="shared" si="111"/>
        <v>0</v>
      </c>
      <c r="J340" s="88">
        <f t="shared" si="94"/>
        <v>-26478.30987482928</v>
      </c>
      <c r="O340" s="47">
        <f t="shared" si="95"/>
        <v>37530</v>
      </c>
      <c r="BD340" s="48">
        <f t="shared" si="112"/>
        <v>0</v>
      </c>
      <c r="BE340" s="334">
        <f t="shared" si="113"/>
        <v>0</v>
      </c>
      <c r="BF340" s="50"/>
      <c r="BG340" s="51">
        <f t="shared" si="96"/>
        <v>37530</v>
      </c>
      <c r="BH340" s="335">
        <f t="shared" si="114"/>
        <v>0</v>
      </c>
      <c r="BI340" s="52">
        <f>VLOOKUP(GasPosn!A340,'Pricing Summary'!$AB$12:$AD$250,3)</f>
        <v>31</v>
      </c>
      <c r="BJ340" s="50">
        <f>VLOOKUP(A340,Interest!$AF$8:$AK$367,6)</f>
        <v>0.97550485790537467</v>
      </c>
      <c r="BK340" s="50"/>
      <c r="BL340">
        <f>H340/VLOOKUP(A340,NymexData!$J$12:$K$128,2)</f>
        <v>-16812.311978342397</v>
      </c>
      <c r="BM340">
        <f>I340/VLOOKUP(A340,NymexData!$J$12:$K$128,2)</f>
        <v>0</v>
      </c>
      <c r="BO340">
        <f t="shared" si="105"/>
        <v>0.97550485790537467</v>
      </c>
      <c r="BP340">
        <f t="shared" si="106"/>
        <v>4.0554770152844224</v>
      </c>
      <c r="BQ340">
        <f t="shared" si="107"/>
        <v>1</v>
      </c>
      <c r="BR340">
        <f t="shared" si="108"/>
        <v>0.97550485790537467</v>
      </c>
      <c r="BS340">
        <f t="shared" si="109"/>
        <v>4.0554770152844224</v>
      </c>
    </row>
    <row r="341" spans="1:71" ht="18" x14ac:dyDescent="0.25">
      <c r="A341" s="98">
        <f t="shared" si="110"/>
        <v>37561</v>
      </c>
      <c r="B341" s="324">
        <f t="array" ref="B341">SUM(IF(MONTH(NymexData!$AO$12:$AO$250)&amp;YEAR(NymexData!$AO$12:$AO$250)=MONTH(A341)&amp;YEAR(A341),NymexData!$AP$12:$AP$250))</f>
        <v>24.682472424764001</v>
      </c>
      <c r="C341" s="324">
        <f t="shared" si="97"/>
        <v>0</v>
      </c>
      <c r="D341" s="326">
        <f t="shared" si="98"/>
        <v>24.682472424764001</v>
      </c>
      <c r="E341" s="327">
        <f t="array" ref="E341">SUM(IF(MONTH(NymexData!$A$12:$A$250)&amp;YEAR(NymexData!$A$12:$A$250)=MONTH(A341)&amp;YEAR(A341),NymexData!$F$12:$F$250))</f>
        <v>4.6338122053920525</v>
      </c>
      <c r="F341" s="327">
        <f t="shared" si="99"/>
        <v>-0.11366982241292689</v>
      </c>
      <c r="G341" s="328">
        <f t="array" ref="G341">IF(NymexData!$H$12="",GasPosn!E341,SUM(IF(MONTH(NymexData!$H$12:$H$250)&amp;YEAR(NymexData!$H$12:$H$250)=MONTH(A341)&amp;YEAR(A341),NymexData!$L$12:$L$250)))</f>
        <v>4.5201423829791256</v>
      </c>
      <c r="H341" s="99">
        <f t="shared" si="100"/>
        <v>-28056.522572348887</v>
      </c>
      <c r="I341" s="92">
        <f t="shared" si="111"/>
        <v>0</v>
      </c>
      <c r="J341" s="92">
        <f t="shared" si="94"/>
        <v>-28056.522572348887</v>
      </c>
      <c r="O341" s="47">
        <f t="shared" si="95"/>
        <v>37561</v>
      </c>
      <c r="BD341" s="48">
        <f t="shared" si="112"/>
        <v>0</v>
      </c>
      <c r="BE341" s="334">
        <f t="shared" si="113"/>
        <v>0</v>
      </c>
      <c r="BF341" s="50"/>
      <c r="BG341" s="51">
        <f t="shared" si="96"/>
        <v>37561</v>
      </c>
      <c r="BH341" s="335">
        <f t="shared" si="114"/>
        <v>0</v>
      </c>
      <c r="BI341" s="52">
        <f>VLOOKUP(GasPosn!A341,'Pricing Summary'!$AB$12:$AD$250,3)</f>
        <v>30</v>
      </c>
      <c r="BJ341" s="50">
        <f>VLOOKUP(A341,Interest!$AF$8:$AK$367,6)</f>
        <v>0.97304565051539404</v>
      </c>
      <c r="BK341" s="50"/>
      <c r="BL341">
        <f>H341/VLOOKUP(A341,NymexData!$J$12:$K$128,2)</f>
        <v>-17814.026172007631</v>
      </c>
      <c r="BM341">
        <f>I341/VLOOKUP(A341,NymexData!$J$12:$K$128,2)</f>
        <v>0</v>
      </c>
      <c r="BO341">
        <f t="shared" si="105"/>
        <v>0.97304565051539404</v>
      </c>
      <c r="BP341">
        <f t="shared" si="106"/>
        <v>4.3983048854681268</v>
      </c>
      <c r="BQ341">
        <f t="shared" si="107"/>
        <v>1</v>
      </c>
      <c r="BR341">
        <f t="shared" si="108"/>
        <v>0.97304565051539404</v>
      </c>
      <c r="BS341">
        <f t="shared" si="109"/>
        <v>4.3983048854681268</v>
      </c>
    </row>
    <row r="342" spans="1:71" ht="18" x14ac:dyDescent="0.25">
      <c r="A342" s="100">
        <f t="shared" si="110"/>
        <v>37591</v>
      </c>
      <c r="B342" s="329">
        <f t="array" ref="B342">SUM(IF(MONTH(NymexData!$AO$12:$AO$250)&amp;YEAR(NymexData!$AO$12:$AO$250)=MONTH(A342)&amp;YEAR(A342),NymexData!$AP$12:$AP$250))</f>
        <v>25.440960340810001</v>
      </c>
      <c r="C342" s="330">
        <f t="shared" si="97"/>
        <v>0</v>
      </c>
      <c r="D342" s="331">
        <f t="shared" si="98"/>
        <v>25.440960340810001</v>
      </c>
      <c r="E342" s="332">
        <f t="array" ref="E342">SUM(IF(MONTH(NymexData!$A$12:$A$250)&amp;YEAR(NymexData!$A$12:$A$250)=MONTH(A342)&amp;YEAR(A342),NymexData!$F$12:$F$250))</f>
        <v>4.9320911292049674</v>
      </c>
      <c r="F342" s="332">
        <f t="shared" si="99"/>
        <v>-0.12978675865524014</v>
      </c>
      <c r="G342" s="333">
        <f t="array" ref="G342">IF(NymexData!$H$12="",GasPosn!E342,SUM(IF(MONTH(NymexData!$H$12:$H$250)&amp;YEAR(NymexData!$H$12:$H$250)=MONTH(A342)&amp;YEAR(A342),NymexData!$L$12:$L$250)))</f>
        <v>4.8023043705497273</v>
      </c>
      <c r="H342" s="85">
        <f t="shared" si="100"/>
        <v>-33018.997797102435</v>
      </c>
      <c r="I342" s="88">
        <f t="shared" si="111"/>
        <v>0</v>
      </c>
      <c r="J342" s="88">
        <f t="shared" si="94"/>
        <v>-33018.997797102435</v>
      </c>
      <c r="O342" s="47">
        <f t="shared" si="95"/>
        <v>37591</v>
      </c>
      <c r="BD342" s="48">
        <f t="shared" si="112"/>
        <v>0</v>
      </c>
      <c r="BE342" s="334">
        <f t="shared" si="113"/>
        <v>0</v>
      </c>
      <c r="BF342" s="50"/>
      <c r="BG342" s="51">
        <f t="shared" si="96"/>
        <v>37591</v>
      </c>
      <c r="BH342" s="335">
        <f t="shared" si="114"/>
        <v>0</v>
      </c>
      <c r="BI342" s="52">
        <f>VLOOKUP(GasPosn!A342,'Pricing Summary'!$AB$12:$AD$250,3)</f>
        <v>31</v>
      </c>
      <c r="BJ342" s="50">
        <f>VLOOKUP(A342,Interest!$AF$8:$AK$367,6)</f>
        <v>0.97046630649709131</v>
      </c>
      <c r="BK342" s="50"/>
      <c r="BL342">
        <f>H342/VLOOKUP(A342,NymexData!$J$12:$K$128,2)</f>
        <v>-20964.753207258877</v>
      </c>
      <c r="BM342">
        <f>I342/VLOOKUP(A342,NymexData!$J$12:$K$128,2)</f>
        <v>0</v>
      </c>
      <c r="BO342">
        <f t="shared" si="105"/>
        <v>0.97046630649709131</v>
      </c>
      <c r="BP342">
        <f t="shared" si="106"/>
        <v>4.6604745851622331</v>
      </c>
      <c r="BQ342">
        <f t="shared" si="107"/>
        <v>1</v>
      </c>
      <c r="BR342">
        <f t="shared" si="108"/>
        <v>0.97046630649709131</v>
      </c>
      <c r="BS342">
        <f t="shared" si="109"/>
        <v>4.6604745851622331</v>
      </c>
    </row>
    <row r="343" spans="1:71" ht="18" x14ac:dyDescent="0.25">
      <c r="A343" s="98">
        <f t="shared" si="110"/>
        <v>37622</v>
      </c>
      <c r="B343" s="324">
        <f t="array" ref="B343">SUM(IF(MONTH(NymexData!$AO$12:$AO$250)&amp;YEAR(NymexData!$AO$12:$AO$250)=MONTH(A343)&amp;YEAR(A343),NymexData!$AP$12:$AP$250))</f>
        <v>23.730024877986001</v>
      </c>
      <c r="C343" s="324">
        <f t="shared" si="97"/>
        <v>0</v>
      </c>
      <c r="D343" s="326">
        <f t="shared" si="98"/>
        <v>23.730024877986001</v>
      </c>
      <c r="E343" s="327">
        <f t="array" ref="E343">SUM(IF(MONTH(NymexData!$A$12:$A$250)&amp;YEAR(NymexData!$A$12:$A$250)=MONTH(A343)&amp;YEAR(A343),NymexData!$F$12:$F$250))</f>
        <v>5.1186202909151604</v>
      </c>
      <c r="F343" s="327">
        <f t="shared" si="99"/>
        <v>-0.12949999280473268</v>
      </c>
      <c r="G343" s="328">
        <f t="array" ref="G343">IF(NymexData!$H$12="",GasPosn!E343,SUM(IF(MONTH(NymexData!$H$12:$H$250)&amp;YEAR(NymexData!$H$12:$H$250)=MONTH(A343)&amp;YEAR(A343),NymexData!$L$12:$L$250)))</f>
        <v>4.9891202981104277</v>
      </c>
      <c r="H343" s="99">
        <f t="shared" si="100"/>
        <v>-30730.380509553146</v>
      </c>
      <c r="I343" s="92">
        <f t="shared" si="111"/>
        <v>0</v>
      </c>
      <c r="J343" s="92">
        <f t="shared" si="94"/>
        <v>-30730.380509553146</v>
      </c>
      <c r="O343" s="47">
        <f t="shared" si="95"/>
        <v>37622</v>
      </c>
      <c r="BD343" s="48">
        <f t="shared" si="112"/>
        <v>0</v>
      </c>
      <c r="BE343" s="334">
        <f t="shared" si="113"/>
        <v>0</v>
      </c>
      <c r="BF343" s="50"/>
      <c r="BG343" s="51">
        <f t="shared" si="96"/>
        <v>37622</v>
      </c>
      <c r="BH343" s="335">
        <f t="shared" si="114"/>
        <v>0</v>
      </c>
      <c r="BI343" s="52">
        <f>VLOOKUP(GasPosn!A343,'Pricing Summary'!$AB$12:$AD$250,3)</f>
        <v>31</v>
      </c>
      <c r="BJ343" s="50">
        <f>VLOOKUP(A343,Interest!$AF$8:$AK$367,6)</f>
        <v>0.96772356951013916</v>
      </c>
      <c r="BK343" s="50"/>
      <c r="BL343">
        <f>H343/VLOOKUP(A343,NymexData!$J$12:$K$128,2)</f>
        <v>-19510.791860746671</v>
      </c>
      <c r="BM343">
        <f>I343/VLOOKUP(A343,NymexData!$J$12:$K$128,2)</f>
        <v>0</v>
      </c>
      <c r="BO343">
        <f t="shared" si="105"/>
        <v>0.96772356951013916</v>
      </c>
      <c r="BP343">
        <f t="shared" si="106"/>
        <v>4.8280893036029129</v>
      </c>
      <c r="BQ343">
        <f t="shared" si="107"/>
        <v>1</v>
      </c>
      <c r="BR343">
        <f t="shared" si="108"/>
        <v>0.96772356951013916</v>
      </c>
      <c r="BS343">
        <f t="shared" si="109"/>
        <v>4.8280893036029129</v>
      </c>
    </row>
    <row r="344" spans="1:71" ht="18" x14ac:dyDescent="0.25">
      <c r="A344" s="100">
        <f t="shared" si="110"/>
        <v>37653</v>
      </c>
      <c r="B344" s="329">
        <f t="array" ref="B344">SUM(IF(MONTH(NymexData!$AO$12:$AO$250)&amp;YEAR(NymexData!$AO$12:$AO$250)=MONTH(A344)&amp;YEAR(A344),NymexData!$AP$12:$AP$250))</f>
        <v>21.369633662496003</v>
      </c>
      <c r="C344" s="330">
        <f t="shared" si="97"/>
        <v>0</v>
      </c>
      <c r="D344" s="331">
        <f t="shared" si="98"/>
        <v>21.369633662496003</v>
      </c>
      <c r="E344" s="332">
        <f t="array" ref="E344">SUM(IF(MONTH(NymexData!$A$12:$A$250)&amp;YEAR(NymexData!$A$12:$A$250)=MONTH(A344)&amp;YEAR(A344),NymexData!$F$12:$F$250))</f>
        <v>4.9934262201683222</v>
      </c>
      <c r="F344" s="332">
        <f t="shared" si="99"/>
        <v>-0.14132758833156789</v>
      </c>
      <c r="G344" s="333">
        <f t="array" ref="G344">IF(NymexData!$H$12="",GasPosn!E344,SUM(IF(MONTH(NymexData!$H$12:$H$250)&amp;YEAR(NymexData!$H$12:$H$250)=MONTH(A344)&amp;YEAR(A344),NymexData!$L$12:$L$250)))</f>
        <v>4.8520986318367543</v>
      </c>
      <c r="H344" s="85">
        <f t="shared" si="100"/>
        <v>-30201.187890496505</v>
      </c>
      <c r="I344" s="88">
        <f t="shared" si="111"/>
        <v>0</v>
      </c>
      <c r="J344" s="88">
        <f t="shared" si="94"/>
        <v>-30201.187890496505</v>
      </c>
      <c r="O344" s="47">
        <f t="shared" si="95"/>
        <v>37653</v>
      </c>
      <c r="BD344" s="48">
        <f t="shared" si="112"/>
        <v>0</v>
      </c>
      <c r="BE344" s="334">
        <f t="shared" si="113"/>
        <v>0</v>
      </c>
      <c r="BF344" s="50"/>
      <c r="BG344" s="51">
        <f t="shared" si="96"/>
        <v>37653</v>
      </c>
      <c r="BH344" s="335">
        <f t="shared" si="114"/>
        <v>0</v>
      </c>
      <c r="BI344" s="52">
        <f>VLOOKUP(GasPosn!A344,'Pricing Summary'!$AB$12:$AD$250,3)</f>
        <v>28</v>
      </c>
      <c r="BJ344" s="50">
        <f>VLOOKUP(A344,Interest!$AF$8:$AK$367,6)</f>
        <v>0.96501279473153012</v>
      </c>
      <c r="BK344" s="50"/>
      <c r="BL344">
        <f>H344/VLOOKUP(A344,NymexData!$J$12:$K$128,2)</f>
        <v>-19173.537804313353</v>
      </c>
      <c r="BM344">
        <f>I344/VLOOKUP(A344,NymexData!$J$12:$K$128,2)</f>
        <v>0</v>
      </c>
      <c r="BO344">
        <f t="shared" si="105"/>
        <v>0.96501279473153012</v>
      </c>
      <c r="BP344">
        <f t="shared" si="106"/>
        <v>4.6823372610218197</v>
      </c>
      <c r="BQ344">
        <f t="shared" si="107"/>
        <v>1</v>
      </c>
      <c r="BR344">
        <f t="shared" si="108"/>
        <v>0.96501279473153012</v>
      </c>
      <c r="BS344">
        <f t="shared" si="109"/>
        <v>4.6823372610218197</v>
      </c>
    </row>
    <row r="345" spans="1:71" ht="18" x14ac:dyDescent="0.25">
      <c r="A345" s="98">
        <f t="shared" si="110"/>
        <v>37681</v>
      </c>
      <c r="B345" s="324">
        <f t="array" ref="B345">SUM(IF(MONTH(NymexData!$AO$12:$AO$250)&amp;YEAR(NymexData!$AO$12:$AO$250)=MONTH(A345)&amp;YEAR(A345),NymexData!$AP$12:$AP$250))</f>
        <v>23.593469986394002</v>
      </c>
      <c r="C345" s="324">
        <f t="shared" si="97"/>
        <v>0</v>
      </c>
      <c r="D345" s="326">
        <f t="shared" si="98"/>
        <v>23.593469986394002</v>
      </c>
      <c r="E345" s="327">
        <f t="array" ref="E345">SUM(IF(MONTH(NymexData!$A$12:$A$250)&amp;YEAR(NymexData!$A$12:$A$250)=MONTH(A345)&amp;YEAR(A345),NymexData!$F$12:$F$250))</f>
        <v>4.8517786478216918</v>
      </c>
      <c r="F345" s="327">
        <f t="shared" si="99"/>
        <v>-0.14124361942507946</v>
      </c>
      <c r="G345" s="328">
        <f t="array" ref="G345">IF(NymexData!$H$12="",GasPosn!E345,SUM(IF(MONTH(NymexData!$H$12:$H$250)&amp;YEAR(NymexData!$H$12:$H$250)=MONTH(A345)&amp;YEAR(A345),NymexData!$L$12:$L$250)))</f>
        <v>4.7105350283966123</v>
      </c>
      <c r="H345" s="99">
        <f t="shared" si="100"/>
        <v>-33324.270956752691</v>
      </c>
      <c r="I345" s="92">
        <f t="shared" si="111"/>
        <v>0</v>
      </c>
      <c r="J345" s="92">
        <f t="shared" si="94"/>
        <v>-33324.270956752691</v>
      </c>
      <c r="O345" s="47">
        <f t="shared" si="95"/>
        <v>37681</v>
      </c>
      <c r="BD345" s="48">
        <f t="shared" si="112"/>
        <v>0</v>
      </c>
      <c r="BE345" s="334">
        <f t="shared" si="113"/>
        <v>0</v>
      </c>
      <c r="BF345" s="50"/>
      <c r="BG345" s="51">
        <f t="shared" si="96"/>
        <v>37681</v>
      </c>
      <c r="BH345" s="335">
        <f t="shared" si="114"/>
        <v>0</v>
      </c>
      <c r="BI345" s="52">
        <f>VLOOKUP(GasPosn!A345,'Pricing Summary'!$AB$12:$AD$250,3)</f>
        <v>31</v>
      </c>
      <c r="BJ345" s="50">
        <f>VLOOKUP(A345,Interest!$AF$8:$AK$367,6)</f>
        <v>0.96208950794295822</v>
      </c>
      <c r="BK345" s="50"/>
      <c r="BL345">
        <f>H345/VLOOKUP(A345,NymexData!$J$12:$K$128,2)</f>
        <v>-21155.060483830184</v>
      </c>
      <c r="BM345">
        <f>I345/VLOOKUP(A345,NymexData!$J$12:$K$128,2)</f>
        <v>0</v>
      </c>
      <c r="BO345">
        <f t="shared" si="105"/>
        <v>0.96208950794295822</v>
      </c>
      <c r="BP345">
        <f t="shared" si="106"/>
        <v>4.5319563276181656</v>
      </c>
      <c r="BQ345">
        <f t="shared" si="107"/>
        <v>1</v>
      </c>
      <c r="BR345">
        <f t="shared" si="108"/>
        <v>0.96208950794295822</v>
      </c>
      <c r="BS345">
        <f t="shared" si="109"/>
        <v>4.5319563276181656</v>
      </c>
    </row>
    <row r="346" spans="1:71" ht="18" x14ac:dyDescent="0.25">
      <c r="A346" s="100">
        <f t="shared" si="110"/>
        <v>37712</v>
      </c>
      <c r="B346" s="329">
        <f t="array" ref="B346">SUM(IF(MONTH(NymexData!$AO$12:$AO$250)&amp;YEAR(NymexData!$AO$12:$AO$250)=MONTH(A346)&amp;YEAR(A346),NymexData!$AP$12:$AP$250))</f>
        <v>22.759984163350001</v>
      </c>
      <c r="C346" s="330">
        <f t="shared" si="97"/>
        <v>0</v>
      </c>
      <c r="D346" s="331">
        <f t="shared" si="98"/>
        <v>22.759984163350001</v>
      </c>
      <c r="E346" s="332">
        <f t="array" ref="E346">SUM(IF(MONTH(NymexData!$A$12:$A$250)&amp;YEAR(NymexData!$A$12:$A$250)=MONTH(A346)&amp;YEAR(A346),NymexData!$F$12:$F$250))</f>
        <v>4.6429583160693708</v>
      </c>
      <c r="F346" s="332">
        <f t="shared" si="99"/>
        <v>-0.14122129497995051</v>
      </c>
      <c r="G346" s="333">
        <f t="array" ref="G346">IF(NymexData!$H$12="",GasPosn!E346,SUM(IF(MONTH(NymexData!$H$12:$H$250)&amp;YEAR(NymexData!$H$12:$H$250)=MONTH(A346)&amp;YEAR(A346),NymexData!$L$12:$L$250)))</f>
        <v>4.5017370210894203</v>
      </c>
      <c r="H346" s="85">
        <f t="shared" si="100"/>
        <v>-32141.944372714526</v>
      </c>
      <c r="I346" s="88">
        <f t="shared" si="111"/>
        <v>0</v>
      </c>
      <c r="J346" s="88">
        <f t="shared" si="94"/>
        <v>-32141.944372714526</v>
      </c>
      <c r="O346" s="47">
        <f t="shared" si="95"/>
        <v>37712</v>
      </c>
      <c r="BD346" s="48">
        <f t="shared" si="112"/>
        <v>0</v>
      </c>
      <c r="BE346" s="334">
        <f t="shared" si="113"/>
        <v>0</v>
      </c>
      <c r="BF346" s="50"/>
      <c r="BG346" s="51">
        <f t="shared" si="96"/>
        <v>37712</v>
      </c>
      <c r="BH346" s="335">
        <f t="shared" si="114"/>
        <v>0</v>
      </c>
      <c r="BI346" s="52">
        <f>VLOOKUP(GasPosn!A346,'Pricing Summary'!$AB$12:$AD$250,3)</f>
        <v>30</v>
      </c>
      <c r="BJ346" s="50">
        <f>VLOOKUP(A346,Interest!$AF$8:$AK$367,6)</f>
        <v>0.95906548922359669</v>
      </c>
      <c r="BK346" s="50"/>
      <c r="BL346">
        <f>H346/VLOOKUP(A346,NymexData!$J$12:$K$128,2)</f>
        <v>-20403.460372363137</v>
      </c>
      <c r="BM346">
        <f>I346/VLOOKUP(A346,NymexData!$J$12:$K$128,2)</f>
        <v>0</v>
      </c>
      <c r="BO346">
        <f t="shared" si="105"/>
        <v>0.95906548922359669</v>
      </c>
      <c r="BP346">
        <f t="shared" si="106"/>
        <v>4.3174606184871021</v>
      </c>
      <c r="BQ346">
        <f t="shared" si="107"/>
        <v>1</v>
      </c>
      <c r="BR346">
        <f t="shared" si="108"/>
        <v>0.95906548922359669</v>
      </c>
      <c r="BS346">
        <f t="shared" si="109"/>
        <v>4.3174606184871021</v>
      </c>
    </row>
    <row r="347" spans="1:71" ht="18" x14ac:dyDescent="0.25">
      <c r="A347" s="98">
        <f t="shared" si="110"/>
        <v>37742</v>
      </c>
      <c r="B347" s="324">
        <f t="array" ref="B347">SUM(IF(MONTH(NymexData!$AO$12:$AO$250)&amp;YEAR(NymexData!$AO$12:$AO$250)=MONTH(A347)&amp;YEAR(A347),NymexData!$AP$12:$AP$250))</f>
        <v>23.444257671268002</v>
      </c>
      <c r="C347" s="324">
        <f t="shared" si="97"/>
        <v>0</v>
      </c>
      <c r="D347" s="326">
        <f t="shared" si="98"/>
        <v>23.444257671268002</v>
      </c>
      <c r="E347" s="327">
        <f t="array" ref="E347">SUM(IF(MONTH(NymexData!$A$12:$A$250)&amp;YEAR(NymexData!$A$12:$A$250)=MONTH(A347)&amp;YEAR(A347),NymexData!$F$12:$F$250))</f>
        <v>4.6415324177626323</v>
      </c>
      <c r="F347" s="327">
        <f t="shared" si="99"/>
        <v>-0.13958930992315466</v>
      </c>
      <c r="G347" s="328">
        <f t="array" ref="G347">IF(NymexData!$H$12="",GasPosn!E347,SUM(IF(MONTH(NymexData!$H$12:$H$250)&amp;YEAR(NymexData!$H$12:$H$250)=MONTH(A347)&amp;YEAR(A347),NymexData!$L$12:$L$250)))</f>
        <v>4.5019431078394776</v>
      </c>
      <c r="H347" s="99">
        <f t="shared" si="100"/>
        <v>-32725.677499929254</v>
      </c>
      <c r="I347" s="92">
        <f t="shared" si="101"/>
        <v>0</v>
      </c>
      <c r="J347" s="92">
        <f t="shared" si="94"/>
        <v>-32725.677499929254</v>
      </c>
      <c r="O347" s="47">
        <f t="shared" si="95"/>
        <v>37742</v>
      </c>
      <c r="BD347" s="48">
        <f t="shared" si="102"/>
        <v>0</v>
      </c>
      <c r="BE347" s="334">
        <f t="shared" si="103"/>
        <v>0</v>
      </c>
      <c r="BF347" s="50"/>
      <c r="BG347" s="51">
        <f t="shared" si="96"/>
        <v>37742</v>
      </c>
      <c r="BH347" s="335">
        <f t="shared" si="104"/>
        <v>0</v>
      </c>
      <c r="BI347" s="52">
        <f>VLOOKUP(GasPosn!A347,'Pricing Summary'!$AB$12:$AD$250,3)</f>
        <v>31</v>
      </c>
      <c r="BJ347" s="50">
        <f>VLOOKUP(A347,Interest!$AF$8:$AK$367,6)</f>
        <v>0.95592074117655512</v>
      </c>
      <c r="BK347" s="50"/>
      <c r="BL347">
        <f>H347/VLOOKUP(A347,NymexData!$J$12:$K$128,2)</f>
        <v>-20773.058717581247</v>
      </c>
      <c r="BM347">
        <f>I347/VLOOKUP(A347,NymexData!$J$12:$K$128,2)</f>
        <v>0</v>
      </c>
      <c r="BO347">
        <f t="shared" si="105"/>
        <v>0.95592074117655512</v>
      </c>
      <c r="BP347">
        <f t="shared" si="106"/>
        <v>4.3035007923805972</v>
      </c>
      <c r="BQ347">
        <f t="shared" si="107"/>
        <v>1</v>
      </c>
      <c r="BR347">
        <f t="shared" si="108"/>
        <v>0.95592074117655512</v>
      </c>
      <c r="BS347">
        <f t="shared" si="109"/>
        <v>4.3035007923805972</v>
      </c>
    </row>
    <row r="348" spans="1:71" ht="18" x14ac:dyDescent="0.25">
      <c r="A348" s="100">
        <f t="shared" si="110"/>
        <v>37773</v>
      </c>
      <c r="B348" s="329">
        <f t="array" ref="B348">SUM(IF(MONTH(NymexData!$AO$12:$AO$250)&amp;YEAR(NymexData!$AO$12:$AO$250)=MONTH(A348)&amp;YEAR(A348),NymexData!$AP$12:$AP$250))</f>
        <v>22.611633891280004</v>
      </c>
      <c r="C348" s="330">
        <f t="shared" si="97"/>
        <v>0</v>
      </c>
      <c r="D348" s="331">
        <f t="shared" si="98"/>
        <v>22.611633891280004</v>
      </c>
      <c r="E348" s="332">
        <f t="array" ref="E348">SUM(IF(MONTH(NymexData!$A$12:$A$250)&amp;YEAR(NymexData!$A$12:$A$250)=MONTH(A348)&amp;YEAR(A348),NymexData!$F$12:$F$250))</f>
        <v>4.6714174649423041</v>
      </c>
      <c r="F348" s="332">
        <f t="shared" si="99"/>
        <v>-0.1394162243311019</v>
      </c>
      <c r="G348" s="333">
        <f t="array" ref="G348">IF(NymexData!$H$12="",GasPosn!E348,SUM(IF(MONTH(NymexData!$H$12:$H$250)&amp;YEAR(NymexData!$H$12:$H$250)=MONTH(A348)&amp;YEAR(A348),NymexData!$L$12:$L$250)))</f>
        <v>4.5320012406112022</v>
      </c>
      <c r="H348" s="85">
        <f t="shared" si="100"/>
        <v>-31524.286230794398</v>
      </c>
      <c r="I348" s="88">
        <f t="shared" si="101"/>
        <v>0</v>
      </c>
      <c r="J348" s="88">
        <f t="shared" si="94"/>
        <v>-31524.286230794398</v>
      </c>
      <c r="O348" s="47">
        <f t="shared" si="95"/>
        <v>37773</v>
      </c>
      <c r="BD348" s="48">
        <f t="shared" si="102"/>
        <v>0</v>
      </c>
      <c r="BE348" s="334">
        <f t="shared" si="103"/>
        <v>0</v>
      </c>
      <c r="BF348" s="50"/>
      <c r="BG348" s="51">
        <f t="shared" si="96"/>
        <v>37773</v>
      </c>
      <c r="BH348" s="335">
        <f t="shared" si="104"/>
        <v>0</v>
      </c>
      <c r="BI348" s="52">
        <f>VLOOKUP(GasPosn!A348,'Pricing Summary'!$AB$12:$AD$250,3)</f>
        <v>30</v>
      </c>
      <c r="BJ348" s="50">
        <f>VLOOKUP(A348,Interest!$AF$8:$AK$367,6)</f>
        <v>0.95273295750909415</v>
      </c>
      <c r="BK348" s="50"/>
      <c r="BL348">
        <f>H348/VLOOKUP(A348,NymexData!$J$12:$K$128,2)</f>
        <v>-20009.600867341476</v>
      </c>
      <c r="BM348">
        <f>I348/VLOOKUP(A348,NymexData!$J$12:$K$128,2)</f>
        <v>0</v>
      </c>
      <c r="BO348">
        <f t="shared" si="105"/>
        <v>0.95273295750909415</v>
      </c>
      <c r="BP348">
        <f t="shared" si="106"/>
        <v>4.3177869454023945</v>
      </c>
      <c r="BQ348">
        <f t="shared" si="107"/>
        <v>1</v>
      </c>
      <c r="BR348">
        <f t="shared" si="108"/>
        <v>0.95273295750909415</v>
      </c>
      <c r="BS348">
        <f t="shared" si="109"/>
        <v>4.3177869454023945</v>
      </c>
    </row>
    <row r="349" spans="1:71" ht="18" x14ac:dyDescent="0.25">
      <c r="A349" s="98">
        <f t="shared" si="110"/>
        <v>37803</v>
      </c>
      <c r="B349" s="324">
        <f t="array" ref="B349">SUM(IF(MONTH(NymexData!$AO$12:$AO$250)&amp;YEAR(NymexData!$AO$12:$AO$250)=MONTH(A349)&amp;YEAR(A349),NymexData!$AP$12:$AP$250))</f>
        <v>23.287054795550002</v>
      </c>
      <c r="C349" s="324">
        <f t="shared" si="97"/>
        <v>0</v>
      </c>
      <c r="D349" s="326">
        <f t="shared" si="98"/>
        <v>23.287054795550002</v>
      </c>
      <c r="E349" s="327">
        <f t="array" ref="E349">SUM(IF(MONTH(NymexData!$A$12:$A$250)&amp;YEAR(NymexData!$A$12:$A$250)=MONTH(A349)&amp;YEAR(A349),NymexData!$F$12:$F$250))</f>
        <v>4.7087201824107821</v>
      </c>
      <c r="F349" s="327">
        <f t="shared" si="99"/>
        <v>-0.13926845876749816</v>
      </c>
      <c r="G349" s="328">
        <f t="array" ref="G349">IF(NymexData!$H$12="",GasPosn!E349,SUM(IF(MONTH(NymexData!$H$12:$H$250)&amp;YEAR(NymexData!$H$12:$H$250)=MONTH(A349)&amp;YEAR(A349),NymexData!$L$12:$L$250)))</f>
        <v>4.5694517236432839</v>
      </c>
      <c r="H349" s="99">
        <f t="shared" si="100"/>
        <v>-32431.522306105257</v>
      </c>
      <c r="I349" s="92">
        <f t="shared" si="101"/>
        <v>0</v>
      </c>
      <c r="J349" s="92">
        <f t="shared" si="94"/>
        <v>-32431.522306105257</v>
      </c>
      <c r="O349" s="47">
        <f t="shared" si="95"/>
        <v>37803</v>
      </c>
      <c r="BD349" s="48">
        <f t="shared" si="102"/>
        <v>0</v>
      </c>
      <c r="BE349" s="334">
        <f t="shared" si="103"/>
        <v>0</v>
      </c>
      <c r="BF349" s="50"/>
      <c r="BG349" s="51">
        <f t="shared" si="96"/>
        <v>37803</v>
      </c>
      <c r="BH349" s="335">
        <f t="shared" si="104"/>
        <v>0</v>
      </c>
      <c r="BI349" s="52">
        <f>VLOOKUP(GasPosn!A349,'Pricing Summary'!$AB$12:$AD$250,3)</f>
        <v>31</v>
      </c>
      <c r="BJ349" s="50">
        <f>VLOOKUP(A349,Interest!$AF$8:$AK$367,6)</f>
        <v>0.94941365641009356</v>
      </c>
      <c r="BK349" s="50"/>
      <c r="BL349">
        <f>H349/VLOOKUP(A349,NymexData!$J$12:$K$128,2)</f>
        <v>-20584.918697642126</v>
      </c>
      <c r="BM349">
        <f>I349/VLOOKUP(A349,NymexData!$J$12:$K$128,2)</f>
        <v>0</v>
      </c>
      <c r="BO349">
        <f t="shared" si="105"/>
        <v>0.94941365641009356</v>
      </c>
      <c r="BP349">
        <f t="shared" si="106"/>
        <v>4.338299868733575</v>
      </c>
      <c r="BQ349">
        <f t="shared" si="107"/>
        <v>1</v>
      </c>
      <c r="BR349">
        <f t="shared" si="108"/>
        <v>0.94941365641009356</v>
      </c>
      <c r="BS349">
        <f t="shared" si="109"/>
        <v>4.338299868733575</v>
      </c>
    </row>
    <row r="350" spans="1:71" ht="18" x14ac:dyDescent="0.25">
      <c r="A350" s="100">
        <f t="shared" si="110"/>
        <v>37834</v>
      </c>
      <c r="B350" s="329">
        <f t="array" ref="B350">SUM(IF(MONTH(NymexData!$AO$12:$AO$250)&amp;YEAR(NymexData!$AO$12:$AO$250)=MONTH(A350)&amp;YEAR(A350),NymexData!$AP$12:$AP$250))</f>
        <v>23.204160406587999</v>
      </c>
      <c r="C350" s="330">
        <f t="shared" si="97"/>
        <v>0</v>
      </c>
      <c r="D350" s="331">
        <f t="shared" si="98"/>
        <v>23.204160406587999</v>
      </c>
      <c r="E350" s="332">
        <f t="array" ref="E350">SUM(IF(MONTH(NymexData!$A$12:$A$250)&amp;YEAR(NymexData!$A$12:$A$250)=MONTH(A350)&amp;YEAR(A350),NymexData!$F$12:$F$250))</f>
        <v>4.7564127461497634</v>
      </c>
      <c r="F350" s="332">
        <f t="shared" si="99"/>
        <v>-0.13915441668085737</v>
      </c>
      <c r="G350" s="333">
        <f t="array" ref="G350">IF(NymexData!$H$12="",GasPosn!E350,SUM(IF(MONTH(NymexData!$H$12:$H$250)&amp;YEAR(NymexData!$H$12:$H$250)=MONTH(A350)&amp;YEAR(A350),NymexData!$L$12:$L$250)))</f>
        <v>4.617258329468906</v>
      </c>
      <c r="H350" s="85">
        <f t="shared" si="100"/>
        <v>-32289.61405947799</v>
      </c>
      <c r="I350" s="88">
        <f t="shared" si="101"/>
        <v>0</v>
      </c>
      <c r="J350" s="88">
        <f t="shared" si="94"/>
        <v>-32289.61405947799</v>
      </c>
      <c r="O350" s="47">
        <f t="shared" si="95"/>
        <v>37834</v>
      </c>
      <c r="BD350" s="48">
        <f t="shared" si="102"/>
        <v>0</v>
      </c>
      <c r="BE350" s="334">
        <f t="shared" si="103"/>
        <v>0</v>
      </c>
      <c r="BF350" s="50"/>
      <c r="BG350" s="51">
        <f t="shared" si="96"/>
        <v>37834</v>
      </c>
      <c r="BH350" s="335">
        <f t="shared" si="104"/>
        <v>0</v>
      </c>
      <c r="BI350" s="52">
        <f>VLOOKUP(GasPosn!A350,'Pricing Summary'!$AB$12:$AD$250,3)</f>
        <v>31</v>
      </c>
      <c r="BJ350" s="50">
        <f>VLOOKUP(A350,Interest!$AF$8:$AK$367,6)</f>
        <v>0.94596925460818626</v>
      </c>
      <c r="BK350" s="50"/>
      <c r="BL350">
        <f>H350/VLOOKUP(A350,NymexData!$J$12:$K$128,2)</f>
        <v>-20494.751382705148</v>
      </c>
      <c r="BM350">
        <f>I350/VLOOKUP(A350,NymexData!$J$12:$K$128,2)</f>
        <v>0</v>
      </c>
      <c r="BO350">
        <f t="shared" si="105"/>
        <v>0.94596925460818626</v>
      </c>
      <c r="BP350">
        <f t="shared" si="106"/>
        <v>4.36778442026114</v>
      </c>
      <c r="BQ350">
        <f t="shared" si="107"/>
        <v>1</v>
      </c>
      <c r="BR350">
        <f t="shared" si="108"/>
        <v>0.94596925460818626</v>
      </c>
      <c r="BS350">
        <f t="shared" si="109"/>
        <v>4.36778442026114</v>
      </c>
    </row>
    <row r="351" spans="1:71" ht="18" x14ac:dyDescent="0.25">
      <c r="A351" s="98">
        <f t="shared" si="110"/>
        <v>37865</v>
      </c>
      <c r="B351" s="324">
        <f t="array" ref="B351">SUM(IF(MONTH(NymexData!$AO$12:$AO$250)&amp;YEAR(NymexData!$AO$12:$AO$250)=MONTH(A351)&amp;YEAR(A351),NymexData!$AP$12:$AP$250))</f>
        <v>22.373490611080001</v>
      </c>
      <c r="C351" s="325">
        <f t="shared" si="97"/>
        <v>0</v>
      </c>
      <c r="D351" s="326">
        <f t="shared" si="98"/>
        <v>22.373490611080001</v>
      </c>
      <c r="E351" s="327">
        <f t="array" ref="E351">SUM(IF(MONTH(NymexData!$A$12:$A$250)&amp;YEAR(NymexData!$A$12:$A$250)=MONTH(A351)&amp;YEAR(A351),NymexData!$F$12:$F$250))</f>
        <v>4.7563330348938795</v>
      </c>
      <c r="F351" s="327">
        <f t="shared" si="99"/>
        <v>-0.13162006958668915</v>
      </c>
      <c r="G351" s="328">
        <f t="array" ref="G351">IF(NymexData!$H$12="",GasPosn!E351,SUM(IF(MONTH(NymexData!$H$12:$H$250)&amp;YEAR(NymexData!$H$12:$H$250)=MONTH(A351)&amp;YEAR(A351),NymexData!$L$12:$L$250)))</f>
        <v>4.6247129653071903</v>
      </c>
      <c r="H351" s="99">
        <f t="shared" si="100"/>
        <v>-29448.00391127486</v>
      </c>
      <c r="I351" s="92">
        <f t="shared" si="101"/>
        <v>0</v>
      </c>
      <c r="J351" s="92">
        <f t="shared" si="94"/>
        <v>-29448.00391127486</v>
      </c>
      <c r="O351" s="47">
        <f t="shared" si="95"/>
        <v>37865</v>
      </c>
      <c r="BD351" s="48">
        <f t="shared" si="102"/>
        <v>0</v>
      </c>
      <c r="BE351" s="334">
        <f t="shared" si="103"/>
        <v>0</v>
      </c>
      <c r="BF351" s="50"/>
      <c r="BG351" s="51">
        <f t="shared" si="96"/>
        <v>37865</v>
      </c>
      <c r="BH351" s="335">
        <f t="shared" si="104"/>
        <v>0</v>
      </c>
      <c r="BI351" s="52">
        <f>VLOOKUP(GasPosn!A351,'Pricing Summary'!$AB$12:$AD$250,3)</f>
        <v>30</v>
      </c>
      <c r="BJ351" s="50">
        <f>VLOOKUP(A351,Interest!$AF$8:$AK$367,6)</f>
        <v>0.94251703784326879</v>
      </c>
      <c r="BK351" s="50"/>
      <c r="BL351">
        <f>H351/VLOOKUP(A351,NymexData!$J$12:$K$128,2)</f>
        <v>-18691.182270514015</v>
      </c>
      <c r="BM351">
        <f>I351/VLOOKUP(A351,NymexData!$J$12:$K$128,2)</f>
        <v>0</v>
      </c>
      <c r="BO351">
        <f t="shared" si="105"/>
        <v>0.94251703784326879</v>
      </c>
      <c r="BP351">
        <f t="shared" si="106"/>
        <v>4.3588707649366931</v>
      </c>
      <c r="BQ351">
        <f t="shared" si="107"/>
        <v>1</v>
      </c>
      <c r="BR351">
        <f t="shared" si="108"/>
        <v>0.94251703784326879</v>
      </c>
      <c r="BS351">
        <f t="shared" si="109"/>
        <v>4.3588707649366931</v>
      </c>
    </row>
    <row r="352" spans="1:71" ht="18" x14ac:dyDescent="0.25">
      <c r="A352" s="100">
        <f t="shared" si="110"/>
        <v>37895</v>
      </c>
      <c r="B352" s="329">
        <f t="array" ref="B352">SUM(IF(MONTH(NymexData!$AO$12:$AO$250)&amp;YEAR(NymexData!$AO$12:$AO$250)=MONTH(A352)&amp;YEAR(A352),NymexData!$AP$12:$AP$250))</f>
        <v>23.035251717491999</v>
      </c>
      <c r="C352" s="330">
        <f t="shared" si="97"/>
        <v>0</v>
      </c>
      <c r="D352" s="331">
        <f t="shared" si="98"/>
        <v>23.035251717491999</v>
      </c>
      <c r="E352" s="332">
        <f t="array" ref="E352">SUM(IF(MONTH(NymexData!$A$12:$A$250)&amp;YEAR(NymexData!$A$12:$A$250)=MONTH(A352)&amp;YEAR(A352),NymexData!$F$12:$F$250))</f>
        <v>4.7786875101923059</v>
      </c>
      <c r="F352" s="332">
        <f t="shared" si="99"/>
        <v>-0.12410894815435736</v>
      </c>
      <c r="G352" s="333">
        <f t="array" ref="G352">IF(NymexData!$H$12="",GasPosn!E352,SUM(IF(MONTH(NymexData!$H$12:$H$250)&amp;YEAR(NymexData!$H$12:$H$250)=MONTH(A352)&amp;YEAR(A352),NymexData!$L$12:$L$250)))</f>
        <v>4.6545785620379485</v>
      </c>
      <c r="H352" s="85">
        <f t="shared" si="100"/>
        <v>-28588.808611287855</v>
      </c>
      <c r="I352" s="88">
        <f t="shared" si="101"/>
        <v>0</v>
      </c>
      <c r="J352" s="88">
        <f t="shared" si="94"/>
        <v>-28588.808611287855</v>
      </c>
      <c r="O352" s="47">
        <f t="shared" si="95"/>
        <v>37895</v>
      </c>
      <c r="BD352" s="48">
        <f t="shared" si="102"/>
        <v>0</v>
      </c>
      <c r="BE352" s="334">
        <f t="shared" si="103"/>
        <v>0</v>
      </c>
      <c r="BF352" s="50"/>
      <c r="BG352" s="51">
        <f t="shared" si="96"/>
        <v>37895</v>
      </c>
      <c r="BH352" s="335">
        <f t="shared" si="104"/>
        <v>0</v>
      </c>
      <c r="BI352" s="52">
        <f>VLOOKUP(GasPosn!A352,'Pricing Summary'!$AB$12:$AD$250,3)</f>
        <v>31</v>
      </c>
      <c r="BJ352" s="50">
        <f>VLOOKUP(A352,Interest!$AF$8:$AK$367,6)</f>
        <v>0.93895681531458863</v>
      </c>
      <c r="BK352" s="50"/>
      <c r="BL352">
        <f>H352/VLOOKUP(A352,NymexData!$J$12:$K$128,2)</f>
        <v>-18145.836065015035</v>
      </c>
      <c r="BM352">
        <f>I352/VLOOKUP(A352,NymexData!$J$12:$K$128,2)</f>
        <v>0</v>
      </c>
      <c r="BO352">
        <f t="shared" si="105"/>
        <v>0.93895681531458863</v>
      </c>
      <c r="BP352">
        <f t="shared" si="106"/>
        <v>4.37044826324271</v>
      </c>
      <c r="BQ352">
        <f t="shared" si="107"/>
        <v>1</v>
      </c>
      <c r="BR352">
        <f t="shared" si="108"/>
        <v>0.93895681531458863</v>
      </c>
      <c r="BS352">
        <f t="shared" si="109"/>
        <v>4.37044826324271</v>
      </c>
    </row>
    <row r="353" spans="1:71" ht="18" x14ac:dyDescent="0.25">
      <c r="A353" s="98">
        <f t="shared" si="110"/>
        <v>37926</v>
      </c>
      <c r="B353" s="324">
        <f t="array" ref="B353">SUM(IF(MONTH(NymexData!$AO$12:$AO$250)&amp;YEAR(NymexData!$AO$12:$AO$250)=MONTH(A353)&amp;YEAR(A353),NymexData!$AP$12:$AP$250))</f>
        <v>22.207545758929999</v>
      </c>
      <c r="C353" s="324">
        <f t="shared" si="97"/>
        <v>0</v>
      </c>
      <c r="D353" s="326">
        <f t="shared" si="98"/>
        <v>22.207545758929999</v>
      </c>
      <c r="E353" s="327">
        <f t="array" ref="E353">SUM(IF(MONTH(NymexData!$A$12:$A$250)&amp;YEAR(NymexData!$A$12:$A$250)=MONTH(A353)&amp;YEAR(A353),NymexData!$F$12:$F$250))</f>
        <v>5.051492312401237</v>
      </c>
      <c r="F353" s="327">
        <f t="shared" si="99"/>
        <v>-0.10879657316894864</v>
      </c>
      <c r="G353" s="328">
        <f t="array" ref="G353">IF(NymexData!$H$12="",GasPosn!E353,SUM(IF(MONTH(NymexData!$H$12:$H$250)&amp;YEAR(NymexData!$H$12:$H$250)=MONTH(A353)&amp;YEAR(A353),NymexData!$L$12:$L$250)))</f>
        <v>4.9426957392322883</v>
      </c>
      <c r="H353" s="99">
        <f t="shared" si="100"/>
        <v>-24161.048770642028</v>
      </c>
      <c r="I353" s="92">
        <f t="shared" si="101"/>
        <v>0</v>
      </c>
      <c r="J353" s="92">
        <f t="shared" si="94"/>
        <v>-24161.048770642028</v>
      </c>
      <c r="O353" s="47">
        <f t="shared" si="95"/>
        <v>37926</v>
      </c>
      <c r="BD353" s="48">
        <f t="shared" si="102"/>
        <v>0</v>
      </c>
      <c r="BE353" s="334">
        <f t="shared" si="103"/>
        <v>0</v>
      </c>
      <c r="BF353" s="50"/>
      <c r="BG353" s="51">
        <f t="shared" si="96"/>
        <v>37926</v>
      </c>
      <c r="BH353" s="335">
        <f t="shared" si="104"/>
        <v>0</v>
      </c>
      <c r="BI353" s="52">
        <f>VLOOKUP(GasPosn!A353,'Pricing Summary'!$AB$12:$AD$250,3)</f>
        <v>30</v>
      </c>
      <c r="BJ353" s="50">
        <f>VLOOKUP(A353,Interest!$AF$8:$AK$367,6)</f>
        <v>0.93538000488636297</v>
      </c>
      <c r="BK353" s="50"/>
      <c r="BL353">
        <f>H353/VLOOKUP(A353,NymexData!$J$12:$K$128,2)</f>
        <v>-15335.727642730499</v>
      </c>
      <c r="BM353">
        <f>I353/VLOOKUP(A353,NymexData!$J$12:$K$128,2)</f>
        <v>0</v>
      </c>
      <c r="BO353">
        <f t="shared" si="105"/>
        <v>0.93538000488636297</v>
      </c>
      <c r="BP353">
        <f t="shared" si="106"/>
        <v>4.6232987647149031</v>
      </c>
      <c r="BQ353">
        <f t="shared" si="107"/>
        <v>1</v>
      </c>
      <c r="BR353">
        <f t="shared" si="108"/>
        <v>0.93538000488636297</v>
      </c>
      <c r="BS353">
        <f t="shared" si="109"/>
        <v>4.6232987647149031</v>
      </c>
    </row>
    <row r="354" spans="1:71" ht="18" x14ac:dyDescent="0.25">
      <c r="A354" s="100">
        <f t="shared" si="110"/>
        <v>37956</v>
      </c>
      <c r="B354" s="329">
        <f t="array" ref="B354">SUM(IF(MONTH(NymexData!$AO$12:$AO$250)&amp;YEAR(NymexData!$AO$12:$AO$250)=MONTH(A354)&amp;YEAR(A354),NymexData!$AP$12:$AP$250))</f>
        <v>22.865119901974001</v>
      </c>
      <c r="C354" s="330">
        <f t="shared" si="97"/>
        <v>0</v>
      </c>
      <c r="D354" s="331">
        <f t="shared" si="98"/>
        <v>22.865119901974001</v>
      </c>
      <c r="E354" s="332">
        <f t="array" ref="E354">SUM(IF(MONTH(NymexData!$A$12:$A$250)&amp;YEAR(NymexData!$A$12:$A$250)=MONTH(A354)&amp;YEAR(A354),NymexData!$F$12:$F$250))</f>
        <v>5.2696883724052306</v>
      </c>
      <c r="F354" s="332">
        <f t="shared" si="99"/>
        <v>-0.10077819902187368</v>
      </c>
      <c r="G354" s="333">
        <f t="array" ref="G354">IF(NymexData!$H$12="",GasPosn!E354,SUM(IF(MONTH(NymexData!$H$12:$H$250)&amp;YEAR(NymexData!$H$12:$H$250)=MONTH(A354)&amp;YEAR(A354),NymexData!$L$12:$L$250)))</f>
        <v>5.1689101733833569</v>
      </c>
      <c r="H354" s="85">
        <f t="shared" si="100"/>
        <v>-23043.056041401407</v>
      </c>
      <c r="I354" s="88">
        <f t="shared" si="101"/>
        <v>0</v>
      </c>
      <c r="J354" s="88">
        <f t="shared" si="94"/>
        <v>-23043.056041401407</v>
      </c>
      <c r="O354" s="47">
        <f t="shared" si="95"/>
        <v>37956</v>
      </c>
      <c r="BD354" s="48">
        <f t="shared" si="102"/>
        <v>0</v>
      </c>
      <c r="BE354" s="334">
        <f t="shared" si="103"/>
        <v>0</v>
      </c>
      <c r="BF354" s="50"/>
      <c r="BG354" s="51">
        <f t="shared" si="96"/>
        <v>37956</v>
      </c>
      <c r="BH354" s="335">
        <f t="shared" si="104"/>
        <v>0</v>
      </c>
      <c r="BI354" s="52">
        <f>VLOOKUP(GasPosn!A354,'Pricing Summary'!$AB$12:$AD$250,3)</f>
        <v>31</v>
      </c>
      <c r="BJ354" s="50">
        <f>VLOOKUP(A354,Interest!$AF$8:$AK$367,6)</f>
        <v>0.93168266894648055</v>
      </c>
      <c r="BK354" s="50"/>
      <c r="BL354">
        <f>H354/VLOOKUP(A354,NymexData!$J$12:$K$128,2)</f>
        <v>-14628.25906391265</v>
      </c>
      <c r="BM354">
        <f>I354/VLOOKUP(A354,NymexData!$J$12:$K$128,2)</f>
        <v>0</v>
      </c>
      <c r="BO354">
        <f t="shared" si="105"/>
        <v>0.93168266894648055</v>
      </c>
      <c r="BP354">
        <f t="shared" si="106"/>
        <v>4.8157840258824214</v>
      </c>
      <c r="BQ354">
        <f t="shared" si="107"/>
        <v>1</v>
      </c>
      <c r="BR354">
        <f t="shared" si="108"/>
        <v>0.93168266894648055</v>
      </c>
      <c r="BS354">
        <f t="shared" si="109"/>
        <v>4.8157840258824214</v>
      </c>
    </row>
    <row r="355" spans="1:71" ht="18" x14ac:dyDescent="0.25">
      <c r="A355" s="98">
        <f t="shared" si="110"/>
        <v>37987</v>
      </c>
      <c r="B355" s="324">
        <f t="array" ref="B355">SUM(IF(MONTH(NymexData!$AO$12:$AO$250)&amp;YEAR(NymexData!$AO$12:$AO$250)=MONTH(A355)&amp;YEAR(A355),NymexData!$AP$12:$AP$250))</f>
        <v>7.9370017693540005</v>
      </c>
      <c r="C355" s="324">
        <f t="shared" si="97"/>
        <v>0</v>
      </c>
      <c r="D355" s="326">
        <f t="shared" si="98"/>
        <v>7.9370017693540005</v>
      </c>
      <c r="E355" s="327">
        <f t="array" ref="E355">SUM(IF(MONTH(NymexData!$A$12:$A$250)&amp;YEAR(NymexData!$A$12:$A$250)=MONTH(A355)&amp;YEAR(A355),NymexData!$F$12:$F$250))</f>
        <v>5.3281423296327306</v>
      </c>
      <c r="F355" s="327">
        <f t="shared" si="99"/>
        <v>-8.5433444871706676E-2</v>
      </c>
      <c r="G355" s="328">
        <f t="array" ref="G355">IF(NymexData!$H$12="",GasPosn!E355,SUM(IF(MONTH(NymexData!$H$12:$H$250)&amp;YEAR(NymexData!$H$12:$H$250)=MONTH(A355)&amp;YEAR(A355),NymexData!$L$12:$L$250)))</f>
        <v>5.2427088847610239</v>
      </c>
      <c r="H355" s="99">
        <f t="shared" si="100"/>
        <v>-6780.8540310874341</v>
      </c>
      <c r="I355" s="92">
        <f t="shared" si="101"/>
        <v>0</v>
      </c>
      <c r="J355" s="92">
        <f t="shared" si="94"/>
        <v>-6780.8540310874341</v>
      </c>
      <c r="O355" s="47">
        <f t="shared" si="95"/>
        <v>37987</v>
      </c>
      <c r="BD355" s="48">
        <f t="shared" si="102"/>
        <v>0</v>
      </c>
      <c r="BE355" s="334">
        <f t="shared" si="103"/>
        <v>0</v>
      </c>
      <c r="BF355" s="25"/>
      <c r="BG355" s="51">
        <f t="shared" si="96"/>
        <v>37987</v>
      </c>
      <c r="BH355" s="335">
        <f t="shared" si="104"/>
        <v>0</v>
      </c>
      <c r="BI355" s="52">
        <f>VLOOKUP(GasPosn!A355,'Pricing Summary'!$AB$12:$AD$250,3)</f>
        <v>31</v>
      </c>
      <c r="BJ355" s="50">
        <f>VLOOKUP(A355,Interest!$AF$8:$AK$367,6)</f>
        <v>0.92787870903644309</v>
      </c>
      <c r="BK355" s="50"/>
      <c r="BL355">
        <f>H355/VLOOKUP(A355,NymexData!$J$12:$K$128,2)</f>
        <v>-4305.3419236415475</v>
      </c>
      <c r="BM355">
        <f>I355/VLOOKUP(A355,NymexData!$J$12:$K$128,2)</f>
        <v>0</v>
      </c>
      <c r="BO355">
        <f t="shared" si="105"/>
        <v>0.92787870903644309</v>
      </c>
      <c r="BP355">
        <f t="shared" si="106"/>
        <v>4.8645979518459495</v>
      </c>
      <c r="BQ355">
        <f t="shared" si="107"/>
        <v>1</v>
      </c>
      <c r="BR355">
        <f t="shared" si="108"/>
        <v>0.92787870903644309</v>
      </c>
      <c r="BS355">
        <f t="shared" si="109"/>
        <v>4.8645979518459495</v>
      </c>
    </row>
    <row r="356" spans="1:71" ht="18" x14ac:dyDescent="0.25">
      <c r="A356" s="100">
        <f t="shared" si="110"/>
        <v>38018</v>
      </c>
      <c r="B356" s="329">
        <f t="array" ref="B356">SUM(IF(MONTH(NymexData!$AO$12:$AO$250)&amp;YEAR(NymexData!$AO$12:$AO$250)=MONTH(A356)&amp;YEAR(A356),NymexData!$AP$12:$AP$250))</f>
        <v>7.3961115117820002</v>
      </c>
      <c r="C356" s="330">
        <f t="shared" si="97"/>
        <v>0</v>
      </c>
      <c r="D356" s="331">
        <f t="shared" si="98"/>
        <v>7.3961115117820002</v>
      </c>
      <c r="E356" s="332">
        <f t="array" ref="E356">SUM(IF(MONTH(NymexData!$A$12:$A$250)&amp;YEAR(NymexData!$A$12:$A$250)=MONTH(A356)&amp;YEAR(A356),NymexData!$F$12:$F$250))</f>
        <v>5.1971882133493956</v>
      </c>
      <c r="F356" s="332">
        <f t="shared" si="99"/>
        <v>-8.6726567005873889E-2</v>
      </c>
      <c r="G356" s="333">
        <f t="array" ref="G356">IF(NymexData!$H$12="",GasPosn!E356,SUM(IF(MONTH(NymexData!$H$12:$H$250)&amp;YEAR(NymexData!$H$12:$H$250)=MONTH(A356)&amp;YEAR(A356),NymexData!$L$12:$L$250)))</f>
        <v>5.1104616463435217</v>
      </c>
      <c r="H356" s="85">
        <f t="shared" si="100"/>
        <v>-6414.393606094769</v>
      </c>
      <c r="I356" s="88">
        <f t="shared" si="101"/>
        <v>0</v>
      </c>
      <c r="J356" s="88">
        <f t="shared" si="94"/>
        <v>-6414.393606094769</v>
      </c>
      <c r="O356" s="47">
        <f t="shared" si="95"/>
        <v>38018</v>
      </c>
      <c r="BD356" s="48">
        <f t="shared" si="102"/>
        <v>0</v>
      </c>
      <c r="BE356" s="334">
        <f t="shared" si="103"/>
        <v>0</v>
      </c>
      <c r="BF356" s="25"/>
      <c r="BG356" s="51">
        <f t="shared" si="96"/>
        <v>38018</v>
      </c>
      <c r="BH356" s="335">
        <f t="shared" si="104"/>
        <v>0</v>
      </c>
      <c r="BI356" s="52">
        <f>VLOOKUP(GasPosn!A356,'Pricing Summary'!$AB$12:$AD$250,3)</f>
        <v>29</v>
      </c>
      <c r="BJ356" s="50">
        <f>VLOOKUP(A356,Interest!$AF$8:$AK$367,6)</f>
        <v>0.92417833087541357</v>
      </c>
      <c r="BK356" s="50"/>
      <c r="BL356">
        <f>H356/VLOOKUP(A356,NymexData!$J$12:$K$128,2)</f>
        <v>-4073.3686547105822</v>
      </c>
      <c r="BM356">
        <f>I356/VLOOKUP(A356,NymexData!$J$12:$K$128,2)</f>
        <v>0</v>
      </c>
      <c r="BO356">
        <f t="shared" si="105"/>
        <v>0.92417833087541357</v>
      </c>
      <c r="BP356">
        <f t="shared" si="106"/>
        <v>4.7229779143205741</v>
      </c>
      <c r="BQ356">
        <f t="shared" si="107"/>
        <v>1</v>
      </c>
      <c r="BR356">
        <f t="shared" si="108"/>
        <v>0.92417833087541357</v>
      </c>
      <c r="BS356">
        <f t="shared" si="109"/>
        <v>4.7229779143205741</v>
      </c>
    </row>
    <row r="357" spans="1:71" ht="18" x14ac:dyDescent="0.25">
      <c r="A357" s="98">
        <f t="shared" si="110"/>
        <v>38047</v>
      </c>
      <c r="B357" s="324">
        <f t="array" ref="B357">SUM(IF(MONTH(NymexData!$AO$12:$AO$250)&amp;YEAR(NymexData!$AO$12:$AO$250)=MONTH(A357)&amp;YEAR(A357),NymexData!$AP$12:$AP$250))</f>
        <v>7.8768954021380004</v>
      </c>
      <c r="C357" s="324">
        <f t="shared" si="97"/>
        <v>0</v>
      </c>
      <c r="D357" s="326">
        <f t="shared" si="98"/>
        <v>7.8768954021380004</v>
      </c>
      <c r="E357" s="327">
        <f t="array" ref="E357">SUM(IF(MONTH(NymexData!$A$12:$A$250)&amp;YEAR(NymexData!$A$12:$A$250)=MONTH(A357)&amp;YEAR(A357),NymexData!$F$12:$F$250))</f>
        <v>4.9887779810299158</v>
      </c>
      <c r="F357" s="327">
        <f t="shared" si="99"/>
        <v>-8.6643049353548385E-2</v>
      </c>
      <c r="G357" s="328">
        <f t="array" ref="G357">IF(NymexData!$H$12="",GasPosn!E357,SUM(IF(MONTH(NymexData!$H$12:$H$250)&amp;YEAR(NymexData!$H$12:$H$250)=MONTH(A357)&amp;YEAR(A357),NymexData!$L$12:$L$250)))</f>
        <v>4.9021349316763674</v>
      </c>
      <c r="H357" s="99">
        <f t="shared" si="100"/>
        <v>-6824.7823708018113</v>
      </c>
      <c r="I357" s="92">
        <f t="shared" si="101"/>
        <v>0</v>
      </c>
      <c r="J357" s="92">
        <f t="shared" si="94"/>
        <v>-6824.7823708018113</v>
      </c>
      <c r="O357" s="47">
        <f t="shared" si="95"/>
        <v>38047</v>
      </c>
      <c r="BD357" s="48">
        <f t="shared" si="102"/>
        <v>0</v>
      </c>
      <c r="BE357" s="334">
        <f t="shared" si="103"/>
        <v>0</v>
      </c>
      <c r="BF357" s="25"/>
      <c r="BG357" s="51">
        <f t="shared" si="96"/>
        <v>38047</v>
      </c>
      <c r="BH357" s="335">
        <f t="shared" si="104"/>
        <v>0</v>
      </c>
      <c r="BI357" s="52">
        <f>VLOOKUP(GasPosn!A357,'Pricing Summary'!$AB$12:$AD$250,3)</f>
        <v>31</v>
      </c>
      <c r="BJ357" s="50">
        <f>VLOOKUP(A357,Interest!$AF$8:$AK$367,6)</f>
        <v>0.92032113409702609</v>
      </c>
      <c r="BK357" s="50"/>
      <c r="BL357">
        <f>H357/VLOOKUP(A357,NymexData!$J$12:$K$128,2)</f>
        <v>-4334.7435426909497</v>
      </c>
      <c r="BM357">
        <f>I357/VLOOKUP(A357,NymexData!$J$12:$K$128,2)</f>
        <v>0</v>
      </c>
      <c r="BO357">
        <f t="shared" si="105"/>
        <v>0.92032113409702609</v>
      </c>
      <c r="BP357">
        <f t="shared" si="106"/>
        <v>4.5115383798170416</v>
      </c>
      <c r="BQ357">
        <f t="shared" si="107"/>
        <v>1</v>
      </c>
      <c r="BR357">
        <f t="shared" si="108"/>
        <v>0.92032113409702609</v>
      </c>
      <c r="BS357">
        <f t="shared" si="109"/>
        <v>4.5115383798170416</v>
      </c>
    </row>
    <row r="358" spans="1:71" ht="18" x14ac:dyDescent="0.25">
      <c r="A358" s="100">
        <f t="shared" si="110"/>
        <v>38078</v>
      </c>
      <c r="B358" s="329">
        <f t="array" ref="B358">SUM(IF(MONTH(NymexData!$AO$12:$AO$250)&amp;YEAR(NymexData!$AO$12:$AO$250)=MONTH(A358)&amp;YEAR(A358),NymexData!$AP$12:$AP$250))</f>
        <v>7.5920226248020004</v>
      </c>
      <c r="C358" s="330">
        <f t="shared" si="97"/>
        <v>0</v>
      </c>
      <c r="D358" s="331">
        <f t="shared" si="98"/>
        <v>7.5920226248020004</v>
      </c>
      <c r="E358" s="332">
        <f t="array" ref="E358">SUM(IF(MONTH(NymexData!$A$12:$A$250)&amp;YEAR(NymexData!$A$12:$A$250)=MONTH(A358)&amp;YEAR(A358),NymexData!$F$12:$F$250))</f>
        <v>4.706172891571013</v>
      </c>
      <c r="F358" s="332">
        <f t="shared" si="99"/>
        <v>-8.6667212246186232E-2</v>
      </c>
      <c r="G358" s="333">
        <f t="array" ref="G358">IF(NymexData!$H$12="",GasPosn!E358,SUM(IF(MONTH(NymexData!$H$12:$H$250)&amp;YEAR(NymexData!$H$12:$H$250)=MONTH(A358)&amp;YEAR(A358),NymexData!$L$12:$L$250)))</f>
        <v>4.6195056793248268</v>
      </c>
      <c r="H358" s="85">
        <f t="shared" si="100"/>
        <v>-6579.7943620156284</v>
      </c>
      <c r="I358" s="88">
        <f t="shared" si="101"/>
        <v>0</v>
      </c>
      <c r="J358" s="88">
        <f t="shared" si="94"/>
        <v>-6579.7943620156284</v>
      </c>
      <c r="O358" s="47">
        <f t="shared" si="95"/>
        <v>38078</v>
      </c>
      <c r="BD358" s="48">
        <f t="shared" si="102"/>
        <v>0</v>
      </c>
      <c r="BE358" s="334">
        <f t="shared" si="103"/>
        <v>0</v>
      </c>
      <c r="BF358" s="25"/>
      <c r="BG358" s="51">
        <f t="shared" si="96"/>
        <v>38078</v>
      </c>
      <c r="BH358" s="335">
        <f t="shared" si="104"/>
        <v>0</v>
      </c>
      <c r="BI358" s="52">
        <f>VLOOKUP(GasPosn!A358,'Pricing Summary'!$AB$12:$AD$250,3)</f>
        <v>30</v>
      </c>
      <c r="BJ358" s="50">
        <f>VLOOKUP(A358,Interest!$AF$8:$AK$367,6)</f>
        <v>0.91646970858551369</v>
      </c>
      <c r="BK358" s="50"/>
      <c r="BL358">
        <f>H358/VLOOKUP(A358,NymexData!$J$12:$K$128,2)</f>
        <v>-4179.6725199707489</v>
      </c>
      <c r="BM358">
        <f>I358/VLOOKUP(A358,NymexData!$J$12:$K$128,2)</f>
        <v>0</v>
      </c>
      <c r="BO358">
        <f t="shared" si="105"/>
        <v>0.91646970858551369</v>
      </c>
      <c r="BP358">
        <f t="shared" si="106"/>
        <v>4.2336370237399494</v>
      </c>
      <c r="BQ358">
        <f t="shared" si="107"/>
        <v>1</v>
      </c>
      <c r="BR358">
        <f t="shared" si="108"/>
        <v>0.91646970858551369</v>
      </c>
      <c r="BS358">
        <f t="shared" si="109"/>
        <v>4.2336370237399494</v>
      </c>
    </row>
    <row r="359" spans="1:71" ht="18" x14ac:dyDescent="0.25">
      <c r="A359" s="98">
        <f t="shared" si="110"/>
        <v>38108</v>
      </c>
      <c r="B359" s="324">
        <f t="array" ref="B359">SUM(IF(MONTH(NymexData!$AO$12:$AO$250)&amp;YEAR(NymexData!$AO$12:$AO$250)=MONTH(A359)&amp;YEAR(A359),NymexData!$AP$12:$AP$250))</f>
        <v>7.8138330173260009</v>
      </c>
      <c r="C359" s="324">
        <f t="shared" si="97"/>
        <v>0</v>
      </c>
      <c r="D359" s="326">
        <f t="shared" si="98"/>
        <v>7.8138330173260009</v>
      </c>
      <c r="E359" s="327">
        <f t="array" ref="E359">SUM(IF(MONTH(NymexData!$A$12:$A$250)&amp;YEAR(NymexData!$A$12:$A$250)=MONTH(A359)&amp;YEAR(A359),NymexData!$F$12:$F$250))</f>
        <v>4.7130996264159704</v>
      </c>
      <c r="F359" s="327">
        <f t="shared" si="99"/>
        <v>-8.6374053009685703E-2</v>
      </c>
      <c r="G359" s="328">
        <f t="array" ref="G359">IF(NymexData!$H$12="",GasPosn!E359,SUM(IF(MONTH(NymexData!$H$12:$H$250)&amp;YEAR(NymexData!$H$12:$H$250)=MONTH(A359)&amp;YEAR(A359),NymexData!$L$12:$L$250)))</f>
        <v>4.6267255734062847</v>
      </c>
      <c r="H359" s="99">
        <f t="shared" si="100"/>
        <v>-6749.1242724734839</v>
      </c>
      <c r="I359" s="92">
        <f t="shared" si="101"/>
        <v>0</v>
      </c>
      <c r="J359" s="92">
        <f t="shared" si="94"/>
        <v>-6749.1242724734839</v>
      </c>
      <c r="O359" s="47">
        <f t="shared" si="95"/>
        <v>38108</v>
      </c>
      <c r="BD359" s="48">
        <f t="shared" si="102"/>
        <v>0</v>
      </c>
      <c r="BE359" s="334">
        <f t="shared" si="103"/>
        <v>0</v>
      </c>
      <c r="BF359" s="25"/>
      <c r="BG359" s="51">
        <f t="shared" si="96"/>
        <v>38108</v>
      </c>
      <c r="BH359" s="335">
        <f t="shared" si="104"/>
        <v>0</v>
      </c>
      <c r="BI359" s="52">
        <f>VLOOKUP(GasPosn!A359,'Pricing Summary'!$AB$12:$AD$250,3)</f>
        <v>31</v>
      </c>
      <c r="BJ359" s="50">
        <f>VLOOKUP(A359,Interest!$AF$8:$AK$367,6)</f>
        <v>0.91258764301378226</v>
      </c>
      <c r="BK359" s="50"/>
      <c r="BL359">
        <f>H359/VLOOKUP(A359,NymexData!$J$12:$K$128,2)</f>
        <v>-4287.4585926438431</v>
      </c>
      <c r="BM359">
        <f>I359/VLOOKUP(A359,NymexData!$J$12:$K$128,2)</f>
        <v>0</v>
      </c>
      <c r="BO359">
        <f t="shared" si="105"/>
        <v>0.91258764301378226</v>
      </c>
      <c r="BP359">
        <f t="shared" si="106"/>
        <v>4.2222925859064313</v>
      </c>
      <c r="BQ359">
        <f t="shared" si="107"/>
        <v>1</v>
      </c>
      <c r="BR359">
        <f t="shared" si="108"/>
        <v>0.91258764301378226</v>
      </c>
      <c r="BS359">
        <f t="shared" si="109"/>
        <v>4.2222925859064313</v>
      </c>
    </row>
    <row r="360" spans="1:71" ht="18" x14ac:dyDescent="0.25">
      <c r="A360" s="100">
        <f t="shared" si="110"/>
        <v>38139</v>
      </c>
      <c r="B360" s="329">
        <f t="array" ref="B360">SUM(IF(MONTH(NymexData!$AO$12:$AO$250)&amp;YEAR(NymexData!$AO$12:$AO$250)=MONTH(A360)&amp;YEAR(A360),NymexData!$AP$12:$AP$250))</f>
        <v>7.5300462576639999</v>
      </c>
      <c r="C360" s="330">
        <f t="shared" si="97"/>
        <v>0</v>
      </c>
      <c r="D360" s="331">
        <f t="shared" si="98"/>
        <v>7.5300462576639999</v>
      </c>
      <c r="E360" s="332">
        <f t="array" ref="E360">SUM(IF(MONTH(NymexData!$A$12:$A$250)&amp;YEAR(NymexData!$A$12:$A$250)=MONTH(A360)&amp;YEAR(A360),NymexData!$F$12:$F$250))</f>
        <v>4.7691394113950798</v>
      </c>
      <c r="F360" s="332">
        <f t="shared" si="99"/>
        <v>-8.5994048598712958E-2</v>
      </c>
      <c r="G360" s="333">
        <f t="array" ref="G360">IF(NymexData!$H$12="",GasPosn!E360,SUM(IF(MONTH(NymexData!$H$12:$H$250)&amp;YEAR(NymexData!$H$12:$H$250)=MONTH(A360)&amp;YEAR(A360),NymexData!$L$12:$L$250)))</f>
        <v>4.6831453627963668</v>
      </c>
      <c r="H360" s="85">
        <f t="shared" si="100"/>
        <v>-6475.3916383211463</v>
      </c>
      <c r="I360" s="88">
        <f t="shared" si="101"/>
        <v>0</v>
      </c>
      <c r="J360" s="88">
        <f t="shared" si="94"/>
        <v>-6475.3916383211463</v>
      </c>
      <c r="O360" s="47">
        <f t="shared" si="95"/>
        <v>38139</v>
      </c>
      <c r="BD360" s="48">
        <f t="shared" si="102"/>
        <v>0</v>
      </c>
      <c r="BE360" s="334">
        <f t="shared" si="103"/>
        <v>0</v>
      </c>
      <c r="BF360" s="25"/>
      <c r="BG360" s="51">
        <f t="shared" si="96"/>
        <v>38139</v>
      </c>
      <c r="BH360" s="335">
        <f t="shared" si="104"/>
        <v>0</v>
      </c>
      <c r="BI360" s="52">
        <f>VLOOKUP(GasPosn!A360,'Pricing Summary'!$AB$12:$AD$250,3)</f>
        <v>30</v>
      </c>
      <c r="BJ360" s="50">
        <f>VLOOKUP(A360,Interest!$AF$8:$AK$367,6)</f>
        <v>0.90869195842263595</v>
      </c>
      <c r="BK360" s="50"/>
      <c r="BL360">
        <f>H360/VLOOKUP(A360,NymexData!$J$12:$K$128,2)</f>
        <v>-4113.8097760487608</v>
      </c>
      <c r="BM360">
        <f>I360/VLOOKUP(A360,NymexData!$J$12:$K$128,2)</f>
        <v>0</v>
      </c>
      <c r="BO360">
        <f t="shared" si="105"/>
        <v>0.90869195842263595</v>
      </c>
      <c r="BP360">
        <f t="shared" si="106"/>
        <v>4.2555365312973166</v>
      </c>
      <c r="BQ360">
        <f t="shared" si="107"/>
        <v>1</v>
      </c>
      <c r="BR360">
        <f t="shared" si="108"/>
        <v>0.90869195842263595</v>
      </c>
      <c r="BS360">
        <f t="shared" si="109"/>
        <v>4.2555365312973166</v>
      </c>
    </row>
    <row r="361" spans="1:71" ht="18" x14ac:dyDescent="0.25">
      <c r="A361" s="98">
        <f t="shared" si="110"/>
        <v>38169</v>
      </c>
      <c r="B361" s="324">
        <f t="array" ref="B361">SUM(IF(MONTH(NymexData!$AO$12:$AO$250)&amp;YEAR(NymexData!$AO$12:$AO$250)=MONTH(A361)&amp;YEAR(A361),NymexData!$AP$12:$AP$250))</f>
        <v>7.7488566167600004</v>
      </c>
      <c r="C361" s="324">
        <f t="shared" si="97"/>
        <v>0</v>
      </c>
      <c r="D361" s="326">
        <f t="shared" si="98"/>
        <v>7.7488566167600004</v>
      </c>
      <c r="E361" s="327">
        <f t="array" ref="E361">SUM(IF(MONTH(NymexData!$A$12:$A$250)&amp;YEAR(NymexData!$A$12:$A$250)=MONTH(A361)&amp;YEAR(A361),NymexData!$F$12:$F$250))</f>
        <v>4.8358134863055176</v>
      </c>
      <c r="F361" s="327">
        <f t="shared" si="99"/>
        <v>-8.5610611419001614E-2</v>
      </c>
      <c r="G361" s="328">
        <f t="array" ref="G361">IF(NymexData!$H$12="",GasPosn!E361,SUM(IF(MONTH(NymexData!$H$12:$H$250)&amp;YEAR(NymexData!$H$12:$H$250)=MONTH(A361)&amp;YEAR(A361),NymexData!$L$12:$L$250)))</f>
        <v>4.7502028748865159</v>
      </c>
      <c r="H361" s="99">
        <f t="shared" si="100"/>
        <v>-6633.8435275899992</v>
      </c>
      <c r="I361" s="92">
        <f t="shared" si="101"/>
        <v>0</v>
      </c>
      <c r="J361" s="92">
        <f t="shared" si="94"/>
        <v>-6633.8435275899992</v>
      </c>
      <c r="O361" s="47">
        <f t="shared" si="95"/>
        <v>38169</v>
      </c>
      <c r="BD361" s="48">
        <f t="shared" si="102"/>
        <v>0</v>
      </c>
      <c r="BE361" s="334">
        <f t="shared" si="103"/>
        <v>0</v>
      </c>
      <c r="BF361" s="25"/>
      <c r="BG361" s="51">
        <f t="shared" si="96"/>
        <v>38169</v>
      </c>
      <c r="BH361" s="335">
        <f t="shared" si="104"/>
        <v>0</v>
      </c>
      <c r="BI361" s="52">
        <f>VLOOKUP(GasPosn!A361,'Pricing Summary'!$AB$12:$AD$250,3)</f>
        <v>31</v>
      </c>
      <c r="BJ361" s="50">
        <f>VLOOKUP(A361,Interest!$AF$8:$AK$367,6)</f>
        <v>0.90473425468668633</v>
      </c>
      <c r="BK361" s="50"/>
      <c r="BL361">
        <f>H361/VLOOKUP(A361,NymexData!$J$12:$K$128,2)</f>
        <v>-4214.5442002787386</v>
      </c>
      <c r="BM361">
        <f>I361/VLOOKUP(A361,NymexData!$J$12:$K$128,2)</f>
        <v>0</v>
      </c>
      <c r="BO361">
        <f t="shared" si="105"/>
        <v>0.90473425468668633</v>
      </c>
      <c r="BP361">
        <f t="shared" si="106"/>
        <v>4.2976712576210065</v>
      </c>
      <c r="BQ361">
        <f t="shared" si="107"/>
        <v>1</v>
      </c>
      <c r="BR361">
        <f t="shared" si="108"/>
        <v>0.90473425468668633</v>
      </c>
      <c r="BS361">
        <f t="shared" si="109"/>
        <v>4.2976712576210065</v>
      </c>
    </row>
    <row r="362" spans="1:71" ht="18" x14ac:dyDescent="0.25">
      <c r="A362" s="100">
        <f t="shared" si="110"/>
        <v>38200</v>
      </c>
      <c r="B362" s="329">
        <f t="array" ref="B362">SUM(IF(MONTH(NymexData!$AO$12:$AO$250)&amp;YEAR(NymexData!$AO$12:$AO$250)=MONTH(A362)&amp;YEAR(A362),NymexData!$AP$12:$AP$250))</f>
        <v>7.7151208510320002</v>
      </c>
      <c r="C362" s="330">
        <f t="shared" si="97"/>
        <v>0</v>
      </c>
      <c r="D362" s="331">
        <f t="shared" si="98"/>
        <v>7.7151208510320002</v>
      </c>
      <c r="E362" s="332">
        <f t="array" ref="E362">SUM(IF(MONTH(NymexData!$A$12:$A$250)&amp;YEAR(NymexData!$A$12:$A$250)=MONTH(A362)&amp;YEAR(A362),NymexData!$F$12:$F$250))</f>
        <v>4.8922858403713612</v>
      </c>
      <c r="F362" s="332">
        <f t="shared" si="99"/>
        <v>-8.5236546080186493E-2</v>
      </c>
      <c r="G362" s="333">
        <f t="array" ref="G362">IF(NymexData!$H$12="",GasPosn!E362,SUM(IF(MONTH(NymexData!$H$12:$H$250)&amp;YEAR(NymexData!$H$12:$H$250)=MONTH(A362)&amp;YEAR(A362),NymexData!$L$12:$L$250)))</f>
        <v>4.8070492942911747</v>
      </c>
      <c r="H362" s="85">
        <f t="shared" si="100"/>
        <v>-6576.1025393319678</v>
      </c>
      <c r="I362" s="88">
        <f t="shared" si="101"/>
        <v>0</v>
      </c>
      <c r="J362" s="88">
        <f t="shared" si="94"/>
        <v>-6576.1025393319678</v>
      </c>
      <c r="O362" s="47">
        <f t="shared" si="95"/>
        <v>38200</v>
      </c>
      <c r="BD362" s="48">
        <f>(P362+R362+T362+V362+X362+Z362+AB362+AD362+AF362+AH362+AJ362+AL362+AN362+AP362+AR362+AT362+AV362+AX362+AZ362+BB362)</f>
        <v>0</v>
      </c>
      <c r="BE362" s="334">
        <f>IF(AND(BD362=0,BH362=0),0,(ABS(P362)*Q362+ABS(R362)*S362+ABS(T362)*U362+ABS(V362)*W362+ABS(X362)*Y362+ABS(Z362)*AA362+ABS(AB362)*AC362+ABS(AD362)*AE362+ABS(AF362)*AG362+ABS(AH362)*AI362+ABS(AJ362)*AK362+ABS(AL362)*AM362+ABS(AN362)*AO362+ABS(AP362)*AQ362+ABS(AR362)*AS362+ABS(AT362)*AU362+ABS(AV362)*AW362+ABS(AX362)*AY362+ABS(AZ362)*BA362+ABS(BB362)*BC362)/BH362)</f>
        <v>0</v>
      </c>
      <c r="BF362" s="25"/>
      <c r="BG362" s="51">
        <f t="shared" si="96"/>
        <v>38200</v>
      </c>
      <c r="BH362" s="335">
        <f>(ABS(P362)+ABS(R362)+ABS(T362)+ABS(V362)+ABS(X362)+ABS(Z362)+ABS(AB362)+ABS(AD362)+ABS(AF362)+ABS(AH362)+ABS(AJ362)+ABS(AL362)+ABS(AN362)+ABS(AP362)+ABS(AR362)+ABS(AT362)+ABS(AV362)+ABS(AX362)+ABS(AZ362)+ABS(BB362))</f>
        <v>0</v>
      </c>
      <c r="BI362" s="52">
        <f>VLOOKUP(GasPosn!A362,'Pricing Summary'!$AB$12:$AD$250,3)</f>
        <v>31</v>
      </c>
      <c r="BJ362" s="50">
        <f>VLOOKUP(A362,Interest!$AF$8:$AK$367,6)</f>
        <v>0.90072937745124015</v>
      </c>
      <c r="BK362" s="50"/>
      <c r="BL362">
        <f>H362/VLOOKUP(A362,NymexData!$J$12:$K$128,2)</f>
        <v>-4177.7266949601071</v>
      </c>
      <c r="BM362">
        <f>I362/VLOOKUP(A362,NymexData!$J$12:$K$128,2)</f>
        <v>0</v>
      </c>
      <c r="BO362">
        <f t="shared" si="105"/>
        <v>0.90072937745124015</v>
      </c>
      <c r="BP362">
        <f t="shared" si="106"/>
        <v>4.3298505182243128</v>
      </c>
      <c r="BQ362">
        <f t="shared" si="107"/>
        <v>1</v>
      </c>
      <c r="BR362">
        <f t="shared" si="108"/>
        <v>0.90072937745124015</v>
      </c>
      <c r="BS362">
        <f t="shared" si="109"/>
        <v>4.3298505182243128</v>
      </c>
    </row>
    <row r="363" spans="1:71" ht="18" x14ac:dyDescent="0.25">
      <c r="A363" s="98">
        <f t="shared" si="110"/>
        <v>38231</v>
      </c>
      <c r="B363" s="324">
        <f t="array" ref="B363">SUM(IF(MONTH(NymexData!$AO$12:$AO$250)&amp;YEAR(NymexData!$AO$12:$AO$250)=MONTH(A363)&amp;YEAR(A363),NymexData!$AP$12:$AP$250))</f>
        <v>7.4331420577820007</v>
      </c>
      <c r="C363" s="324">
        <f t="shared" si="97"/>
        <v>0</v>
      </c>
      <c r="D363" s="326">
        <f t="shared" si="98"/>
        <v>7.4331420577820007</v>
      </c>
      <c r="E363" s="327">
        <f t="array" ref="E363">SUM(IF(MONTH(NymexData!$A$12:$A$250)&amp;YEAR(NymexData!$A$12:$A$250)=MONTH(A363)&amp;YEAR(A363),NymexData!$F$12:$F$250))</f>
        <v>4.8832043063588211</v>
      </c>
      <c r="F363" s="327">
        <f t="shared" si="99"/>
        <v>-8.4949378731280945E-2</v>
      </c>
      <c r="G363" s="328">
        <f t="array" ref="G363">IF(NymexData!$H$12="",GasPosn!E363,SUM(IF(MONTH(NymexData!$H$12:$H$250)&amp;YEAR(NymexData!$H$12:$H$250)=MONTH(A363)&amp;YEAR(A363),NymexData!$L$12:$L$250)))</f>
        <v>4.7982549276275401</v>
      </c>
      <c r="H363" s="99">
        <f t="shared" si="100"/>
        <v>-6314.4079982993617</v>
      </c>
      <c r="I363" s="92">
        <f t="shared" si="101"/>
        <v>0</v>
      </c>
      <c r="J363" s="92">
        <f t="shared" si="94"/>
        <v>-6314.4079982993617</v>
      </c>
      <c r="O363" s="47">
        <f t="shared" si="95"/>
        <v>38231</v>
      </c>
      <c r="BD363" s="48">
        <f>(P363+R363+T363+V363+X363+Z363+AB363+AD363+AF363+AH363+AJ363+AL363+AN363+AP363+AR363+AT363+AV363+AX363+AZ363+BB363)</f>
        <v>0</v>
      </c>
      <c r="BE363" s="334">
        <f>IF(AND(BD363=0,BH363=0),0,(ABS(P363)*Q363+ABS(R363)*S363+ABS(T363)*U363+ABS(V363)*W363+ABS(X363)*Y363+ABS(Z363)*AA363+ABS(AB363)*AC363+ABS(AD363)*AE363+ABS(AF363)*AG363+ABS(AH363)*AI363+ABS(AJ363)*AK363+ABS(AL363)*AM363+ABS(AN363)*AO363+ABS(AP363)*AQ363+ABS(AR363)*AS363+ABS(AT363)*AU363+ABS(AV363)*AW363+ABS(AX363)*AY363+ABS(AZ363)*BA363+ABS(BB363)*BC363)/BH363)</f>
        <v>0</v>
      </c>
      <c r="BF363" s="25"/>
      <c r="BG363" s="51">
        <f t="shared" si="96"/>
        <v>38231</v>
      </c>
      <c r="BH363" s="335">
        <f>(ABS(P363)+ABS(R363)+ABS(T363)+ABS(V363)+ABS(X363)+ABS(Z363)+ABS(AB363)+ABS(AD363)+ABS(AF363)+ABS(AH363)+ABS(AJ363)+ABS(AL363)+ABS(AN363)+ABS(AP363)+ABS(AR363)+ABS(AT363)+ABS(AV363)+ABS(AX363)+ABS(AZ363)+ABS(BB363))</f>
        <v>0</v>
      </c>
      <c r="BI363" s="52">
        <f>VLOOKUP(GasPosn!A363,'Pricing Summary'!$AB$12:$AD$250,3)</f>
        <v>30</v>
      </c>
      <c r="BJ363" s="50">
        <f>VLOOKUP(A363,Interest!$AF$8:$AK$367,6)</f>
        <v>0.89676006399607244</v>
      </c>
      <c r="BK363" s="50"/>
      <c r="BL363">
        <f>H363/VLOOKUP(A363,NymexData!$J$12:$K$128,2)</f>
        <v>-4011.3434744747947</v>
      </c>
      <c r="BM363">
        <f>I363/VLOOKUP(A363,NymexData!$J$12:$K$128,2)</f>
        <v>0</v>
      </c>
      <c r="BO363">
        <f t="shared" si="105"/>
        <v>0.89676006399607244</v>
      </c>
      <c r="BP363">
        <f t="shared" si="106"/>
        <v>4.3028833959687427</v>
      </c>
      <c r="BQ363">
        <f t="shared" si="107"/>
        <v>1</v>
      </c>
      <c r="BR363">
        <f t="shared" si="108"/>
        <v>0.89676006399607244</v>
      </c>
      <c r="BS363">
        <f t="shared" si="109"/>
        <v>4.3028833959687427</v>
      </c>
    </row>
    <row r="364" spans="1:71" ht="18" x14ac:dyDescent="0.25">
      <c r="A364" s="100">
        <f t="shared" si="110"/>
        <v>38261</v>
      </c>
      <c r="B364" s="329">
        <f t="array" ref="B364">SUM(IF(MONTH(NymexData!$AO$12:$AO$250)&amp;YEAR(NymexData!$AO$12:$AO$250)=MONTH(A364)&amp;YEAR(A364),NymexData!$AP$12:$AP$250))</f>
        <v>7.6473678229760003</v>
      </c>
      <c r="C364" s="330">
        <f t="shared" si="97"/>
        <v>0</v>
      </c>
      <c r="D364" s="331">
        <f t="shared" si="98"/>
        <v>7.6473678229760003</v>
      </c>
      <c r="E364" s="332">
        <f t="array" ref="E364">SUM(IF(MONTH(NymexData!$A$12:$A$250)&amp;YEAR(NymexData!$A$12:$A$250)=MONTH(A364)&amp;YEAR(A364),NymexData!$F$12:$F$250))</f>
        <v>4.8833301590528952</v>
      </c>
      <c r="F364" s="332">
        <f t="shared" si="99"/>
        <v>-8.4668516547922401E-2</v>
      </c>
      <c r="G364" s="333">
        <f t="array" ref="G364">IF(NymexData!$H$12="",GasPosn!E364,SUM(IF(MONTH(NymexData!$H$12:$H$250)&amp;YEAR(NymexData!$H$12:$H$250)=MONTH(A364)&amp;YEAR(A364),NymexData!$L$12:$L$250)))</f>
        <v>4.7986616425049728</v>
      </c>
      <c r="H364" s="85">
        <f t="shared" si="100"/>
        <v>-6474.9128906769274</v>
      </c>
      <c r="I364" s="88">
        <f t="shared" si="101"/>
        <v>0</v>
      </c>
      <c r="J364" s="88">
        <f t="shared" si="94"/>
        <v>-6474.9128906769274</v>
      </c>
      <c r="O364" s="47">
        <f t="shared" si="95"/>
        <v>38261</v>
      </c>
      <c r="BD364" s="48">
        <f>(P364+R364+T364+V364+X364+Z364+AB364+AD364+AF364+AH364+AJ364+AL364+AN364+AP364+AR364+AT364+AV364+AX364+AZ364+BB364)</f>
        <v>0</v>
      </c>
      <c r="BE364" s="334">
        <f>IF(AND(BD364=0,BH364=0),0,(ABS(P364)*Q364+ABS(R364)*S364+ABS(T364)*U364+ABS(V364)*W364+ABS(X364)*Y364+ABS(Z364)*AA364+ABS(AB364)*AC364+ABS(AD364)*AE364+ABS(AF364)*AG364+ABS(AH364)*AI364+ABS(AJ364)*AK364+ABS(AL364)*AM364+ABS(AN364)*AO364+ABS(AP364)*AQ364+ABS(AR364)*AS364+ABS(AT364)*AU364+ABS(AV364)*AW364+ABS(AX364)*AY364+ABS(AZ364)*BA364+ABS(BB364)*BC364)/BH364)</f>
        <v>0</v>
      </c>
      <c r="BF364" s="25"/>
      <c r="BG364" s="51">
        <f t="shared" si="96"/>
        <v>38261</v>
      </c>
      <c r="BH364" s="335">
        <f>(ABS(P364)+ABS(R364)+ABS(T364)+ABS(V364)+ABS(X364)+ABS(Z364)+ABS(AB364)+ABS(AD364)+ABS(AF364)+ABS(AH364)+ABS(AJ364)+ABS(AL364)+ABS(AN364)+ABS(AP364)+ABS(AR364)+ABS(AT364)+ABS(AV364)+ABS(AX364)+ABS(AZ364)+ABS(BB364))</f>
        <v>0</v>
      </c>
      <c r="BI364" s="52">
        <f>VLOOKUP(GasPosn!A364,'Pricing Summary'!$AB$12:$AD$250,3)</f>
        <v>31</v>
      </c>
      <c r="BJ364" s="50">
        <f>VLOOKUP(A364,Interest!$AF$8:$AK$367,6)</f>
        <v>0.89273900158123831</v>
      </c>
      <c r="BK364" s="50"/>
      <c r="BL364">
        <f>H364/VLOOKUP(A364,NymexData!$J$12:$K$128,2)</f>
        <v>-4112.9585236529392</v>
      </c>
      <c r="BM364">
        <f>I364/VLOOKUP(A364,NymexData!$J$12:$K$128,2)</f>
        <v>0</v>
      </c>
      <c r="BO364">
        <f t="shared" si="105"/>
        <v>0.89273900158123831</v>
      </c>
      <c r="BP364">
        <f t="shared" si="106"/>
        <v>4.283952403656075</v>
      </c>
      <c r="BQ364">
        <f t="shared" si="107"/>
        <v>1</v>
      </c>
      <c r="BR364">
        <f t="shared" si="108"/>
        <v>0.89273900158123831</v>
      </c>
      <c r="BS364">
        <f t="shared" si="109"/>
        <v>4.283952403656075</v>
      </c>
    </row>
    <row r="365" spans="1:71" ht="18" x14ac:dyDescent="0.25">
      <c r="A365" s="98">
        <f t="shared" si="110"/>
        <v>38292</v>
      </c>
      <c r="B365" s="324">
        <f t="array" ref="B365">SUM(IF(MONTH(NymexData!$AO$12:$AO$250)&amp;YEAR(NymexData!$AO$12:$AO$250)=MONTH(A365)&amp;YEAR(A365),NymexData!$AP$12:$AP$250))</f>
        <v>7.3673578662320001</v>
      </c>
      <c r="C365" s="324">
        <f t="shared" si="97"/>
        <v>0</v>
      </c>
      <c r="D365" s="326">
        <f t="shared" si="98"/>
        <v>7.3673578662320001</v>
      </c>
      <c r="E365" s="327">
        <f t="array" ref="E365">SUM(IF(MONTH(NymexData!$A$12:$A$250)&amp;YEAR(NymexData!$A$12:$A$250)=MONTH(A365)&amp;YEAR(A365),NymexData!$F$12:$F$250))</f>
        <v>5.1633673012931816</v>
      </c>
      <c r="F365" s="327">
        <f t="shared" si="99"/>
        <v>-8.2463204981779725E-2</v>
      </c>
      <c r="G365" s="328">
        <f t="array" ref="G365">IF(NymexData!$H$12="",GasPosn!E365,SUM(IF(MONTH(NymexData!$H$12:$H$250)&amp;YEAR(NymexData!$H$12:$H$250)=MONTH(A365)&amp;YEAR(A365),NymexData!$L$12:$L$250)))</f>
        <v>5.0809040963114018</v>
      </c>
      <c r="H365" s="99">
        <f t="shared" si="100"/>
        <v>-6075.3594189721671</v>
      </c>
      <c r="I365" s="92">
        <f t="shared" si="101"/>
        <v>0</v>
      </c>
      <c r="J365" s="92">
        <f t="shared" si="94"/>
        <v>-6075.3594189721671</v>
      </c>
      <c r="O365" s="47">
        <f t="shared" si="95"/>
        <v>38292</v>
      </c>
      <c r="BD365" s="48">
        <f t="shared" ref="BD365:BD396" si="115">(P365+R365+T365+V365+X365+Z365+AB365+AD365+AF365+AH365+AJ365+AL365+AN365+AP365+AR365+AT365+AV365+AX365+AZ365+BB365)</f>
        <v>0</v>
      </c>
      <c r="BE365" s="334">
        <f t="shared" ref="BE365:BE396" si="116">IF(AND(BD365=0,BH365=0),0,(ABS(P365)*Q365+ABS(R365)*S365+ABS(T365)*U365+ABS(V365)*W365+ABS(X365)*Y365+ABS(Z365)*AA365+ABS(AB365)*AC365+ABS(AD365)*AE365+ABS(AF365)*AG365+ABS(AH365)*AI365+ABS(AJ365)*AK365+ABS(AL365)*AM365+ABS(AN365)*AO365+ABS(AP365)*AQ365+ABS(AR365)*AS365+ABS(AT365)*AU365+ABS(AV365)*AW365+ABS(AX365)*AY365+ABS(AZ365)*BA365+ABS(BB365)*BC365)/BH365)</f>
        <v>0</v>
      </c>
      <c r="BG365" s="51">
        <f t="shared" si="96"/>
        <v>38292</v>
      </c>
      <c r="BH365" s="335">
        <f t="shared" ref="BH365:BH428" si="117">(ABS(P365)+ABS(R365)+ABS(T365)+ABS(V365)+ABS(X365)+ABS(Z365)+ABS(AB365)+ABS(AD365)+ABS(AF365)+ABS(AH365)+ABS(AJ365)+ABS(AL365)+ABS(AN365)+ABS(AP365)+ABS(AR365)+ABS(AT365)+ABS(AV365)+ABS(AX365)+ABS(AZ365)+ABS(BB365))</f>
        <v>0</v>
      </c>
      <c r="BI365" s="52">
        <f>VLOOKUP(GasPosn!A365,'Pricing Summary'!$AB$12:$AD$250,3)</f>
        <v>30</v>
      </c>
      <c r="BJ365" s="50">
        <f>VLOOKUP(A365,Interest!$AF$8:$AK$367,6)</f>
        <v>0.88876952927706621</v>
      </c>
      <c r="BL365">
        <f>H365/VLOOKUP(A365,NymexData!$J$12:$K$128,2)</f>
        <v>-3858.9804911879814</v>
      </c>
      <c r="BM365">
        <f>I365/VLOOKUP(A365,NymexData!$J$12:$K$128,2)</f>
        <v>0</v>
      </c>
      <c r="BO365">
        <f t="shared" si="105"/>
        <v>0.88876952927706621</v>
      </c>
      <c r="BP365">
        <f t="shared" si="106"/>
        <v>4.5157527419806023</v>
      </c>
      <c r="BQ365">
        <f t="shared" si="107"/>
        <v>1</v>
      </c>
      <c r="BR365">
        <f t="shared" si="108"/>
        <v>0.88876952927706621</v>
      </c>
      <c r="BS365">
        <f t="shared" si="109"/>
        <v>4.5157527419806023</v>
      </c>
    </row>
    <row r="366" spans="1:71" ht="18" x14ac:dyDescent="0.25">
      <c r="A366" s="100">
        <f t="shared" si="110"/>
        <v>38322</v>
      </c>
      <c r="B366" s="329">
        <f t="array" ref="B366">SUM(IF(MONTH(NymexData!$AO$12:$AO$250)&amp;YEAR(NymexData!$AO$12:$AO$250)=MONTH(A366)&amp;YEAR(A366),NymexData!$AP$12:$AP$250))</f>
        <v>7.5815303081980003</v>
      </c>
      <c r="C366" s="330">
        <f t="shared" si="97"/>
        <v>0</v>
      </c>
      <c r="D366" s="331">
        <f t="shared" si="98"/>
        <v>7.5815303081980003</v>
      </c>
      <c r="E366" s="332">
        <f t="array" ref="E366">SUM(IF(MONTH(NymexData!$A$12:$A$250)&amp;YEAR(NymexData!$A$12:$A$250)=MONTH(A366)&amp;YEAR(A366),NymexData!$F$12:$F$250))</f>
        <v>5.3881314678099548</v>
      </c>
      <c r="F366" s="332">
        <f t="shared" si="99"/>
        <v>-8.1937958706614467E-2</v>
      </c>
      <c r="G366" s="333">
        <f t="array" ref="G366">IF(NymexData!$H$12="",GasPosn!E366,SUM(IF(MONTH(NymexData!$H$12:$H$250)&amp;YEAR(NymexData!$H$12:$H$250)=MONTH(A366)&amp;YEAR(A366),NymexData!$L$12:$L$250)))</f>
        <v>5.3061935091033403</v>
      </c>
      <c r="H366" s="85">
        <f t="shared" si="100"/>
        <v>-6212.1511732607378</v>
      </c>
      <c r="I366" s="88">
        <f t="shared" si="101"/>
        <v>0</v>
      </c>
      <c r="J366" s="88">
        <f t="shared" si="94"/>
        <v>-6212.1511732607378</v>
      </c>
      <c r="O366" s="47">
        <f t="shared" si="95"/>
        <v>38322</v>
      </c>
      <c r="BD366" s="48">
        <f t="shared" si="115"/>
        <v>0</v>
      </c>
      <c r="BE366" s="334">
        <f t="shared" si="116"/>
        <v>0</v>
      </c>
      <c r="BG366" s="51">
        <f t="shared" si="96"/>
        <v>38322</v>
      </c>
      <c r="BH366" s="335">
        <f t="shared" si="117"/>
        <v>0</v>
      </c>
      <c r="BI366" s="52">
        <f>VLOOKUP(GasPosn!A366,'Pricing Summary'!$AB$12:$AD$250,3)</f>
        <v>31</v>
      </c>
      <c r="BJ366" s="50">
        <f>VLOOKUP(A366,Interest!$AF$8:$AK$367,6)</f>
        <v>0.88470114223239971</v>
      </c>
      <c r="BL366">
        <f>H366/VLOOKUP(A366,NymexData!$J$12:$K$128,2)</f>
        <v>-3947.0014444250842</v>
      </c>
      <c r="BM366">
        <f>I366/VLOOKUP(A366,NymexData!$J$12:$K$128,2)</f>
        <v>0</v>
      </c>
      <c r="BO366">
        <f t="shared" si="105"/>
        <v>0.88470114223239971</v>
      </c>
      <c r="BP366">
        <f t="shared" si="106"/>
        <v>4.6943954584098702</v>
      </c>
      <c r="BQ366">
        <f t="shared" si="107"/>
        <v>1</v>
      </c>
      <c r="BR366">
        <f t="shared" si="108"/>
        <v>0.88470114223239971</v>
      </c>
      <c r="BS366">
        <f t="shared" si="109"/>
        <v>4.6943954584098702</v>
      </c>
    </row>
    <row r="367" spans="1:71" ht="18" x14ac:dyDescent="0.25">
      <c r="A367" s="98">
        <f t="shared" si="110"/>
        <v>38353</v>
      </c>
      <c r="B367" s="324">
        <f t="array" ref="B367">SUM(IF(MONTH(NymexData!$AO$12:$AO$250)&amp;YEAR(NymexData!$AO$12:$AO$250)=MONTH(A367)&amp;YEAR(A367),NymexData!$AP$12:$AP$250))</f>
        <v>7.5487801691680003</v>
      </c>
      <c r="C367" s="324">
        <f t="shared" si="97"/>
        <v>0</v>
      </c>
      <c r="D367" s="326">
        <f t="shared" si="98"/>
        <v>7.5487801691680003</v>
      </c>
      <c r="E367" s="327">
        <f t="array" ref="E367">SUM(IF(MONTH(NymexData!$A$12:$A$250)&amp;YEAR(NymexData!$A$12:$A$250)=MONTH(A367)&amp;YEAR(A367),NymexData!$F$12:$F$250))</f>
        <v>5.4683992645220032</v>
      </c>
      <c r="F367" s="327">
        <f t="shared" si="99"/>
        <v>-7.4193451725695247E-2</v>
      </c>
      <c r="G367" s="328">
        <f t="array" ref="G367">IF(NymexData!$H$12="",GasPosn!E367,SUM(IF(MONTH(NymexData!$H$12:$H$250)&amp;YEAR(NymexData!$H$12:$H$250)=MONTH(A367)&amp;YEAR(A367),NymexData!$L$12:$L$250)))</f>
        <v>5.394205812796308</v>
      </c>
      <c r="H367" s="99">
        <f t="shared" si="100"/>
        <v>-5600.7005706905156</v>
      </c>
      <c r="I367" s="92">
        <f t="shared" si="101"/>
        <v>0</v>
      </c>
      <c r="J367" s="92">
        <f t="shared" si="94"/>
        <v>-5600.7005706905156</v>
      </c>
      <c r="O367" s="47">
        <f t="shared" si="95"/>
        <v>38353</v>
      </c>
      <c r="BD367" s="48">
        <f t="shared" si="115"/>
        <v>0</v>
      </c>
      <c r="BE367" s="334">
        <f t="shared" si="116"/>
        <v>0</v>
      </c>
      <c r="BG367" s="51">
        <f t="shared" si="96"/>
        <v>38353</v>
      </c>
      <c r="BH367" s="335">
        <f t="shared" si="117"/>
        <v>0</v>
      </c>
      <c r="BI367" s="52">
        <f>VLOOKUP(GasPosn!A367,'Pricing Summary'!$AB$12:$AD$250,3)</f>
        <v>31</v>
      </c>
      <c r="BJ367" s="50">
        <f>VLOOKUP(A367,Interest!$AF$8:$AK$367,6)</f>
        <v>0.88057975098583097</v>
      </c>
      <c r="BL367">
        <f>H367/VLOOKUP(A367,NymexData!$J$12:$K$128,2)</f>
        <v>-3559.4905078222446</v>
      </c>
      <c r="BM367">
        <f>I367/VLOOKUP(A367,NymexData!$J$12:$K$128,2)</f>
        <v>0</v>
      </c>
      <c r="BO367">
        <f t="shared" si="105"/>
        <v>0.88057975098583097</v>
      </c>
      <c r="BP367">
        <f t="shared" si="106"/>
        <v>4.7500284113984952</v>
      </c>
      <c r="BQ367">
        <f t="shared" si="107"/>
        <v>1</v>
      </c>
      <c r="BR367">
        <f t="shared" si="108"/>
        <v>0.88057975098583097</v>
      </c>
      <c r="BS367">
        <f t="shared" si="109"/>
        <v>4.7500284113984952</v>
      </c>
    </row>
    <row r="368" spans="1:71" ht="18" x14ac:dyDescent="0.25">
      <c r="A368" s="100">
        <f t="shared" si="110"/>
        <v>38384</v>
      </c>
      <c r="B368" s="329">
        <f t="array" ref="B368">SUM(IF(MONTH(NymexData!$AO$12:$AO$250)&amp;YEAR(NymexData!$AO$12:$AO$250)=MONTH(A368)&amp;YEAR(A368),NymexData!$AP$12:$AP$250))</f>
        <v>6.7884041881320005</v>
      </c>
      <c r="C368" s="330">
        <f t="shared" si="97"/>
        <v>0</v>
      </c>
      <c r="D368" s="331">
        <f t="shared" si="98"/>
        <v>6.7884041881320005</v>
      </c>
      <c r="E368" s="332">
        <f t="array" ref="E368">SUM(IF(MONTH(NymexData!$A$12:$A$250)&amp;YEAR(NymexData!$A$12:$A$250)=MONTH(A368)&amp;YEAR(A368),NymexData!$F$12:$F$250))</f>
        <v>5.3373598552614672</v>
      </c>
      <c r="F368" s="332">
        <f t="shared" si="99"/>
        <v>-7.5766288178831687E-2</v>
      </c>
      <c r="G368" s="333">
        <f t="array" ref="G368">IF(NymexData!$H$12="",GasPosn!E368,SUM(IF(MONTH(NymexData!$H$12:$H$250)&amp;YEAR(NymexData!$H$12:$H$250)=MONTH(A368)&amp;YEAR(A368),NymexData!$L$12:$L$250)))</f>
        <v>5.2615935670826355</v>
      </c>
      <c r="H368" s="85">
        <f t="shared" si="100"/>
        <v>-5143.3218799239712</v>
      </c>
      <c r="I368" s="88">
        <f t="shared" si="101"/>
        <v>0</v>
      </c>
      <c r="J368" s="88">
        <f t="shared" si="94"/>
        <v>-5143.3218799239712</v>
      </c>
      <c r="O368" s="47">
        <f t="shared" si="95"/>
        <v>38384</v>
      </c>
      <c r="BD368" s="48">
        <f t="shared" si="115"/>
        <v>0</v>
      </c>
      <c r="BE368" s="334">
        <f t="shared" si="116"/>
        <v>0</v>
      </c>
      <c r="BG368" s="51">
        <f t="shared" si="96"/>
        <v>38384</v>
      </c>
      <c r="BH368" s="335">
        <f t="shared" si="117"/>
        <v>0</v>
      </c>
      <c r="BI368" s="52">
        <f>VLOOKUP(GasPosn!A368,'Pricing Summary'!$AB$12:$AD$250,3)</f>
        <v>28</v>
      </c>
      <c r="BJ368" s="50">
        <f>VLOOKUP(A368,Interest!$AF$8:$AK$367,6)</f>
        <v>0.87672383052938008</v>
      </c>
      <c r="BL368">
        <f>H368/VLOOKUP(A368,NymexData!$J$12:$K$128,2)</f>
        <v>-3269.6596897345535</v>
      </c>
      <c r="BM368">
        <f>I368/VLOOKUP(A368,NymexData!$J$12:$K$128,2)</f>
        <v>0</v>
      </c>
      <c r="BO368">
        <f t="shared" si="105"/>
        <v>0.87672383052938008</v>
      </c>
      <c r="BP368">
        <f t="shared" si="106"/>
        <v>4.6129644668214329</v>
      </c>
      <c r="BQ368">
        <f t="shared" si="107"/>
        <v>1</v>
      </c>
      <c r="BR368">
        <f t="shared" si="108"/>
        <v>0.87672383052938008</v>
      </c>
      <c r="BS368">
        <f t="shared" si="109"/>
        <v>4.6129644668214329</v>
      </c>
    </row>
    <row r="369" spans="1:71" ht="18" x14ac:dyDescent="0.25">
      <c r="A369" s="98">
        <f t="shared" si="110"/>
        <v>38412</v>
      </c>
      <c r="B369" s="324">
        <f t="array" ref="B369">SUM(IF(MONTH(NymexData!$AO$12:$AO$250)&amp;YEAR(NymexData!$AO$12:$AO$250)=MONTH(A369)&amp;YEAR(A369),NymexData!$AP$12:$AP$250))</f>
        <v>7.4856335912820011</v>
      </c>
      <c r="C369" s="324">
        <f t="shared" si="97"/>
        <v>0</v>
      </c>
      <c r="D369" s="326">
        <f t="shared" si="98"/>
        <v>7.4856335912820011</v>
      </c>
      <c r="E369" s="327">
        <f t="array" ref="E369">SUM(IF(MONTH(NymexData!$A$12:$A$250)&amp;YEAR(NymexData!$A$12:$A$250)=MONTH(A369)&amp;YEAR(A369),NymexData!$F$12:$F$250))</f>
        <v>5.1291030344539603</v>
      </c>
      <c r="F369" s="327">
        <f t="shared" si="99"/>
        <v>-7.6004358311443809E-2</v>
      </c>
      <c r="G369" s="328">
        <f t="array" ref="G369">IF(NymexData!$H$12="",GasPosn!E369,SUM(IF(MONTH(NymexData!$H$12:$H$250)&amp;YEAR(NymexData!$H$12:$H$250)=MONTH(A369)&amp;YEAR(A369),NymexData!$L$12:$L$250)))</f>
        <v>5.0530986761425165</v>
      </c>
      <c r="H369" s="99">
        <f t="shared" si="100"/>
        <v>-5689.4077765997708</v>
      </c>
      <c r="I369" s="92">
        <f t="shared" si="101"/>
        <v>0</v>
      </c>
      <c r="J369" s="92">
        <f t="shared" si="94"/>
        <v>-5689.4077765997708</v>
      </c>
      <c r="O369" s="47">
        <f t="shared" si="95"/>
        <v>38412</v>
      </c>
      <c r="BD369" s="48">
        <f t="shared" si="115"/>
        <v>0</v>
      </c>
      <c r="BE369" s="334">
        <f t="shared" si="116"/>
        <v>0</v>
      </c>
      <c r="BG369" s="51">
        <f t="shared" si="96"/>
        <v>38412</v>
      </c>
      <c r="BH369" s="335">
        <f t="shared" si="117"/>
        <v>0</v>
      </c>
      <c r="BI369" s="52">
        <f>VLOOKUP(GasPosn!A369,'Pricing Summary'!$AB$12:$AD$250,3)</f>
        <v>31</v>
      </c>
      <c r="BJ369" s="50">
        <f>VLOOKUP(A369,Interest!$AF$8:$AK$367,6)</f>
        <v>0.87266758764656482</v>
      </c>
      <c r="BL369">
        <f>H369/VLOOKUP(A369,NymexData!$J$12:$K$128,2)</f>
        <v>-3617.7076602732104</v>
      </c>
      <c r="BM369">
        <f>I369/VLOOKUP(A369,NymexData!$J$12:$K$128,2)</f>
        <v>0</v>
      </c>
      <c r="BO369">
        <f t="shared" si="105"/>
        <v>0.87266758764656482</v>
      </c>
      <c r="BP369">
        <f t="shared" si="106"/>
        <v>4.4096754318493403</v>
      </c>
      <c r="BQ369">
        <f t="shared" si="107"/>
        <v>1</v>
      </c>
      <c r="BR369">
        <f t="shared" si="108"/>
        <v>0.87266758764656482</v>
      </c>
      <c r="BS369">
        <f t="shared" si="109"/>
        <v>4.4096754318493403</v>
      </c>
    </row>
    <row r="370" spans="1:71" ht="18" x14ac:dyDescent="0.25">
      <c r="A370" s="100">
        <f t="shared" si="110"/>
        <v>38443</v>
      </c>
      <c r="B370" s="329">
        <f t="array" ref="B370">SUM(IF(MONTH(NymexData!$AO$12:$AO$250)&amp;YEAR(NymexData!$AO$12:$AO$250)=MONTH(A370)&amp;YEAR(A370),NymexData!$AP$12:$AP$250))</f>
        <v>7.2116479935080005</v>
      </c>
      <c r="C370" s="330">
        <f t="shared" si="97"/>
        <v>0</v>
      </c>
      <c r="D370" s="331">
        <f t="shared" si="98"/>
        <v>7.2116479935080005</v>
      </c>
      <c r="E370" s="332">
        <f t="array" ref="E370">SUM(IF(MONTH(NymexData!$A$12:$A$250)&amp;YEAR(NymexData!$A$12:$A$250)=MONTH(A370)&amp;YEAR(A370),NymexData!$F$12:$F$250))</f>
        <v>4.8245405464222753</v>
      </c>
      <c r="F370" s="332">
        <f t="shared" si="99"/>
        <v>-7.6420029974047843E-2</v>
      </c>
      <c r="G370" s="333">
        <f t="array" ref="G370">IF(NymexData!$H$12="",GasPosn!E370,SUM(IF(MONTH(NymexData!$H$12:$H$250)&amp;YEAR(NymexData!$H$12:$H$250)=MONTH(A370)&amp;YEAR(A370),NymexData!$L$12:$L$250)))</f>
        <v>4.7481205164482274</v>
      </c>
      <c r="H370" s="85">
        <f t="shared" si="100"/>
        <v>-5511.1435582616332</v>
      </c>
      <c r="I370" s="88">
        <f t="shared" si="101"/>
        <v>0</v>
      </c>
      <c r="J370" s="88">
        <f t="shared" si="94"/>
        <v>-5511.1435582616332</v>
      </c>
      <c r="O370" s="47">
        <f t="shared" si="95"/>
        <v>38443</v>
      </c>
      <c r="BD370" s="48">
        <f t="shared" si="115"/>
        <v>0</v>
      </c>
      <c r="BE370" s="334">
        <f t="shared" si="116"/>
        <v>0</v>
      </c>
      <c r="BG370" s="51">
        <f t="shared" si="96"/>
        <v>38443</v>
      </c>
      <c r="BH370" s="335">
        <f t="shared" si="117"/>
        <v>0</v>
      </c>
      <c r="BI370" s="52">
        <f>VLOOKUP(GasPosn!A370,'Pricing Summary'!$AB$12:$AD$250,3)</f>
        <v>30</v>
      </c>
      <c r="BJ370" s="50">
        <f>VLOOKUP(A370,Interest!$AF$8:$AK$367,6)</f>
        <v>0.8686317389279562</v>
      </c>
      <c r="BL370">
        <f>H370/VLOOKUP(A370,NymexData!$J$12:$K$128,2)</f>
        <v>-3505.0179802821026</v>
      </c>
      <c r="BM370">
        <f>I370/VLOOKUP(A370,NymexData!$J$12:$K$128,2)</f>
        <v>0</v>
      </c>
      <c r="BO370">
        <f t="shared" si="105"/>
        <v>0.8686317389279562</v>
      </c>
      <c r="BP370">
        <f t="shared" si="106"/>
        <v>4.1243681808419295</v>
      </c>
      <c r="BQ370">
        <f t="shared" si="107"/>
        <v>1</v>
      </c>
      <c r="BR370">
        <f t="shared" si="108"/>
        <v>0.8686317389279562</v>
      </c>
      <c r="BS370">
        <f t="shared" si="109"/>
        <v>4.1243681808419295</v>
      </c>
    </row>
    <row r="371" spans="1:71" ht="18" x14ac:dyDescent="0.25">
      <c r="A371" s="98">
        <f t="shared" si="110"/>
        <v>38473</v>
      </c>
      <c r="B371" s="324">
        <f t="array" ref="B371">SUM(IF(MONTH(NymexData!$AO$12:$AO$250)&amp;YEAR(NymexData!$AO$12:$AO$250)=MONTH(A371)&amp;YEAR(A371),NymexData!$AP$12:$AP$250))</f>
        <v>7.4192546552319998</v>
      </c>
      <c r="C371" s="324">
        <f t="shared" si="97"/>
        <v>0</v>
      </c>
      <c r="D371" s="326">
        <f t="shared" si="98"/>
        <v>7.4192546552319998</v>
      </c>
      <c r="E371" s="327">
        <f t="array" ref="E371">SUM(IF(MONTH(NymexData!$A$12:$A$250)&amp;YEAR(NymexData!$A$12:$A$250)=MONTH(A371)&amp;YEAR(A371),NymexData!$F$12:$F$250))</f>
        <v>4.8313836749913603</v>
      </c>
      <c r="F371" s="327">
        <f t="shared" si="99"/>
        <v>-7.6305864396178258E-2</v>
      </c>
      <c r="G371" s="328">
        <f t="array" ref="G371">IF(NymexData!$H$12="",GasPosn!E371,SUM(IF(MONTH(NymexData!$H$12:$H$250)&amp;YEAR(NymexData!$H$12:$H$250)=MONTH(A371)&amp;YEAR(A371),NymexData!$L$12:$L$250)))</f>
        <v>4.7550778105951821</v>
      </c>
      <c r="H371" s="99">
        <f t="shared" si="100"/>
        <v>-5661.3263964284724</v>
      </c>
      <c r="I371" s="92">
        <f t="shared" si="101"/>
        <v>0</v>
      </c>
      <c r="J371" s="92">
        <f t="shared" si="94"/>
        <v>-5661.3263964284724</v>
      </c>
      <c r="O371" s="47">
        <f t="shared" si="95"/>
        <v>38473</v>
      </c>
      <c r="BD371" s="48">
        <f t="shared" si="115"/>
        <v>0</v>
      </c>
      <c r="BE371" s="334">
        <f t="shared" si="116"/>
        <v>0</v>
      </c>
      <c r="BG371" s="51">
        <f t="shared" si="96"/>
        <v>38473</v>
      </c>
      <c r="BH371" s="335">
        <f t="shared" si="117"/>
        <v>0</v>
      </c>
      <c r="BI371" s="52">
        <f>VLOOKUP(GasPosn!A371,'Pricing Summary'!$AB$12:$AD$250,3)</f>
        <v>31</v>
      </c>
      <c r="BJ371" s="50">
        <f>VLOOKUP(A371,Interest!$AF$8:$AK$367,6)</f>
        <v>0.86458090072214322</v>
      </c>
      <c r="BL371">
        <f>H371/VLOOKUP(A371,NymexData!$J$12:$K$128,2)</f>
        <v>-3600.9066169975954</v>
      </c>
      <c r="BM371">
        <f>I371/VLOOKUP(A371,NymexData!$J$12:$K$128,2)</f>
        <v>0</v>
      </c>
      <c r="BO371">
        <f t="shared" si="105"/>
        <v>0.86458090072214322</v>
      </c>
      <c r="BP371">
        <f t="shared" si="106"/>
        <v>4.1111494564882589</v>
      </c>
      <c r="BQ371">
        <f t="shared" si="107"/>
        <v>1</v>
      </c>
      <c r="BR371">
        <f t="shared" si="108"/>
        <v>0.86458090072214322</v>
      </c>
      <c r="BS371">
        <f t="shared" si="109"/>
        <v>4.1111494564882589</v>
      </c>
    </row>
    <row r="372" spans="1:71" ht="18" x14ac:dyDescent="0.25">
      <c r="A372" s="100">
        <f t="shared" si="110"/>
        <v>38504</v>
      </c>
      <c r="B372" s="329">
        <f t="array" ref="B372">SUM(IF(MONTH(NymexData!$AO$12:$AO$250)&amp;YEAR(NymexData!$AO$12:$AO$250)=MONTH(A372)&amp;YEAR(A372),NymexData!$AP$12:$AP$250))</f>
        <v>7.1468792085320008</v>
      </c>
      <c r="C372" s="330">
        <f t="shared" si="97"/>
        <v>0</v>
      </c>
      <c r="D372" s="331">
        <f t="shared" si="98"/>
        <v>7.1468792085320008</v>
      </c>
      <c r="E372" s="332">
        <f t="array" ref="E372">SUM(IF(MONTH(NymexData!$A$12:$A$250)&amp;YEAR(NymexData!$A$12:$A$250)=MONTH(A372)&amp;YEAR(A372),NymexData!$F$12:$F$250))</f>
        <v>4.8872675052754602</v>
      </c>
      <c r="F372" s="332">
        <f t="shared" si="99"/>
        <v>-7.610270386497664E-2</v>
      </c>
      <c r="G372" s="333">
        <f t="array" ref="G372">IF(NymexData!$H$12="",GasPosn!E372,SUM(IF(MONTH(NymexData!$H$12:$H$250)&amp;YEAR(NymexData!$H$12:$H$250)=MONTH(A372)&amp;YEAR(A372),NymexData!$L$12:$L$250)))</f>
        <v>4.8111648014104835</v>
      </c>
      <c r="H372" s="85">
        <f t="shared" si="100"/>
        <v>-5438.9683196566948</v>
      </c>
      <c r="I372" s="88">
        <f t="shared" si="101"/>
        <v>0</v>
      </c>
      <c r="J372" s="88">
        <f t="shared" si="94"/>
        <v>-5438.9683196566948</v>
      </c>
      <c r="O372" s="47">
        <f t="shared" si="95"/>
        <v>38504</v>
      </c>
      <c r="BD372" s="48">
        <f t="shared" si="115"/>
        <v>0</v>
      </c>
      <c r="BE372" s="334">
        <f t="shared" si="116"/>
        <v>0</v>
      </c>
      <c r="BG372" s="51">
        <f t="shared" si="96"/>
        <v>38504</v>
      </c>
      <c r="BH372" s="335">
        <f t="shared" si="117"/>
        <v>0</v>
      </c>
      <c r="BI372" s="52">
        <f>VLOOKUP(GasPosn!A372,'Pricing Summary'!$AB$12:$AD$250,3)</f>
        <v>30</v>
      </c>
      <c r="BJ372" s="50">
        <f>VLOOKUP(A372,Interest!$AF$8:$AK$367,6)</f>
        <v>0.86055528171127715</v>
      </c>
      <c r="BL372">
        <f>H372/VLOOKUP(A372,NymexData!$J$12:$K$128,2)</f>
        <v>-3459.8624162598262</v>
      </c>
      <c r="BM372">
        <f>I372/VLOOKUP(A372,NymexData!$J$12:$K$128,2)</f>
        <v>0</v>
      </c>
      <c r="BO372">
        <f t="shared" si="105"/>
        <v>0.86055528171127715</v>
      </c>
      <c r="BP372">
        <f t="shared" si="106"/>
        <v>4.1402732810371798</v>
      </c>
      <c r="BQ372">
        <f t="shared" si="107"/>
        <v>1</v>
      </c>
      <c r="BR372">
        <f t="shared" si="108"/>
        <v>0.86055528171127715</v>
      </c>
      <c r="BS372">
        <f t="shared" si="109"/>
        <v>4.1402732810371798</v>
      </c>
    </row>
    <row r="373" spans="1:71" ht="18" x14ac:dyDescent="0.25">
      <c r="A373" s="98">
        <f t="shared" si="110"/>
        <v>38534</v>
      </c>
      <c r="B373" s="324">
        <f t="array" ref="B373">SUM(IF(MONTH(NymexData!$AO$12:$AO$250)&amp;YEAR(NymexData!$AO$12:$AO$250)=MONTH(A373)&amp;YEAR(A373),NymexData!$AP$12:$AP$250))</f>
        <v>7.3518057951520008</v>
      </c>
      <c r="C373" s="325">
        <f t="shared" si="97"/>
        <v>0</v>
      </c>
      <c r="D373" s="326">
        <f t="shared" si="98"/>
        <v>7.3518057951520008</v>
      </c>
      <c r="E373" s="327">
        <f t="array" ref="E373">SUM(IF(MONTH(NymexData!$A$12:$A$250)&amp;YEAR(NymexData!$A$12:$A$250)=MONTH(A373)&amp;YEAR(A373),NymexData!$F$12:$F$250))</f>
        <v>4.9537986328208765</v>
      </c>
      <c r="F373" s="327">
        <f t="shared" si="99"/>
        <v>-7.5879630695022904E-2</v>
      </c>
      <c r="G373" s="328">
        <f t="array" ref="G373">IF(NymexData!$H$12="",GasPosn!E373,SUM(IF(MONTH(NymexData!$H$12:$H$250)&amp;YEAR(NymexData!$H$12:$H$250)=MONTH(A373)&amp;YEAR(A373),NymexData!$L$12:$L$250)))</f>
        <v>4.8779190021258536</v>
      </c>
      <c r="H373" s="99">
        <f t="shared" si="100"/>
        <v>-5578.5230867766304</v>
      </c>
      <c r="I373" s="92">
        <f t="shared" si="101"/>
        <v>0</v>
      </c>
      <c r="J373" s="92">
        <f t="shared" si="94"/>
        <v>-5578.5230867766304</v>
      </c>
      <c r="O373" s="47">
        <f t="shared" si="95"/>
        <v>38534</v>
      </c>
      <c r="BD373" s="48">
        <f t="shared" si="115"/>
        <v>0</v>
      </c>
      <c r="BE373" s="334">
        <f t="shared" si="116"/>
        <v>0</v>
      </c>
      <c r="BG373" s="51">
        <f t="shared" si="96"/>
        <v>38534</v>
      </c>
      <c r="BH373" s="335">
        <f t="shared" si="117"/>
        <v>0</v>
      </c>
      <c r="BI373" s="52">
        <f>VLOOKUP(GasPosn!A373,'Pricing Summary'!$AB$12:$AD$250,3)</f>
        <v>31</v>
      </c>
      <c r="BJ373" s="50">
        <f>VLOOKUP(A373,Interest!$AF$8:$AK$367,6)</f>
        <v>0.85648332670118255</v>
      </c>
      <c r="BL373">
        <f>H373/VLOOKUP(A373,NymexData!$J$12:$K$128,2)</f>
        <v>-3548.8513917216646</v>
      </c>
      <c r="BM373">
        <f>I373/VLOOKUP(A373,NymexData!$J$12:$K$128,2)</f>
        <v>0</v>
      </c>
      <c r="BO373">
        <f t="shared" si="105"/>
        <v>0.85648332670118255</v>
      </c>
      <c r="BP373">
        <f t="shared" si="106"/>
        <v>4.177856294319664</v>
      </c>
      <c r="BQ373">
        <f t="shared" si="107"/>
        <v>1</v>
      </c>
      <c r="BR373">
        <f t="shared" si="108"/>
        <v>0.85648332670118255</v>
      </c>
      <c r="BS373">
        <f t="shared" si="109"/>
        <v>4.177856294319664</v>
      </c>
    </row>
    <row r="374" spans="1:71" ht="18" x14ac:dyDescent="0.25">
      <c r="A374" s="100">
        <f t="shared" si="110"/>
        <v>38565</v>
      </c>
      <c r="B374" s="329">
        <f t="array" ref="B374">SUM(IF(MONTH(NymexData!$AO$12:$AO$250)&amp;YEAR(NymexData!$AO$12:$AO$250)=MONTH(A374)&amp;YEAR(A374),NymexData!$AP$12:$AP$250))</f>
        <v>7.3171315557760002</v>
      </c>
      <c r="C374" s="330">
        <f t="shared" si="97"/>
        <v>0</v>
      </c>
      <c r="D374" s="331">
        <f t="shared" si="98"/>
        <v>7.3171315557760002</v>
      </c>
      <c r="E374" s="332">
        <f t="array" ref="E374">SUM(IF(MONTH(NymexData!$A$12:$A$250)&amp;YEAR(NymexData!$A$12:$A$250)=MONTH(A374)&amp;YEAR(A374),NymexData!$F$12:$F$250))</f>
        <v>5.0101373524491706</v>
      </c>
      <c r="F374" s="332">
        <f t="shared" si="99"/>
        <v>-7.5667441698476168E-2</v>
      </c>
      <c r="G374" s="333">
        <f t="array" ref="G374">IF(NymexData!$H$12="",GasPosn!E374,SUM(IF(MONTH(NymexData!$H$12:$H$250)&amp;YEAR(NymexData!$H$12:$H$250)=MONTH(A374)&amp;YEAR(A374),NymexData!$L$12:$L$250)))</f>
        <v>4.9344699107506944</v>
      </c>
      <c r="H374" s="85">
        <f t="shared" si="100"/>
        <v>-5536.6862539676067</v>
      </c>
      <c r="I374" s="88">
        <f t="shared" si="101"/>
        <v>0</v>
      </c>
      <c r="J374" s="88">
        <f t="shared" si="94"/>
        <v>-5536.6862539676067</v>
      </c>
      <c r="O374" s="47">
        <f t="shared" si="95"/>
        <v>38565</v>
      </c>
      <c r="BD374" s="48">
        <f t="shared" si="115"/>
        <v>0</v>
      </c>
      <c r="BE374" s="334">
        <f t="shared" si="116"/>
        <v>0</v>
      </c>
      <c r="BG374" s="51">
        <f t="shared" si="96"/>
        <v>38565</v>
      </c>
      <c r="BH374" s="335">
        <f t="shared" si="117"/>
        <v>0</v>
      </c>
      <c r="BI374" s="52">
        <f>VLOOKUP(GasPosn!A374,'Pricing Summary'!$AB$12:$AD$250,3)</f>
        <v>31</v>
      </c>
      <c r="BJ374" s="50">
        <f>VLOOKUP(A374,Interest!$AF$8:$AK$367,6)</f>
        <v>0.85238717190807134</v>
      </c>
      <c r="BL374">
        <f>H374/VLOOKUP(A374,NymexData!$J$12:$K$128,2)</f>
        <v>-3522.2828285650776</v>
      </c>
      <c r="BM374">
        <f>I374/VLOOKUP(A374,NymexData!$J$12:$K$128,2)</f>
        <v>0</v>
      </c>
      <c r="BO374">
        <f t="shared" si="105"/>
        <v>0.85238717190807134</v>
      </c>
      <c r="BP374">
        <f t="shared" si="106"/>
        <v>4.2060788520902577</v>
      </c>
      <c r="BQ374">
        <f t="shared" si="107"/>
        <v>1</v>
      </c>
      <c r="BR374">
        <f t="shared" si="108"/>
        <v>0.85238717190807134</v>
      </c>
      <c r="BS374">
        <f t="shared" si="109"/>
        <v>4.2060788520902577</v>
      </c>
    </row>
    <row r="375" spans="1:71" ht="18" x14ac:dyDescent="0.25">
      <c r="A375" s="98">
        <f t="shared" si="110"/>
        <v>38596</v>
      </c>
      <c r="B375" s="324">
        <f t="array" ref="B375">SUM(IF(MONTH(NymexData!$AO$12:$AO$250)&amp;YEAR(NymexData!$AO$12:$AO$250)=MONTH(A375)&amp;YEAR(A375),NymexData!$AP$12:$AP$250))</f>
        <v>7.0472873511460001</v>
      </c>
      <c r="C375" s="324">
        <f t="shared" si="97"/>
        <v>0</v>
      </c>
      <c r="D375" s="326">
        <f t="shared" si="98"/>
        <v>7.0472873511460001</v>
      </c>
      <c r="E375" s="327">
        <f t="array" ref="E375">SUM(IF(MONTH(NymexData!$A$12:$A$250)&amp;YEAR(NymexData!$A$12:$A$250)=MONTH(A375)&amp;YEAR(A375),NymexData!$F$12:$F$250))</f>
        <v>5.0010442585535104</v>
      </c>
      <c r="F375" s="327">
        <f t="shared" si="99"/>
        <v>-7.5578051862673412E-2</v>
      </c>
      <c r="G375" s="328">
        <f t="array" ref="G375">IF(NymexData!$H$12="",GasPosn!E375,SUM(IF(MONTH(NymexData!$H$12:$H$250)&amp;YEAR(NymexData!$H$12:$H$250)=MONTH(A375)&amp;YEAR(A375),NymexData!$L$12:$L$250)))</f>
        <v>4.925466206690837</v>
      </c>
      <c r="H375" s="99">
        <f t="shared" si="100"/>
        <v>-5326.2024891607471</v>
      </c>
      <c r="I375" s="92">
        <f t="shared" si="101"/>
        <v>0</v>
      </c>
      <c r="J375" s="92">
        <f t="shared" si="94"/>
        <v>-5326.2024891607471</v>
      </c>
      <c r="O375" s="47">
        <f t="shared" si="95"/>
        <v>38596</v>
      </c>
      <c r="BD375" s="48">
        <f t="shared" si="115"/>
        <v>0</v>
      </c>
      <c r="BE375" s="334">
        <f t="shared" si="116"/>
        <v>0</v>
      </c>
      <c r="BG375" s="51">
        <f t="shared" si="96"/>
        <v>38596</v>
      </c>
      <c r="BH375" s="335">
        <f t="shared" si="117"/>
        <v>0</v>
      </c>
      <c r="BI375" s="52">
        <f>VLOOKUP(GasPosn!A375,'Pricing Summary'!$AB$12:$AD$250,3)</f>
        <v>30</v>
      </c>
      <c r="BJ375" s="50">
        <f>VLOOKUP(A375,Interest!$AF$8:$AK$367,6)</f>
        <v>0.84835863810766987</v>
      </c>
      <c r="BL375">
        <f>H375/VLOOKUP(A375,NymexData!$J$12:$K$128,2)</f>
        <v>-3388.4233597011735</v>
      </c>
      <c r="BM375">
        <f>I375/VLOOKUP(A375,NymexData!$J$12:$K$128,2)</f>
        <v>0</v>
      </c>
      <c r="BO375">
        <f t="shared" si="105"/>
        <v>0.84835863810766987</v>
      </c>
      <c r="BP375">
        <f t="shared" si="106"/>
        <v>4.1785618031535892</v>
      </c>
      <c r="BQ375">
        <f t="shared" si="107"/>
        <v>1</v>
      </c>
      <c r="BR375">
        <f t="shared" si="108"/>
        <v>0.84835863810766987</v>
      </c>
      <c r="BS375">
        <f t="shared" si="109"/>
        <v>4.1785618031535892</v>
      </c>
    </row>
    <row r="376" spans="1:71" ht="18" x14ac:dyDescent="0.25">
      <c r="A376" s="100">
        <f t="shared" si="110"/>
        <v>38626</v>
      </c>
      <c r="B376" s="329">
        <f t="array" ref="B376">SUM(IF(MONTH(NymexData!$AO$12:$AO$250)&amp;YEAR(NymexData!$AO$12:$AO$250)=MONTH(A376)&amp;YEAR(A376),NymexData!$AP$12:$AP$250))</f>
        <v>7.2481464066759997</v>
      </c>
      <c r="C376" s="330">
        <f t="shared" si="97"/>
        <v>0</v>
      </c>
      <c r="D376" s="331">
        <f t="shared" si="98"/>
        <v>7.2481464066759997</v>
      </c>
      <c r="E376" s="332">
        <f t="array" ref="E376">SUM(IF(MONTH(NymexData!$A$12:$A$250)&amp;YEAR(NymexData!$A$12:$A$250)=MONTH(A376)&amp;YEAR(A376),NymexData!$F$12:$F$250))</f>
        <v>5.0010523819123698</v>
      </c>
      <c r="F376" s="332">
        <f t="shared" si="99"/>
        <v>-7.5483666209170686E-2</v>
      </c>
      <c r="G376" s="333">
        <f t="array" ref="G376">IF(NymexData!$H$12="",GasPosn!E376,SUM(IF(MONTH(NymexData!$H$12:$H$250)&amp;YEAR(NymexData!$H$12:$H$250)=MONTH(A376)&amp;YEAR(A376),NymexData!$L$12:$L$250)))</f>
        <v>4.9255687157031991</v>
      </c>
      <c r="H376" s="85">
        <f t="shared" si="100"/>
        <v>-5471.1666399673113</v>
      </c>
      <c r="I376" s="88">
        <f t="shared" si="101"/>
        <v>0</v>
      </c>
      <c r="J376" s="88">
        <f t="shared" si="94"/>
        <v>-5471.1666399673113</v>
      </c>
      <c r="O376" s="47">
        <f t="shared" si="95"/>
        <v>38626</v>
      </c>
      <c r="BD376" s="48">
        <f t="shared" si="115"/>
        <v>0</v>
      </c>
      <c r="BE376" s="334">
        <f t="shared" si="116"/>
        <v>0</v>
      </c>
      <c r="BG376" s="51">
        <f t="shared" si="96"/>
        <v>38626</v>
      </c>
      <c r="BH376" s="335">
        <f t="shared" si="117"/>
        <v>0</v>
      </c>
      <c r="BI376" s="52">
        <f>VLOOKUP(GasPosn!A376,'Pricing Summary'!$AB$12:$AD$250,3)</f>
        <v>31</v>
      </c>
      <c r="BJ376" s="50">
        <f>VLOOKUP(A376,Interest!$AF$8:$AK$367,6)</f>
        <v>0.84427166234103423</v>
      </c>
      <c r="BL376">
        <f>H376/VLOOKUP(A376,NymexData!$J$12:$K$128,2)</f>
        <v>-3480.5742114962363</v>
      </c>
      <c r="BM376">
        <f>I376/VLOOKUP(A376,NymexData!$J$12:$K$128,2)</f>
        <v>0</v>
      </c>
      <c r="BO376">
        <f t="shared" si="105"/>
        <v>0.84427166234103423</v>
      </c>
      <c r="BP376">
        <f t="shared" si="106"/>
        <v>4.1585180875817329</v>
      </c>
      <c r="BQ376">
        <f t="shared" si="107"/>
        <v>1</v>
      </c>
      <c r="BR376">
        <f t="shared" si="108"/>
        <v>0.84427166234103423</v>
      </c>
      <c r="BS376">
        <f t="shared" si="109"/>
        <v>4.1585180875817329</v>
      </c>
    </row>
    <row r="377" spans="1:71" ht="18" x14ac:dyDescent="0.25">
      <c r="A377" s="98">
        <f t="shared" si="110"/>
        <v>38657</v>
      </c>
      <c r="B377" s="324">
        <f t="array" ref="B377">SUM(IF(MONTH(NymexData!$AO$12:$AO$250)&amp;YEAR(NymexData!$AO$12:$AO$250)=MONTH(A377)&amp;YEAR(A377),NymexData!$AP$12:$AP$250))</f>
        <v>6.9800469881100007</v>
      </c>
      <c r="C377" s="324">
        <f t="shared" si="97"/>
        <v>0</v>
      </c>
      <c r="D377" s="326">
        <f t="shared" si="98"/>
        <v>6.9800469881100007</v>
      </c>
      <c r="E377" s="327">
        <f t="array" ref="E377">SUM(IF(MONTH(NymexData!$A$12:$A$250)&amp;YEAR(NymexData!$A$12:$A$250)=MONTH(A377)&amp;YEAR(A377),NymexData!$F$12:$F$250))</f>
        <v>5.2884805381454107</v>
      </c>
      <c r="F377" s="327">
        <f t="shared" si="99"/>
        <v>-7.3357524119932904E-2</v>
      </c>
      <c r="G377" s="328">
        <f t="array" ref="G377">IF(NymexData!$H$12="",GasPosn!E377,SUM(IF(MONTH(NymexData!$H$12:$H$250)&amp;YEAR(NymexData!$H$12:$H$250)=MONTH(A377)&amp;YEAR(A377),NymexData!$L$12:$L$250)))</f>
        <v>5.2151230140254778</v>
      </c>
      <c r="H377" s="99">
        <f t="shared" si="100"/>
        <v>-5120.3896528854448</v>
      </c>
      <c r="I377" s="92">
        <f t="shared" si="101"/>
        <v>0</v>
      </c>
      <c r="J377" s="92">
        <f t="shared" si="94"/>
        <v>-5120.3896528854448</v>
      </c>
      <c r="O377" s="47">
        <f t="shared" si="95"/>
        <v>38657</v>
      </c>
      <c r="BD377" s="48">
        <f t="shared" si="115"/>
        <v>0</v>
      </c>
      <c r="BE377" s="334">
        <f t="shared" si="116"/>
        <v>0</v>
      </c>
      <c r="BG377" s="51">
        <f t="shared" si="96"/>
        <v>38657</v>
      </c>
      <c r="BH377" s="335">
        <f t="shared" si="117"/>
        <v>0</v>
      </c>
      <c r="BI377" s="52">
        <f>VLOOKUP(GasPosn!A377,'Pricing Summary'!$AB$12:$AD$250,3)</f>
        <v>30</v>
      </c>
      <c r="BJ377" s="50">
        <f>VLOOKUP(A377,Interest!$AF$8:$AK$367,6)</f>
        <v>0.84028450980852853</v>
      </c>
      <c r="BL377">
        <f>H377/VLOOKUP(A377,NymexData!$J$12:$K$128,2)</f>
        <v>-3257.0992086689389</v>
      </c>
      <c r="BM377">
        <f>I377/VLOOKUP(A377,NymexData!$J$12:$K$128,2)</f>
        <v>0</v>
      </c>
      <c r="BO377">
        <f t="shared" si="105"/>
        <v>0.84028450980852853</v>
      </c>
      <c r="BP377">
        <f t="shared" si="106"/>
        <v>4.3821870854315748</v>
      </c>
      <c r="BQ377">
        <f t="shared" si="107"/>
        <v>1</v>
      </c>
      <c r="BR377">
        <f t="shared" si="108"/>
        <v>0.84028450980852853</v>
      </c>
      <c r="BS377">
        <f t="shared" si="109"/>
        <v>4.3821870854315748</v>
      </c>
    </row>
    <row r="378" spans="1:71" ht="18" x14ac:dyDescent="0.25">
      <c r="A378" s="100">
        <f t="shared" si="110"/>
        <v>38687</v>
      </c>
      <c r="B378" s="329">
        <f t="array" ref="B378">SUM(IF(MONTH(NymexData!$AO$12:$AO$250)&amp;YEAR(NymexData!$AO$12:$AO$250)=MONTH(A378)&amp;YEAR(A378),NymexData!$AP$12:$AP$250))</f>
        <v>7.1781943309720004</v>
      </c>
      <c r="C378" s="330">
        <f t="shared" si="97"/>
        <v>0</v>
      </c>
      <c r="D378" s="331">
        <f t="shared" si="98"/>
        <v>7.1781943309720004</v>
      </c>
      <c r="E378" s="332">
        <f t="array" ref="E378">SUM(IF(MONTH(NymexData!$A$12:$A$250)&amp;YEAR(NymexData!$A$12:$A$250)=MONTH(A378)&amp;YEAR(A378),NymexData!$F$12:$F$250))</f>
        <v>5.5149885089381865</v>
      </c>
      <c r="F378" s="332">
        <f t="shared" si="99"/>
        <v>-7.2834259329814799E-2</v>
      </c>
      <c r="G378" s="333">
        <f t="array" ref="G378">IF(NymexData!$H$12="",GasPosn!E378,SUM(IF(MONTH(NymexData!$H$12:$H$250)&amp;YEAR(NymexData!$H$12:$H$250)=MONTH(A378)&amp;YEAR(A378),NymexData!$L$12:$L$250)))</f>
        <v>5.4421542496083717</v>
      </c>
      <c r="H378" s="85">
        <f t="shared" si="100"/>
        <v>-5228.1846742182115</v>
      </c>
      <c r="I378" s="88">
        <f t="shared" si="101"/>
        <v>0</v>
      </c>
      <c r="J378" s="88">
        <f t="shared" si="94"/>
        <v>-5228.1846742182115</v>
      </c>
      <c r="O378" s="47">
        <f t="shared" si="95"/>
        <v>38687</v>
      </c>
      <c r="BD378" s="48">
        <f t="shared" si="115"/>
        <v>0</v>
      </c>
      <c r="BE378" s="334">
        <f t="shared" si="116"/>
        <v>0</v>
      </c>
      <c r="BG378" s="51">
        <f t="shared" si="96"/>
        <v>38687</v>
      </c>
      <c r="BH378" s="335">
        <f t="shared" si="117"/>
        <v>0</v>
      </c>
      <c r="BI378" s="52">
        <f>VLOOKUP(GasPosn!A378,'Pricing Summary'!$AB$12:$AD$250,3)</f>
        <v>31</v>
      </c>
      <c r="BJ378" s="50">
        <f>VLOOKUP(A378,Interest!$AF$8:$AK$367,6)</f>
        <v>0.83621120978527286</v>
      </c>
      <c r="BL378">
        <f>H378/VLOOKUP(A378,NymexData!$J$12:$K$128,2)</f>
        <v>-3325.3344369893612</v>
      </c>
      <c r="BM378">
        <f>I378/VLOOKUP(A378,NymexData!$J$12:$K$128,2)</f>
        <v>0</v>
      </c>
      <c r="BO378">
        <f t="shared" si="105"/>
        <v>0.83621120978527286</v>
      </c>
      <c r="BP378">
        <f t="shared" si="106"/>
        <v>4.5507903889030805</v>
      </c>
      <c r="BQ378">
        <f t="shared" si="107"/>
        <v>1</v>
      </c>
      <c r="BR378">
        <f t="shared" si="108"/>
        <v>0.83621120978527286</v>
      </c>
      <c r="BS378">
        <f t="shared" si="109"/>
        <v>4.5507903889030805</v>
      </c>
    </row>
    <row r="379" spans="1:71" ht="18" x14ac:dyDescent="0.25">
      <c r="A379" s="98">
        <f t="shared" si="110"/>
        <v>38718</v>
      </c>
      <c r="B379" s="324">
        <f t="array" ref="B379">SUM(IF(MONTH(NymexData!$AO$12:$AO$250)&amp;YEAR(NymexData!$AO$12:$AO$250)=MONTH(A379)&amp;YEAR(A379),NymexData!$AP$12:$AP$250))</f>
        <v>7.1422876483000008</v>
      </c>
      <c r="C379" s="324">
        <f t="shared" si="97"/>
        <v>0</v>
      </c>
      <c r="D379" s="326">
        <f t="shared" si="98"/>
        <v>7.1422876483000008</v>
      </c>
      <c r="E379" s="327">
        <f t="array" ref="E379">SUM(IF(MONTH(NymexData!$A$12:$A$250)&amp;YEAR(NymexData!$A$12:$A$250)=MONTH(A379)&amp;YEAR(A379),NymexData!$F$12:$F$250))</f>
        <v>5.6014850218630095</v>
      </c>
      <c r="F379" s="327">
        <f t="shared" si="99"/>
        <v>-6.5241407154405628E-2</v>
      </c>
      <c r="G379" s="328">
        <f t="array" ref="G379">IF(NymexData!$H$12="",GasPosn!E379,SUM(IF(MONTH(NymexData!$H$12:$H$250)&amp;YEAR(NymexData!$H$12:$H$250)=MONTH(A379)&amp;YEAR(A379),NymexData!$L$12:$L$250)))</f>
        <v>5.5362436147086038</v>
      </c>
      <c r="H379" s="99">
        <f t="shared" si="100"/>
        <v>-4659.7289647662265</v>
      </c>
      <c r="I379" s="92">
        <f t="shared" si="101"/>
        <v>0</v>
      </c>
      <c r="J379" s="92">
        <f t="shared" si="94"/>
        <v>-4659.7289647662265</v>
      </c>
      <c r="O379" s="47">
        <f t="shared" si="95"/>
        <v>38718</v>
      </c>
      <c r="BD379" s="48">
        <f t="shared" si="115"/>
        <v>0</v>
      </c>
      <c r="BE379" s="334">
        <f t="shared" si="116"/>
        <v>0</v>
      </c>
      <c r="BG379" s="51">
        <f t="shared" si="96"/>
        <v>38718</v>
      </c>
      <c r="BH379" s="335">
        <f t="shared" si="117"/>
        <v>0</v>
      </c>
      <c r="BI379" s="52">
        <f>VLOOKUP(GasPosn!A379,'Pricing Summary'!$AB$12:$AD$250,3)</f>
        <v>31</v>
      </c>
      <c r="BJ379" s="50">
        <f>VLOOKUP(A379,Interest!$AF$8:$AK$367,6)</f>
        <v>0.83215062598275424</v>
      </c>
      <c r="BL379">
        <f>H379/VLOOKUP(A379,NymexData!$J$12:$K$128,2)</f>
        <v>-2963.2637970092833</v>
      </c>
      <c r="BM379">
        <f>I379/VLOOKUP(A379,NymexData!$J$12:$K$128,2)</f>
        <v>0</v>
      </c>
      <c r="BO379">
        <f t="shared" si="105"/>
        <v>0.83215062598275424</v>
      </c>
      <c r="BP379">
        <f t="shared" si="106"/>
        <v>4.6069885895727909</v>
      </c>
      <c r="BQ379">
        <f t="shared" si="107"/>
        <v>1</v>
      </c>
      <c r="BR379">
        <f t="shared" si="108"/>
        <v>0.83215062598275424</v>
      </c>
      <c r="BS379">
        <f t="shared" si="109"/>
        <v>4.6069885895727909</v>
      </c>
    </row>
    <row r="380" spans="1:71" ht="18" x14ac:dyDescent="0.25">
      <c r="A380" s="100">
        <f t="shared" si="110"/>
        <v>38749</v>
      </c>
      <c r="B380" s="329">
        <f t="array" ref="B380">SUM(IF(MONTH(NymexData!$AO$12:$AO$250)&amp;YEAR(NymexData!$AO$12:$AO$250)=MONTH(A380)&amp;YEAR(A380),NymexData!$AP$12:$AP$250))</f>
        <v>6.4184557454359998</v>
      </c>
      <c r="C380" s="330">
        <f t="shared" si="97"/>
        <v>0</v>
      </c>
      <c r="D380" s="331">
        <f t="shared" si="98"/>
        <v>6.4184557454359998</v>
      </c>
      <c r="E380" s="332">
        <f t="array" ref="E380">SUM(IF(MONTH(NymexData!$A$12:$A$250)&amp;YEAR(NymexData!$A$12:$A$250)=MONTH(A380)&amp;YEAR(A380),NymexData!$F$12:$F$250))</f>
        <v>5.473917991248074</v>
      </c>
      <c r="F380" s="332">
        <f t="shared" si="99"/>
        <v>-6.7223648145556147E-2</v>
      </c>
      <c r="G380" s="333">
        <f t="array" ref="G380">IF(NymexData!$H$12="",GasPosn!E380,SUM(IF(MONTH(NymexData!$H$12:$H$250)&amp;YEAR(NymexData!$H$12:$H$250)=MONTH(A380)&amp;YEAR(A380),NymexData!$L$12:$L$250)))</f>
        <v>5.4066943431025178</v>
      </c>
      <c r="H380" s="85">
        <f t="shared" si="100"/>
        <v>-4314.7201066901298</v>
      </c>
      <c r="I380" s="88">
        <f t="shared" si="101"/>
        <v>0</v>
      </c>
      <c r="J380" s="88">
        <f t="shared" si="94"/>
        <v>-4314.7201066901298</v>
      </c>
      <c r="O380" s="47">
        <f t="shared" si="95"/>
        <v>38749</v>
      </c>
      <c r="BD380" s="48">
        <f t="shared" si="115"/>
        <v>0</v>
      </c>
      <c r="BE380" s="334">
        <f t="shared" si="116"/>
        <v>0</v>
      </c>
      <c r="BG380" s="51">
        <f t="shared" si="96"/>
        <v>38749</v>
      </c>
      <c r="BH380" s="335">
        <f t="shared" si="117"/>
        <v>0</v>
      </c>
      <c r="BI380" s="52">
        <f>VLOOKUP(GasPosn!A380,'Pricing Summary'!$AB$12:$AD$250,3)</f>
        <v>28</v>
      </c>
      <c r="BJ380" s="50">
        <f>VLOOKUP(A380,Interest!$AF$8:$AK$367,6)</f>
        <v>0.82849418222068738</v>
      </c>
      <c r="BL380">
        <f>H380/VLOOKUP(A380,NymexData!$J$12:$K$128,2)</f>
        <v>-2743.045303936693</v>
      </c>
      <c r="BM380">
        <f>I380/VLOOKUP(A380,NymexData!$J$12:$K$128,2)</f>
        <v>0</v>
      </c>
      <c r="BO380">
        <f t="shared" si="105"/>
        <v>0.82849418222068738</v>
      </c>
      <c r="BP380">
        <f t="shared" si="106"/>
        <v>4.4794148083059371</v>
      </c>
      <c r="BQ380">
        <f t="shared" si="107"/>
        <v>1</v>
      </c>
      <c r="BR380">
        <f t="shared" si="108"/>
        <v>0.82849418222068738</v>
      </c>
      <c r="BS380">
        <f t="shared" si="109"/>
        <v>4.4794148083059371</v>
      </c>
    </row>
    <row r="381" spans="1:71" ht="18" x14ac:dyDescent="0.25">
      <c r="A381" s="98">
        <f t="shared" si="110"/>
        <v>38777</v>
      </c>
      <c r="B381" s="324">
        <f t="array" ref="B381">SUM(IF(MONTH(NymexData!$AO$12:$AO$250)&amp;YEAR(NymexData!$AO$12:$AO$250)=MONTH(A381)&amp;YEAR(A381),NymexData!$AP$12:$AP$250))</f>
        <v>7.0733084798180004</v>
      </c>
      <c r="C381" s="324">
        <f t="shared" si="97"/>
        <v>0</v>
      </c>
      <c r="D381" s="326">
        <f t="shared" si="98"/>
        <v>7.0733084798180004</v>
      </c>
      <c r="E381" s="327">
        <f t="array" ref="E381">SUM(IF(MONTH(NymexData!$A$12:$A$250)&amp;YEAR(NymexData!$A$12:$A$250)=MONTH(A381)&amp;YEAR(A381),NymexData!$F$12:$F$250))</f>
        <v>5.2687521485144737</v>
      </c>
      <c r="F381" s="327">
        <f t="shared" si="99"/>
        <v>-6.7838741797223712E-2</v>
      </c>
      <c r="G381" s="328">
        <f t="array" ref="G381">IF(NymexData!$H$12="",GasPosn!E381,SUM(IF(MONTH(NymexData!$H$12:$H$250)&amp;YEAR(NymexData!$H$12:$H$250)=MONTH(A381)&amp;YEAR(A381),NymexData!$L$12:$L$250)))</f>
        <v>5.20091340671725</v>
      </c>
      <c r="H381" s="99">
        <f t="shared" si="100"/>
        <v>-4798.4434761448629</v>
      </c>
      <c r="I381" s="92">
        <f t="shared" si="101"/>
        <v>0</v>
      </c>
      <c r="J381" s="92">
        <f t="shared" si="94"/>
        <v>-4798.4434761448629</v>
      </c>
      <c r="O381" s="47">
        <f t="shared" si="95"/>
        <v>38777</v>
      </c>
      <c r="BD381" s="48">
        <f t="shared" si="115"/>
        <v>0</v>
      </c>
      <c r="BE381" s="334">
        <f t="shared" si="116"/>
        <v>0</v>
      </c>
      <c r="BG381" s="51">
        <f t="shared" si="96"/>
        <v>38777</v>
      </c>
      <c r="BH381" s="335">
        <f t="shared" si="117"/>
        <v>0</v>
      </c>
      <c r="BI381" s="52">
        <f>VLOOKUP(GasPosn!A381,'Pricing Summary'!$AB$12:$AD$250,3)</f>
        <v>31</v>
      </c>
      <c r="BJ381" s="50">
        <f>VLOOKUP(A381,Interest!$AF$8:$AK$367,6)</f>
        <v>0.82461810287948745</v>
      </c>
      <c r="BL381">
        <f>H381/VLOOKUP(A381,NymexData!$J$12:$K$128,2)</f>
        <v>-3049.7164688995144</v>
      </c>
      <c r="BM381">
        <f>I381/VLOOKUP(A381,NymexData!$J$12:$K$128,2)</f>
        <v>0</v>
      </c>
      <c r="BO381">
        <f t="shared" si="105"/>
        <v>0.82461810287948745</v>
      </c>
      <c r="BP381">
        <f t="shared" si="106"/>
        <v>4.2887673466876706</v>
      </c>
      <c r="BQ381">
        <f t="shared" si="107"/>
        <v>1</v>
      </c>
      <c r="BR381">
        <f t="shared" si="108"/>
        <v>0.82461810287948745</v>
      </c>
      <c r="BS381">
        <f t="shared" si="109"/>
        <v>4.2887673466876706</v>
      </c>
    </row>
    <row r="382" spans="1:71" ht="18" x14ac:dyDescent="0.25">
      <c r="A382" s="100">
        <f t="shared" si="110"/>
        <v>38808</v>
      </c>
      <c r="B382" s="329">
        <f t="array" ref="B382">SUM(IF(MONTH(NymexData!$AO$12:$AO$250)&amp;YEAR(NymexData!$AO$12:$AO$250)=MONTH(A382)&amp;YEAR(A382),NymexData!$AP$12:$AP$250))</f>
        <v>6.8097473551240002</v>
      </c>
      <c r="C382" s="330">
        <f t="shared" si="97"/>
        <v>0</v>
      </c>
      <c r="D382" s="331">
        <f t="shared" si="98"/>
        <v>6.8097473551240002</v>
      </c>
      <c r="E382" s="332">
        <f t="array" ref="E382">SUM(IF(MONTH(NymexData!$A$12:$A$250)&amp;YEAR(NymexData!$A$12:$A$250)=MONTH(A382)&amp;YEAR(A382),NymexData!$F$12:$F$250))</f>
        <v>4.9743532169164686</v>
      </c>
      <c r="F382" s="332">
        <f t="shared" si="99"/>
        <v>-6.8636445917213962E-2</v>
      </c>
      <c r="G382" s="333">
        <f t="array" ref="G382">IF(NymexData!$H$12="",GasPosn!E382,SUM(IF(MONTH(NymexData!$H$12:$H$250)&amp;YEAR(NymexData!$H$12:$H$250)=MONTH(A382)&amp;YEAR(A382),NymexData!$L$12:$L$250)))</f>
        <v>4.9057167709992546</v>
      </c>
      <c r="H382" s="85">
        <f t="shared" si="100"/>
        <v>-4673.9685604985925</v>
      </c>
      <c r="I382" s="88">
        <f t="shared" si="101"/>
        <v>0</v>
      </c>
      <c r="J382" s="88">
        <f t="shared" si="94"/>
        <v>-4673.9685604985925</v>
      </c>
      <c r="O382" s="47">
        <f t="shared" si="95"/>
        <v>38808</v>
      </c>
      <c r="BD382" s="48">
        <f t="shared" si="115"/>
        <v>0</v>
      </c>
      <c r="BE382" s="334">
        <f t="shared" si="116"/>
        <v>0</v>
      </c>
      <c r="BG382" s="51">
        <f t="shared" si="96"/>
        <v>38808</v>
      </c>
      <c r="BH382" s="335">
        <f t="shared" si="117"/>
        <v>0</v>
      </c>
      <c r="BI382" s="52">
        <f>VLOOKUP(GasPosn!A382,'Pricing Summary'!$AB$12:$AD$250,3)</f>
        <v>30</v>
      </c>
      <c r="BJ382" s="50">
        <f>VLOOKUP(A382,Interest!$AF$8:$AK$367,6)</f>
        <v>0.82073427178337155</v>
      </c>
      <c r="BL382">
        <f>H382/VLOOKUP(A382,NymexData!$J$12:$K$128,2)</f>
        <v>-2969.6526237547782</v>
      </c>
      <c r="BM382">
        <f>I382/VLOOKUP(A382,NymexData!$J$12:$K$128,2)</f>
        <v>0</v>
      </c>
      <c r="BO382">
        <f t="shared" si="105"/>
        <v>0.82073427178337155</v>
      </c>
      <c r="BP382">
        <f t="shared" si="106"/>
        <v>4.0262898816215458</v>
      </c>
      <c r="BQ382">
        <f t="shared" si="107"/>
        <v>1</v>
      </c>
      <c r="BR382">
        <f t="shared" si="108"/>
        <v>0.82073427178337155</v>
      </c>
      <c r="BS382">
        <f t="shared" si="109"/>
        <v>4.0262898816215458</v>
      </c>
    </row>
    <row r="383" spans="1:71" ht="18" x14ac:dyDescent="0.25">
      <c r="A383" s="98">
        <f t="shared" si="110"/>
        <v>38838</v>
      </c>
      <c r="B383" s="324">
        <f t="array" ref="B383">SUM(IF(MONTH(NymexData!$AO$12:$AO$250)&amp;YEAR(NymexData!$AO$12:$AO$250)=MONTH(A383)&amp;YEAR(A383),NymexData!$AP$12:$AP$250))</f>
        <v>7.0011418030680002</v>
      </c>
      <c r="C383" s="324">
        <f t="shared" si="97"/>
        <v>0</v>
      </c>
      <c r="D383" s="326">
        <f t="shared" si="98"/>
        <v>7.0011418030680002</v>
      </c>
      <c r="E383" s="327">
        <f t="array" ref="E383">SUM(IF(MONTH(NymexData!$A$12:$A$250)&amp;YEAR(NymexData!$A$12:$A$250)=MONTH(A383)&amp;YEAR(A383),NymexData!$F$12:$F$250))</f>
        <v>4.9836378702645172</v>
      </c>
      <c r="F383" s="327">
        <f t="shared" si="99"/>
        <v>-6.8881724966195712E-2</v>
      </c>
      <c r="G383" s="328">
        <f t="array" ref="G383">IF(NymexData!$H$12="",GasPosn!E383,SUM(IF(MONTH(NymexData!$H$12:$H$250)&amp;YEAR(NymexData!$H$12:$H$250)=MONTH(A383)&amp;YEAR(A383),NymexData!$L$12:$L$250)))</f>
        <v>4.9147561452983215</v>
      </c>
      <c r="H383" s="99">
        <f t="shared" si="100"/>
        <v>-4822.5072412826548</v>
      </c>
      <c r="I383" s="92">
        <f t="shared" si="101"/>
        <v>0</v>
      </c>
      <c r="J383" s="92">
        <f t="shared" si="94"/>
        <v>-4822.5072412826548</v>
      </c>
      <c r="O383" s="47">
        <f t="shared" si="95"/>
        <v>38838</v>
      </c>
      <c r="BD383" s="48">
        <f t="shared" si="115"/>
        <v>0</v>
      </c>
      <c r="BE383" s="334">
        <f t="shared" si="116"/>
        <v>0</v>
      </c>
      <c r="BG383" s="51">
        <f t="shared" si="96"/>
        <v>38838</v>
      </c>
      <c r="BH383" s="335">
        <f t="shared" si="117"/>
        <v>0</v>
      </c>
      <c r="BI383" s="52">
        <f>VLOOKUP(GasPosn!A383,'Pricing Summary'!$AB$12:$AD$250,3)</f>
        <v>31</v>
      </c>
      <c r="BJ383" s="50">
        <f>VLOOKUP(A383,Interest!$AF$8:$AK$367,6)</f>
        <v>0.81676741294028066</v>
      </c>
      <c r="BL383">
        <f>H383/VLOOKUP(A383,NymexData!$J$12:$K$128,2)</f>
        <v>-3063.0428349306158</v>
      </c>
      <c r="BM383">
        <f>I383/VLOOKUP(A383,NymexData!$J$12:$K$128,2)</f>
        <v>0</v>
      </c>
      <c r="BO383">
        <f t="shared" si="105"/>
        <v>0.81676741294028066</v>
      </c>
      <c r="BP383">
        <f t="shared" si="106"/>
        <v>4.0142126620276564</v>
      </c>
      <c r="BQ383">
        <f t="shared" si="107"/>
        <v>1</v>
      </c>
      <c r="BR383">
        <f t="shared" si="108"/>
        <v>0.81676741294028066</v>
      </c>
      <c r="BS383">
        <f t="shared" si="109"/>
        <v>4.0142126620276564</v>
      </c>
    </row>
    <row r="384" spans="1:71" ht="18" x14ac:dyDescent="0.25">
      <c r="A384" s="100">
        <f t="shared" si="110"/>
        <v>38869</v>
      </c>
      <c r="B384" s="329">
        <f t="array" ref="B384">SUM(IF(MONTH(NymexData!$AO$12:$AO$250)&amp;YEAR(NymexData!$AO$12:$AO$250)=MONTH(A384)&amp;YEAR(A384),NymexData!$AP$12:$AP$250))</f>
        <v>6.7394993193920003</v>
      </c>
      <c r="C384" s="330">
        <f t="shared" si="97"/>
        <v>0</v>
      </c>
      <c r="D384" s="331">
        <f t="shared" si="98"/>
        <v>6.7394993193920003</v>
      </c>
      <c r="E384" s="332">
        <f t="array" ref="E384">SUM(IF(MONTH(NymexData!$A$12:$A$250)&amp;YEAR(NymexData!$A$12:$A$250)=MONTH(A384)&amp;YEAR(A384),NymexData!$F$12:$F$250))</f>
        <v>5.0422411677825449</v>
      </c>
      <c r="F384" s="332">
        <f t="shared" si="99"/>
        <v>-6.9068020681766207E-2</v>
      </c>
      <c r="G384" s="333">
        <f t="array" ref="G384">IF(NymexData!$H$12="",GasPosn!E384,SUM(IF(MONTH(NymexData!$H$12:$H$250)&amp;YEAR(NymexData!$H$12:$H$250)=MONTH(A384)&amp;YEAR(A384),NymexData!$L$12:$L$250)))</f>
        <v>4.9731731471007787</v>
      </c>
      <c r="H384" s="85">
        <f t="shared" si="100"/>
        <v>-4654.8387837651599</v>
      </c>
      <c r="I384" s="88">
        <f t="shared" si="101"/>
        <v>0</v>
      </c>
      <c r="J384" s="88">
        <f t="shared" si="94"/>
        <v>-4654.8387837651599</v>
      </c>
      <c r="O384" s="47">
        <f t="shared" si="95"/>
        <v>38869</v>
      </c>
      <c r="BD384" s="48">
        <f t="shared" si="115"/>
        <v>0</v>
      </c>
      <c r="BE384" s="334">
        <f t="shared" si="116"/>
        <v>0</v>
      </c>
      <c r="BG384" s="51">
        <f t="shared" si="96"/>
        <v>38869</v>
      </c>
      <c r="BH384" s="335">
        <f t="shared" si="117"/>
        <v>0</v>
      </c>
      <c r="BI384" s="52">
        <f>VLOOKUP(GasPosn!A384,'Pricing Summary'!$AB$12:$AD$250,3)</f>
        <v>30</v>
      </c>
      <c r="BJ384" s="50">
        <f>VLOOKUP(A384,Interest!$AF$8:$AK$367,6)</f>
        <v>0.81285253518446399</v>
      </c>
      <c r="BL384">
        <f>H384/VLOOKUP(A384,NymexData!$J$12:$K$128,2)</f>
        <v>-2955.5299875427136</v>
      </c>
      <c r="BM384">
        <f>I384/VLOOKUP(A384,NymexData!$J$12:$K$128,2)</f>
        <v>0</v>
      </c>
      <c r="BO384">
        <f t="shared" si="105"/>
        <v>0.81285253518446399</v>
      </c>
      <c r="BP384">
        <f t="shared" si="106"/>
        <v>4.042456400532167</v>
      </c>
      <c r="BQ384">
        <f t="shared" si="107"/>
        <v>1</v>
      </c>
      <c r="BR384">
        <f t="shared" si="108"/>
        <v>0.81285253518446399</v>
      </c>
      <c r="BS384">
        <f t="shared" si="109"/>
        <v>4.042456400532167</v>
      </c>
    </row>
    <row r="385" spans="1:71" ht="18" x14ac:dyDescent="0.25">
      <c r="A385" s="98">
        <f t="shared" si="110"/>
        <v>38899</v>
      </c>
      <c r="B385" s="324">
        <f t="array" ref="B385">SUM(IF(MONTH(NymexData!$AO$12:$AO$250)&amp;YEAR(NymexData!$AO$12:$AO$250)=MONTH(A385)&amp;YEAR(A385),NymexData!$AP$12:$AP$250))</f>
        <v>6.9281531941580008</v>
      </c>
      <c r="C385" s="324">
        <f t="shared" si="97"/>
        <v>0</v>
      </c>
      <c r="D385" s="326">
        <f t="shared" si="98"/>
        <v>6.9281531941580008</v>
      </c>
      <c r="E385" s="327">
        <f t="array" ref="E385">SUM(IF(MONTH(NymexData!$A$12:$A$250)&amp;YEAR(NymexData!$A$12:$A$250)=MONTH(A385)&amp;YEAR(A385),NymexData!$F$12:$F$250))</f>
        <v>5.111332919624199</v>
      </c>
      <c r="F385" s="327">
        <f t="shared" si="99"/>
        <v>-6.9248631542277117E-2</v>
      </c>
      <c r="G385" s="328">
        <f t="array" ref="G385">IF(NymexData!$H$12="",GasPosn!E385,SUM(IF(MONTH(NymexData!$H$12:$H$250)&amp;YEAR(NymexData!$H$12:$H$250)=MONTH(A385)&amp;YEAR(A385),NymexData!$L$12:$L$250)))</f>
        <v>5.0420842880819219</v>
      </c>
      <c r="H385" s="99">
        <f t="shared" si="100"/>
        <v>-4797.6512781069769</v>
      </c>
      <c r="I385" s="92">
        <f t="shared" si="101"/>
        <v>0</v>
      </c>
      <c r="J385" s="92">
        <f t="shared" si="94"/>
        <v>-4797.6512781069769</v>
      </c>
      <c r="O385" s="47">
        <f t="shared" si="95"/>
        <v>38899</v>
      </c>
      <c r="BD385" s="48">
        <f t="shared" si="115"/>
        <v>0</v>
      </c>
      <c r="BE385" s="334">
        <f t="shared" si="116"/>
        <v>0</v>
      </c>
      <c r="BG385" s="51">
        <f t="shared" si="96"/>
        <v>38899</v>
      </c>
      <c r="BH385" s="335">
        <f t="shared" si="117"/>
        <v>0</v>
      </c>
      <c r="BI385" s="52">
        <f>VLOOKUP(GasPosn!A385,'Pricing Summary'!$AB$12:$AD$250,3)</f>
        <v>31</v>
      </c>
      <c r="BJ385" s="50">
        <f>VLOOKUP(A385,Interest!$AF$8:$AK$367,6)</f>
        <v>0.80885608836446599</v>
      </c>
      <c r="BL385">
        <f>H385/VLOOKUP(A385,NymexData!$J$12:$K$128,2)</f>
        <v>-3045.1579118964305</v>
      </c>
      <c r="BM385">
        <f>I385/VLOOKUP(A385,NymexData!$J$12:$K$128,2)</f>
        <v>0</v>
      </c>
      <c r="BO385">
        <f t="shared" si="105"/>
        <v>0.80885608836446599</v>
      </c>
      <c r="BP385">
        <f t="shared" si="106"/>
        <v>4.0783205744618769</v>
      </c>
      <c r="BQ385">
        <f t="shared" si="107"/>
        <v>1</v>
      </c>
      <c r="BR385">
        <f t="shared" si="108"/>
        <v>0.80885608836446599</v>
      </c>
      <c r="BS385">
        <f t="shared" si="109"/>
        <v>4.0783205744618769</v>
      </c>
    </row>
    <row r="386" spans="1:71" ht="18" x14ac:dyDescent="0.25">
      <c r="A386" s="100">
        <f t="shared" si="110"/>
        <v>38930</v>
      </c>
      <c r="B386" s="329">
        <f t="array" ref="B386">SUM(IF(MONTH(NymexData!$AO$12:$AO$250)&amp;YEAR(NymexData!$AO$12:$AO$250)=MONTH(A386)&amp;YEAR(A386),NymexData!$AP$12:$AP$250))</f>
        <v>6.8907590815560011</v>
      </c>
      <c r="C386" s="330">
        <f t="shared" si="97"/>
        <v>0</v>
      </c>
      <c r="D386" s="331">
        <f t="shared" si="98"/>
        <v>6.8907590815560011</v>
      </c>
      <c r="E386" s="332">
        <f t="array" ref="E386">SUM(IF(MONTH(NymexData!$A$12:$A$250)&amp;YEAR(NymexData!$A$12:$A$250)=MONTH(A386)&amp;YEAR(A386),NymexData!$F$12:$F$250))</f>
        <v>5.1701827789552368</v>
      </c>
      <c r="F386" s="332">
        <f t="shared" si="99"/>
        <v>-6.9478461034270467E-2</v>
      </c>
      <c r="G386" s="333">
        <f t="array" ref="G386">IF(NymexData!$H$12="",GasPosn!E386,SUM(IF(MONTH(NymexData!$H$12:$H$250)&amp;YEAR(NymexData!$H$12:$H$250)=MONTH(A386)&amp;YEAR(A386),NymexData!$L$12:$L$250)))</f>
        <v>5.1007043179209663</v>
      </c>
      <c r="H386" s="85">
        <f t="shared" si="100"/>
        <v>-4787.593363444339</v>
      </c>
      <c r="I386" s="88">
        <f t="shared" si="101"/>
        <v>0</v>
      </c>
      <c r="J386" s="88">
        <f t="shared" si="94"/>
        <v>-4787.593363444339</v>
      </c>
      <c r="O386" s="47">
        <f t="shared" si="95"/>
        <v>38930</v>
      </c>
      <c r="BD386" s="48">
        <f t="shared" si="115"/>
        <v>0</v>
      </c>
      <c r="BE386" s="334">
        <f t="shared" si="116"/>
        <v>0</v>
      </c>
      <c r="BG386" s="51">
        <f t="shared" si="96"/>
        <v>38930</v>
      </c>
      <c r="BH386" s="335">
        <f t="shared" si="117"/>
        <v>0</v>
      </c>
      <c r="BI386" s="52">
        <f>VLOOKUP(GasPosn!A386,'Pricing Summary'!$AB$12:$AD$250,3)</f>
        <v>31</v>
      </c>
      <c r="BJ386" s="50">
        <f>VLOOKUP(A386,Interest!$AF$8:$AK$367,6)</f>
        <v>0.80481339087351089</v>
      </c>
      <c r="BL386">
        <f>H386/VLOOKUP(A386,NymexData!$J$12:$K$128,2)</f>
        <v>-3037.6568567086565</v>
      </c>
      <c r="BM386">
        <f>I386/VLOOKUP(A386,NymexData!$J$12:$K$128,2)</f>
        <v>0</v>
      </c>
      <c r="BO386">
        <f t="shared" si="105"/>
        <v>0.80481339087351089</v>
      </c>
      <c r="BP386">
        <f t="shared" si="106"/>
        <v>4.1051151379491317</v>
      </c>
      <c r="BQ386">
        <f t="shared" si="107"/>
        <v>1</v>
      </c>
      <c r="BR386">
        <f t="shared" si="108"/>
        <v>0.80481339087351089</v>
      </c>
      <c r="BS386">
        <f t="shared" si="109"/>
        <v>4.1051151379491317</v>
      </c>
    </row>
    <row r="387" spans="1:71" ht="18" x14ac:dyDescent="0.25">
      <c r="A387" s="98">
        <f t="shared" si="110"/>
        <v>38961</v>
      </c>
      <c r="B387" s="324">
        <f t="array" ref="B387">SUM(IF(MONTH(NymexData!$AO$12:$AO$250)&amp;YEAR(NymexData!$AO$12:$AO$250)=MONTH(A387)&amp;YEAR(A387),NymexData!$AP$12:$AP$250))</f>
        <v>6.6320990875300003</v>
      </c>
      <c r="C387" s="324">
        <f t="shared" si="97"/>
        <v>0</v>
      </c>
      <c r="D387" s="326">
        <f t="shared" si="98"/>
        <v>6.6320990875300003</v>
      </c>
      <c r="E387" s="327">
        <f t="array" ref="E387">SUM(IF(MONTH(NymexData!$A$12:$A$250)&amp;YEAR(NymexData!$A$12:$A$250)=MONTH(A387)&amp;YEAR(A387),NymexData!$F$12:$F$250))</f>
        <v>5.1635057620731093</v>
      </c>
      <c r="F387" s="327">
        <f t="shared" si="99"/>
        <v>-6.9831029877160056E-2</v>
      </c>
      <c r="G387" s="328">
        <f t="array" ref="G387">IF(NymexData!$H$12="",GasPosn!E387,SUM(IF(MONTH(NymexData!$H$12:$H$250)&amp;YEAR(NymexData!$H$12:$H$250)=MONTH(A387)&amp;YEAR(A387),NymexData!$L$12:$L$250)))</f>
        <v>5.0936747321959492</v>
      </c>
      <c r="H387" s="99">
        <f t="shared" si="100"/>
        <v>-4631.2630952959344</v>
      </c>
      <c r="I387" s="92">
        <f t="shared" si="101"/>
        <v>0</v>
      </c>
      <c r="J387" s="92">
        <f t="shared" si="94"/>
        <v>-4631.2630952959344</v>
      </c>
      <c r="O387" s="47">
        <f t="shared" si="95"/>
        <v>38961</v>
      </c>
      <c r="BD387" s="48">
        <f t="shared" si="115"/>
        <v>0</v>
      </c>
      <c r="BE387" s="334">
        <f t="shared" si="116"/>
        <v>0</v>
      </c>
      <c r="BG387" s="51">
        <f t="shared" si="96"/>
        <v>38961</v>
      </c>
      <c r="BH387" s="335">
        <f t="shared" si="117"/>
        <v>0</v>
      </c>
      <c r="BI387" s="52">
        <f>VLOOKUP(GasPosn!A387,'Pricing Summary'!$AB$12:$AD$250,3)</f>
        <v>30</v>
      </c>
      <c r="BJ387" s="50">
        <f>VLOOKUP(A387,Interest!$AF$8:$AK$367,6)</f>
        <v>0.80085477947823691</v>
      </c>
      <c r="BL387">
        <f>H387/VLOOKUP(A387,NymexData!$J$12:$K$128,2)</f>
        <v>-2937.3522548636452</v>
      </c>
      <c r="BM387">
        <f>I387/VLOOKUP(A387,NymexData!$J$12:$K$128,2)</f>
        <v>0</v>
      </c>
      <c r="BO387">
        <f t="shared" si="105"/>
        <v>0.80085477947823691</v>
      </c>
      <c r="BP387">
        <f t="shared" si="106"/>
        <v>4.0792937543866543</v>
      </c>
      <c r="BQ387">
        <f t="shared" si="107"/>
        <v>1</v>
      </c>
      <c r="BR387">
        <f t="shared" si="108"/>
        <v>0.80085477947823691</v>
      </c>
      <c r="BS387">
        <f t="shared" si="109"/>
        <v>4.0792937543866543</v>
      </c>
    </row>
    <row r="388" spans="1:71" ht="18" x14ac:dyDescent="0.25">
      <c r="A388" s="100">
        <f t="shared" si="110"/>
        <v>38991</v>
      </c>
      <c r="B388" s="329">
        <f t="array" ref="B388">SUM(IF(MONTH(NymexData!$AO$12:$AO$250)&amp;YEAR(NymexData!$AO$12:$AO$250)=MONTH(A388)&amp;YEAR(A388),NymexData!$AP$12:$AP$250))</f>
        <v>6.816610289622</v>
      </c>
      <c r="C388" s="330">
        <f t="shared" si="97"/>
        <v>0</v>
      </c>
      <c r="D388" s="331">
        <f t="shared" si="98"/>
        <v>6.816610289622</v>
      </c>
      <c r="E388" s="332">
        <f t="array" ref="E388">SUM(IF(MONTH(NymexData!$A$12:$A$250)&amp;YEAR(NymexData!$A$12:$A$250)=MONTH(A388)&amp;YEAR(A388),NymexData!$F$12:$F$250))</f>
        <v>5.1657781749180218</v>
      </c>
      <c r="F388" s="332">
        <f t="shared" si="99"/>
        <v>-7.0173677396706324E-2</v>
      </c>
      <c r="G388" s="333">
        <f t="array" ref="G388">IF(NymexData!$H$12="",GasPosn!E388,SUM(IF(MONTH(NymexData!$H$12:$H$250)&amp;YEAR(NymexData!$H$12:$H$250)=MONTH(A388)&amp;YEAR(A388),NymexData!$L$12:$L$250)))</f>
        <v>5.0956044975213155</v>
      </c>
      <c r="H388" s="85">
        <f t="shared" si="100"/>
        <v>-4783.4661140300313</v>
      </c>
      <c r="I388" s="88">
        <f t="shared" si="101"/>
        <v>0</v>
      </c>
      <c r="J388" s="88">
        <f t="shared" si="94"/>
        <v>-4783.4661140300313</v>
      </c>
      <c r="O388" s="47">
        <f t="shared" si="95"/>
        <v>38991</v>
      </c>
      <c r="BD388" s="48">
        <f t="shared" si="115"/>
        <v>0</v>
      </c>
      <c r="BE388" s="334">
        <f t="shared" si="116"/>
        <v>0</v>
      </c>
      <c r="BG388" s="51">
        <f t="shared" si="96"/>
        <v>38991</v>
      </c>
      <c r="BH388" s="335">
        <f t="shared" si="117"/>
        <v>0</v>
      </c>
      <c r="BI388" s="52">
        <f>VLOOKUP(GasPosn!A388,'Pricing Summary'!$AB$12:$AD$250,3)</f>
        <v>31</v>
      </c>
      <c r="BJ388" s="50">
        <f>VLOOKUP(A388,Interest!$AF$8:$AK$367,6)</f>
        <v>0.79681680590159942</v>
      </c>
      <c r="BL388">
        <f>H388/VLOOKUP(A388,NymexData!$J$12:$K$128,2)</f>
        <v>-3032.7371847330933</v>
      </c>
      <c r="BM388">
        <f>I388/VLOOKUP(A388,NymexData!$J$12:$K$128,2)</f>
        <v>0</v>
      </c>
      <c r="BO388">
        <f t="shared" si="105"/>
        <v>0.79681680590159942</v>
      </c>
      <c r="BP388">
        <f t="shared" si="106"/>
        <v>4.0602632998527595</v>
      </c>
      <c r="BQ388">
        <f t="shared" si="107"/>
        <v>1</v>
      </c>
      <c r="BR388">
        <f t="shared" si="108"/>
        <v>0.79681680590159942</v>
      </c>
      <c r="BS388">
        <f t="shared" si="109"/>
        <v>4.0602632998527595</v>
      </c>
    </row>
    <row r="389" spans="1:71" ht="18" x14ac:dyDescent="0.25">
      <c r="A389" s="98">
        <f t="shared" si="110"/>
        <v>39022</v>
      </c>
      <c r="B389" s="324">
        <f t="array" ref="B389">SUM(IF(MONTH(NymexData!$AO$12:$AO$250)&amp;YEAR(NymexData!$AO$12:$AO$250)=MONTH(A389)&amp;YEAR(A389),NymexData!$AP$12:$AP$250))</f>
        <v>6.5613631907040002</v>
      </c>
      <c r="C389" s="324">
        <f t="shared" si="97"/>
        <v>0</v>
      </c>
      <c r="D389" s="326">
        <f t="shared" si="98"/>
        <v>6.5613631907040002</v>
      </c>
      <c r="E389" s="327">
        <f t="array" ref="E389">SUM(IF(MONTH(NymexData!$A$12:$A$250)&amp;YEAR(NymexData!$A$12:$A$250)=MONTH(A389)&amp;YEAR(A389),NymexData!$F$12:$F$250))</f>
        <v>5.44819387111297</v>
      </c>
      <c r="F389" s="327">
        <f t="shared" si="99"/>
        <v>-6.8756093398885554E-2</v>
      </c>
      <c r="G389" s="328">
        <f t="array" ref="G389">IF(NymexData!$H$12="",GasPosn!E389,SUM(IF(MONTH(NymexData!$H$12:$H$250)&amp;YEAR(NymexData!$H$12:$H$250)=MONTH(A389)&amp;YEAR(A389),NymexData!$L$12:$L$250)))</f>
        <v>5.3794377777140845</v>
      </c>
      <c r="H389" s="99">
        <f t="shared" si="100"/>
        <v>-4511.3370036405395</v>
      </c>
      <c r="I389" s="92">
        <f t="shared" si="101"/>
        <v>0</v>
      </c>
      <c r="J389" s="92">
        <f t="shared" si="94"/>
        <v>-4511.3370036405395</v>
      </c>
      <c r="O389" s="47">
        <f t="shared" si="95"/>
        <v>39022</v>
      </c>
      <c r="BD389" s="48">
        <f t="shared" si="115"/>
        <v>0</v>
      </c>
      <c r="BE389" s="334">
        <f t="shared" si="116"/>
        <v>0</v>
      </c>
      <c r="BG389" s="51">
        <f t="shared" si="96"/>
        <v>39022</v>
      </c>
      <c r="BH389" s="335">
        <f t="shared" si="117"/>
        <v>0</v>
      </c>
      <c r="BI389" s="52">
        <f>VLOOKUP(GasPosn!A389,'Pricing Summary'!$AB$12:$AD$250,3)</f>
        <v>30</v>
      </c>
      <c r="BJ389" s="50">
        <f>VLOOKUP(A389,Interest!$AF$8:$AK$367,6)</f>
        <v>0.79288469694292008</v>
      </c>
      <c r="BL389">
        <f>H389/VLOOKUP(A389,NymexData!$J$12:$K$128,2)</f>
        <v>-2859.5235212148573</v>
      </c>
      <c r="BM389">
        <f>I389/VLOOKUP(A389,NymexData!$J$12:$K$128,2)</f>
        <v>0</v>
      </c>
      <c r="BO389">
        <f t="shared" si="105"/>
        <v>0.79288469694292008</v>
      </c>
      <c r="BP389">
        <f t="shared" si="106"/>
        <v>4.2652738921061273</v>
      </c>
      <c r="BQ389">
        <f t="shared" si="107"/>
        <v>1</v>
      </c>
      <c r="BR389">
        <f t="shared" si="108"/>
        <v>0.79288469694292008</v>
      </c>
      <c r="BS389">
        <f t="shared" si="109"/>
        <v>4.2652738921061273</v>
      </c>
    </row>
    <row r="390" spans="1:71" ht="18" x14ac:dyDescent="0.25">
      <c r="A390" s="100">
        <f t="shared" si="110"/>
        <v>39052</v>
      </c>
      <c r="B390" s="329">
        <f t="array" ref="B390">SUM(IF(MONTH(NymexData!$AO$12:$AO$250)&amp;YEAR(NymexData!$AO$12:$AO$250)=MONTH(A390)&amp;YEAR(A390),NymexData!$AP$12:$AP$250))</f>
        <v>6.7485860580740002</v>
      </c>
      <c r="C390" s="330">
        <f t="shared" si="97"/>
        <v>0</v>
      </c>
      <c r="D390" s="331">
        <f t="shared" si="98"/>
        <v>6.7485860580740002</v>
      </c>
      <c r="E390" s="332">
        <f t="array" ref="E390">SUM(IF(MONTH(NymexData!$A$12:$A$250)&amp;YEAR(NymexData!$A$12:$A$250)=MONTH(A390)&amp;YEAR(A390),NymexData!$F$12:$F$250))</f>
        <v>5.6751805002959763</v>
      </c>
      <c r="F390" s="332">
        <f t="shared" si="99"/>
        <v>-6.8462170008926293E-2</v>
      </c>
      <c r="G390" s="333">
        <f t="array" ref="G390">IF(NymexData!$H$12="",GasPosn!E390,SUM(IF(MONTH(NymexData!$H$12:$H$250)&amp;YEAR(NymexData!$H$12:$H$250)=MONTH(A390)&amp;YEAR(A390),NymexData!$L$12:$L$250)))</f>
        <v>5.60671833028705</v>
      </c>
      <c r="H390" s="85">
        <f t="shared" si="100"/>
        <v>-4620.2284602773188</v>
      </c>
      <c r="I390" s="88">
        <f t="shared" si="101"/>
        <v>0</v>
      </c>
      <c r="J390" s="88">
        <f t="shared" si="94"/>
        <v>-4620.2284602773188</v>
      </c>
      <c r="O390" s="47">
        <f t="shared" si="95"/>
        <v>39052</v>
      </c>
      <c r="BD390" s="48">
        <f t="shared" si="115"/>
        <v>0</v>
      </c>
      <c r="BE390" s="334">
        <f t="shared" si="116"/>
        <v>0</v>
      </c>
      <c r="BG390" s="51">
        <f t="shared" si="96"/>
        <v>39052</v>
      </c>
      <c r="BH390" s="335">
        <f t="shared" si="117"/>
        <v>0</v>
      </c>
      <c r="BI390" s="52">
        <f>VLOOKUP(GasPosn!A390,'Pricing Summary'!$AB$12:$AD$250,3)</f>
        <v>31</v>
      </c>
      <c r="BJ390" s="50">
        <f>VLOOKUP(A390,Interest!$AF$8:$AK$367,6)</f>
        <v>0.78909218281962379</v>
      </c>
      <c r="BL390">
        <f>H390/VLOOKUP(A390,NymexData!$J$12:$K$128,2)</f>
        <v>-2928.5494298663966</v>
      </c>
      <c r="BM390">
        <f>I390/VLOOKUP(A390,NymexData!$J$12:$K$128,2)</f>
        <v>0</v>
      </c>
      <c r="BO390">
        <f t="shared" si="105"/>
        <v>0.78909218281962379</v>
      </c>
      <c r="BP390">
        <f t="shared" si="106"/>
        <v>4.4242176057010045</v>
      </c>
      <c r="BQ390">
        <f t="shared" si="107"/>
        <v>1</v>
      </c>
      <c r="BR390">
        <f t="shared" si="108"/>
        <v>0.78909218281962379</v>
      </c>
      <c r="BS390">
        <f t="shared" si="109"/>
        <v>4.4242176057010045</v>
      </c>
    </row>
    <row r="391" spans="1:71" ht="18" x14ac:dyDescent="0.25">
      <c r="A391" s="98">
        <f t="shared" si="110"/>
        <v>39083</v>
      </c>
      <c r="B391" s="324">
        <f t="array" ref="B391">SUM(IF(MONTH(NymexData!$AO$12:$AO$250)&amp;YEAR(NymexData!$AO$12:$AO$250)=MONTH(A391)&amp;YEAR(A391),NymexData!$AP$12:$AP$250))</f>
        <v>5.3285052795940002</v>
      </c>
      <c r="C391" s="324">
        <f t="shared" si="97"/>
        <v>0</v>
      </c>
      <c r="D391" s="326">
        <f t="shared" si="98"/>
        <v>5.3285052795940002</v>
      </c>
      <c r="E391" s="327">
        <f t="array" ref="E391">SUM(IF(MONTH(NymexData!$A$12:$A$250)&amp;YEAR(NymexData!$A$12:$A$250)=MONTH(A391)&amp;YEAR(A391),NymexData!$F$12:$F$250))</f>
        <v>5.764781285777679</v>
      </c>
      <c r="F391" s="327">
        <f t="shared" si="99"/>
        <v>-6.0886039812880099E-2</v>
      </c>
      <c r="G391" s="328">
        <f t="array" ref="G391">IF(NymexData!$H$12="",GasPosn!E391,SUM(IF(MONTH(NymexData!$H$12:$H$250)&amp;YEAR(NymexData!$H$12:$H$250)=MONTH(A391)&amp;YEAR(A391),NymexData!$L$12:$L$250)))</f>
        <v>5.7038952459647989</v>
      </c>
      <c r="H391" s="99">
        <f t="shared" si="100"/>
        <v>-3244.3158459650208</v>
      </c>
      <c r="I391" s="92">
        <f t="shared" si="101"/>
        <v>0</v>
      </c>
      <c r="J391" s="92">
        <f t="shared" si="94"/>
        <v>-3244.3158459650208</v>
      </c>
      <c r="O391" s="47">
        <f t="shared" si="95"/>
        <v>39083</v>
      </c>
      <c r="BD391" s="48">
        <f t="shared" si="115"/>
        <v>0</v>
      </c>
      <c r="BE391" s="334">
        <f t="shared" si="116"/>
        <v>0</v>
      </c>
      <c r="BG391" s="51">
        <f t="shared" si="96"/>
        <v>39083</v>
      </c>
      <c r="BH391" s="335">
        <f t="shared" si="117"/>
        <v>0</v>
      </c>
      <c r="BI391" s="52">
        <f>VLOOKUP(GasPosn!A391,'Pricing Summary'!$AB$12:$AD$250,3)</f>
        <v>31</v>
      </c>
      <c r="BJ391" s="50">
        <f>VLOOKUP(A391,Interest!$AF$8:$AK$367,6)</f>
        <v>0.78526869645536734</v>
      </c>
      <c r="BL391">
        <f>H391/VLOOKUP(A391,NymexData!$J$12:$K$128,2)</f>
        <v>-2056.428880213603</v>
      </c>
      <c r="BM391">
        <f>I391/VLOOKUP(A391,NymexData!$J$12:$K$128,2)</f>
        <v>0</v>
      </c>
      <c r="BO391">
        <f t="shared" si="105"/>
        <v>0.78526869645536734</v>
      </c>
      <c r="BP391">
        <f t="shared" si="106"/>
        <v>4.4790903845167449</v>
      </c>
      <c r="BQ391">
        <f t="shared" si="107"/>
        <v>0</v>
      </c>
      <c r="BR391">
        <f t="shared" si="108"/>
        <v>0</v>
      </c>
      <c r="BS391">
        <f t="shared" si="109"/>
        <v>0</v>
      </c>
    </row>
    <row r="392" spans="1:71" ht="18" x14ac:dyDescent="0.25">
      <c r="A392" s="100">
        <f t="shared" si="110"/>
        <v>39114</v>
      </c>
      <c r="B392" s="329">
        <f t="array" ref="B392">SUM(IF(MONTH(NymexData!$AO$12:$AO$250)&amp;YEAR(NymexData!$AO$12:$AO$250)=MONTH(A392)&amp;YEAR(A392),NymexData!$AP$12:$AP$250))</f>
        <v>4.7894560287420003</v>
      </c>
      <c r="C392" s="330">
        <f t="shared" si="97"/>
        <v>0</v>
      </c>
      <c r="D392" s="331">
        <f t="shared" si="98"/>
        <v>4.7894560287420003</v>
      </c>
      <c r="E392" s="332">
        <f t="array" ref="E392">SUM(IF(MONTH(NymexData!$A$12:$A$250)&amp;YEAR(NymexData!$A$12:$A$250)=MONTH(A392)&amp;YEAR(A392),NymexData!$F$12:$F$250))</f>
        <v>5.6348652351362469</v>
      </c>
      <c r="F392" s="332">
        <f t="shared" si="99"/>
        <v>-6.258632175532064E-2</v>
      </c>
      <c r="G392" s="333">
        <f t="array" ref="G392">IF(NymexData!$H$12="",GasPosn!E392,SUM(IF(MONTH(NymexData!$H$12:$H$250)&amp;YEAR(NymexData!$H$12:$H$250)=MONTH(A392)&amp;YEAR(A392),NymexData!$L$12:$L$250)))</f>
        <v>5.5722789133809263</v>
      </c>
      <c r="H392" s="85">
        <f t="shared" si="100"/>
        <v>-2997.5443604780708</v>
      </c>
      <c r="I392" s="88">
        <f t="shared" si="101"/>
        <v>0</v>
      </c>
      <c r="J392" s="88">
        <f t="shared" si="94"/>
        <v>-2997.5443604780708</v>
      </c>
      <c r="O392" s="47">
        <f t="shared" si="95"/>
        <v>39114</v>
      </c>
      <c r="BD392" s="48">
        <f t="shared" si="115"/>
        <v>0</v>
      </c>
      <c r="BE392" s="334">
        <f t="shared" si="116"/>
        <v>0</v>
      </c>
      <c r="BG392" s="51">
        <f t="shared" si="96"/>
        <v>39114</v>
      </c>
      <c r="BH392" s="335">
        <f t="shared" si="117"/>
        <v>0</v>
      </c>
      <c r="BI392" s="52">
        <f>VLOOKUP(GasPosn!A392,'Pricing Summary'!$AB$12:$AD$250,3)</f>
        <v>28</v>
      </c>
      <c r="BJ392" s="50">
        <f>VLOOKUP(A392,Interest!$AF$8:$AK$367,6)</f>
        <v>0.78173401608120174</v>
      </c>
      <c r="BL392">
        <f>H392/VLOOKUP(A392,NymexData!$J$12:$K$128,2)</f>
        <v>-1900.0209364832397</v>
      </c>
      <c r="BM392">
        <f>I392/VLOOKUP(A392,NymexData!$J$12:$K$128,2)</f>
        <v>0</v>
      </c>
      <c r="BO392">
        <f t="shared" si="105"/>
        <v>0.78173401608120174</v>
      </c>
      <c r="BP392">
        <f t="shared" si="106"/>
        <v>4.3560399736818667</v>
      </c>
      <c r="BQ392">
        <f t="shared" si="107"/>
        <v>0</v>
      </c>
      <c r="BR392">
        <f t="shared" si="108"/>
        <v>0</v>
      </c>
      <c r="BS392">
        <f t="shared" si="109"/>
        <v>0</v>
      </c>
    </row>
    <row r="393" spans="1:71" ht="18" x14ac:dyDescent="0.25">
      <c r="A393" s="98">
        <f t="shared" si="110"/>
        <v>39142</v>
      </c>
      <c r="B393" s="324">
        <f t="array" ref="B393">SUM(IF(MONTH(NymexData!$AO$12:$AO$250)&amp;YEAR(NymexData!$AO$12:$AO$250)=MONTH(A393)&amp;YEAR(A393),NymexData!$AP$12:$AP$250))</f>
        <v>5.2791935771820002</v>
      </c>
      <c r="C393" s="324">
        <f t="shared" si="97"/>
        <v>0</v>
      </c>
      <c r="D393" s="326">
        <f t="shared" si="98"/>
        <v>5.2791935771820002</v>
      </c>
      <c r="E393" s="327">
        <f t="array" ref="E393">SUM(IF(MONTH(NymexData!$A$12:$A$250)&amp;YEAR(NymexData!$A$12:$A$250)=MONTH(A393)&amp;YEAR(A393),NymexData!$F$12:$F$250))</f>
        <v>5.427294521841648</v>
      </c>
      <c r="F393" s="327">
        <f t="shared" si="99"/>
        <v>-6.2896359910151745E-2</v>
      </c>
      <c r="G393" s="328">
        <f t="array" ref="G393">IF(NymexData!$H$12="",GasPosn!E393,SUM(IF(MONTH(NymexData!$H$12:$H$250)&amp;YEAR(NymexData!$H$12:$H$250)=MONTH(A393)&amp;YEAR(A393),NymexData!$L$12:$L$250)))</f>
        <v>5.3643981619314962</v>
      </c>
      <c r="H393" s="99">
        <f t="shared" si="100"/>
        <v>-3320.4205926580057</v>
      </c>
      <c r="I393" s="92">
        <f t="shared" si="101"/>
        <v>0</v>
      </c>
      <c r="J393" s="92">
        <f t="shared" ref="J393:J444" si="118">H393+I393</f>
        <v>-3320.4205926580057</v>
      </c>
      <c r="O393" s="47">
        <f t="shared" ref="O393:O445" si="119">A393</f>
        <v>39142</v>
      </c>
      <c r="BD393" s="48">
        <f t="shared" si="115"/>
        <v>0</v>
      </c>
      <c r="BE393" s="334">
        <f t="shared" si="116"/>
        <v>0</v>
      </c>
      <c r="BG393" s="51">
        <f t="shared" ref="BG393:BG445" si="120">O393</f>
        <v>39142</v>
      </c>
      <c r="BH393" s="335">
        <f t="shared" si="117"/>
        <v>0</v>
      </c>
      <c r="BI393" s="52">
        <f>VLOOKUP(GasPosn!A393,'Pricing Summary'!$AB$12:$AD$250,3)</f>
        <v>31</v>
      </c>
      <c r="BJ393" s="50">
        <f>VLOOKUP(A393,Interest!$AF$8:$AK$367,6)</f>
        <v>0.777974770387315</v>
      </c>
      <c r="BL393">
        <f>H393/VLOOKUP(A393,NymexData!$J$12:$K$128,2)</f>
        <v>-2104.6917160480621</v>
      </c>
      <c r="BM393">
        <f>I393/VLOOKUP(A393,NymexData!$J$12:$K$128,2)</f>
        <v>0</v>
      </c>
      <c r="BO393">
        <f t="shared" si="105"/>
        <v>0.777974770387315</v>
      </c>
      <c r="BP393">
        <f t="shared" si="106"/>
        <v>4.1733664282947904</v>
      </c>
      <c r="BQ393">
        <f t="shared" si="107"/>
        <v>0</v>
      </c>
      <c r="BR393">
        <f t="shared" si="108"/>
        <v>0</v>
      </c>
      <c r="BS393">
        <f t="shared" si="109"/>
        <v>0</v>
      </c>
    </row>
    <row r="394" spans="1:71" ht="18" x14ac:dyDescent="0.25">
      <c r="A394" s="100">
        <f t="shared" ref="A394:A445" si="121">A77</f>
        <v>39173</v>
      </c>
      <c r="B394" s="329">
        <f t="array" ref="B394">SUM(IF(MONTH(NymexData!$AO$12:$AO$250)&amp;YEAR(NymexData!$AO$12:$AO$250)=MONTH(A394)&amp;YEAR(A394),NymexData!$AP$12:$AP$250))</f>
        <v>5.0837741828020002</v>
      </c>
      <c r="C394" s="330">
        <f t="shared" ref="C394:C445" si="122">BD394*BJ394*BI394</f>
        <v>0</v>
      </c>
      <c r="D394" s="331">
        <f t="shared" ref="D394:D444" si="123">C394+B394</f>
        <v>5.0837741828020002</v>
      </c>
      <c r="E394" s="332">
        <f t="array" ref="E394">SUM(IF(MONTH(NymexData!$A$12:$A$250)&amp;YEAR(NymexData!$A$12:$A$250)=MONTH(A394)&amp;YEAR(A394),NymexData!$F$12:$F$250))</f>
        <v>5.1226562579792203</v>
      </c>
      <c r="F394" s="332">
        <f t="shared" ref="F394:F445" si="124">G394-E394</f>
        <v>-6.3341915258444459E-2</v>
      </c>
      <c r="G394" s="333">
        <f t="array" ref="G394">IF(NymexData!$H$12="",GasPosn!E394,SUM(IF(MONTH(NymexData!$H$12:$H$250)&amp;YEAR(NymexData!$H$12:$H$250)=MONTH(A394)&amp;YEAR(A394),NymexData!$L$12:$L$250)))</f>
        <v>5.0593143427207758</v>
      </c>
      <c r="H394" s="85">
        <f t="shared" ref="H394:H445" si="125">B394*10000*F394</f>
        <v>-3220.15993480112</v>
      </c>
      <c r="I394" s="88">
        <f t="shared" ref="I394:I445" si="126">(((G394-Q394)*P394+(G394-S394)*R394+(G394-U394)*T394+(G394-W394)*V394+(G394-Y394)*X394+(G394-AA394)*Z394+(G394-AC394)*AB394+(G394-AE394)*AD394+(G394-AG394)*AF394+(G394-AI394)*AH394+(G394-AK394)*AJ394+(G394-AM394)*AL394+(G394-AO394)*AN394+(G394-AQ394)*AP394+(G394-AS394)*AR394+(G394-AU394)*AT394+(G394-AW394)*AV394+(G394-AY394)*AX394+(G394-BA394)*AZ394+(G394-BC394)*BB394)*BJ394*BI394)*10000</f>
        <v>0</v>
      </c>
      <c r="J394" s="88">
        <f t="shared" si="118"/>
        <v>-3220.15993480112</v>
      </c>
      <c r="O394" s="47">
        <f t="shared" si="119"/>
        <v>39173</v>
      </c>
      <c r="BD394" s="48">
        <f t="shared" si="115"/>
        <v>0</v>
      </c>
      <c r="BE394" s="334">
        <f t="shared" si="116"/>
        <v>0</v>
      </c>
      <c r="BG394" s="51">
        <f t="shared" si="120"/>
        <v>39173</v>
      </c>
      <c r="BH394" s="335">
        <f t="shared" si="117"/>
        <v>0</v>
      </c>
      <c r="BI394" s="52">
        <f>VLOOKUP(GasPosn!A394,'Pricing Summary'!$AB$12:$AD$250,3)</f>
        <v>30</v>
      </c>
      <c r="BJ394" s="50">
        <f>VLOOKUP(A394,Interest!$AF$8:$AK$367,6)</f>
        <v>0.77423214013431108</v>
      </c>
      <c r="BL394">
        <f>H394/VLOOKUP(A394,NymexData!$J$12:$K$128,2)</f>
        <v>-2041.1571744068988</v>
      </c>
      <c r="BM394">
        <f>I394/VLOOKUP(A394,NymexData!$J$12:$K$128,2)</f>
        <v>0</v>
      </c>
      <c r="BO394">
        <f t="shared" ref="BO394:BO445" si="127">BO77</f>
        <v>0.77423214013431108</v>
      </c>
      <c r="BP394">
        <f t="shared" ref="BP394:BP445" si="128">G394*BO394</f>
        <v>3.9170837711769217</v>
      </c>
      <c r="BQ394">
        <f t="shared" ref="BQ394:BQ445" si="129">IF(AND(A394&gt;=$B$320,A394&lt;=$B$321),1,0)</f>
        <v>0</v>
      </c>
      <c r="BR394">
        <f t="shared" ref="BR394:BR445" si="130">BO394*BQ394</f>
        <v>0</v>
      </c>
      <c r="BS394">
        <f t="shared" ref="BS394:BS445" si="131">BP394*BQ394</f>
        <v>0</v>
      </c>
    </row>
    <row r="395" spans="1:71" ht="18" x14ac:dyDescent="0.25">
      <c r="A395" s="98">
        <f t="shared" si="121"/>
        <v>39203</v>
      </c>
      <c r="B395" s="324">
        <f t="array" ref="B395">SUM(IF(MONTH(NymexData!$AO$12:$AO$250)&amp;YEAR(NymexData!$AO$12:$AO$250)=MONTH(A395)&amp;YEAR(A395),NymexData!$AP$12:$AP$250))</f>
        <v>5.2280794150760004</v>
      </c>
      <c r="C395" s="325">
        <f t="shared" si="122"/>
        <v>0</v>
      </c>
      <c r="D395" s="326">
        <f t="shared" si="123"/>
        <v>5.2280794150760004</v>
      </c>
      <c r="E395" s="327">
        <f t="array" ref="E395">SUM(IF(MONTH(NymexData!$A$12:$A$250)&amp;YEAR(NymexData!$A$12:$A$250)=MONTH(A395)&amp;YEAR(A395),NymexData!$F$12:$F$250))</f>
        <v>5.1301071299251042</v>
      </c>
      <c r="F395" s="327">
        <f t="shared" si="124"/>
        <v>-6.336535802817167E-2</v>
      </c>
      <c r="G395" s="328">
        <f t="array" ref="G395">IF(NymexData!$H$12="",GasPosn!E395,SUM(IF(MONTH(NymexData!$H$12:$H$250)&amp;YEAR(NymexData!$H$12:$H$250)=MONTH(A395)&amp;YEAR(A395),NymexData!$L$12:$L$250)))</f>
        <v>5.0667417718969325</v>
      </c>
      <c r="H395" s="99">
        <f t="shared" si="125"/>
        <v>-3312.7912393600509</v>
      </c>
      <c r="I395" s="92">
        <f t="shared" si="126"/>
        <v>0</v>
      </c>
      <c r="J395" s="92">
        <f t="shared" si="118"/>
        <v>-3312.7912393600509</v>
      </c>
      <c r="O395" s="47">
        <f t="shared" si="119"/>
        <v>39203</v>
      </c>
      <c r="BD395" s="48">
        <f t="shared" si="115"/>
        <v>0</v>
      </c>
      <c r="BE395" s="334">
        <f t="shared" si="116"/>
        <v>0</v>
      </c>
      <c r="BG395" s="51">
        <f t="shared" si="120"/>
        <v>39203</v>
      </c>
      <c r="BH395" s="335">
        <f t="shared" si="117"/>
        <v>0</v>
      </c>
      <c r="BI395" s="52">
        <f>VLOOKUP(GasPosn!A395,'Pricing Summary'!$AB$12:$AD$250,3)</f>
        <v>31</v>
      </c>
      <c r="BJ395" s="50">
        <f>VLOOKUP(A395,Interest!$AF$8:$AK$367,6)</f>
        <v>0.77041190341346999</v>
      </c>
      <c r="BL395">
        <f>H395/VLOOKUP(A395,NymexData!$J$12:$K$128,2)</f>
        <v>-2099.8935349361759</v>
      </c>
      <c r="BM395">
        <f>I395/VLOOKUP(A395,NymexData!$J$12:$K$128,2)</f>
        <v>0</v>
      </c>
      <c r="BO395">
        <f t="shared" si="127"/>
        <v>0.77041190341346999</v>
      </c>
      <c r="BP395">
        <f t="shared" si="128"/>
        <v>3.9034781725916532</v>
      </c>
      <c r="BQ395">
        <f t="shared" si="129"/>
        <v>0</v>
      </c>
      <c r="BR395">
        <f t="shared" si="130"/>
        <v>0</v>
      </c>
      <c r="BS395">
        <f t="shared" si="131"/>
        <v>0</v>
      </c>
    </row>
    <row r="396" spans="1:71" ht="18" x14ac:dyDescent="0.25">
      <c r="A396" s="100">
        <f t="shared" si="121"/>
        <v>39234</v>
      </c>
      <c r="B396" s="329">
        <f t="array" ref="B396">SUM(IF(MONTH(NymexData!$AO$12:$AO$250)&amp;YEAR(NymexData!$AO$12:$AO$250)=MONTH(A396)&amp;YEAR(A396),NymexData!$AP$12:$AP$250))</f>
        <v>5.0342483818480002</v>
      </c>
      <c r="C396" s="330">
        <f t="shared" si="122"/>
        <v>0</v>
      </c>
      <c r="D396" s="331">
        <f t="shared" si="123"/>
        <v>5.0342483818480002</v>
      </c>
      <c r="E396" s="332">
        <f t="array" ref="E396">SUM(IF(MONTH(NymexData!$A$12:$A$250)&amp;YEAR(NymexData!$A$12:$A$250)=MONTH(A396)&amp;YEAR(A396),NymexData!$F$12:$F$250))</f>
        <v>5.1868298829970145</v>
      </c>
      <c r="F396" s="332">
        <f t="shared" si="124"/>
        <v>-6.3327460158771665E-2</v>
      </c>
      <c r="G396" s="333">
        <f t="array" ref="G396">IF(NymexData!$H$12="",GasPosn!E396,SUM(IF(MONTH(NymexData!$H$12:$H$250)&amp;YEAR(NymexData!$H$12:$H$250)=MONTH(A396)&amp;YEAR(A396),NymexData!$L$12:$L$250)))</f>
        <v>5.1235024228382429</v>
      </c>
      <c r="H396" s="85">
        <f t="shared" si="125"/>
        <v>-3188.0616383083998</v>
      </c>
      <c r="I396" s="88">
        <f t="shared" si="126"/>
        <v>0</v>
      </c>
      <c r="J396" s="88">
        <f t="shared" si="118"/>
        <v>-3188.0616383083998</v>
      </c>
      <c r="O396" s="47">
        <f t="shared" si="119"/>
        <v>39234</v>
      </c>
      <c r="BD396" s="48">
        <f t="shared" si="115"/>
        <v>0</v>
      </c>
      <c r="BE396" s="334">
        <f t="shared" si="116"/>
        <v>0</v>
      </c>
      <c r="BG396" s="51">
        <f t="shared" si="120"/>
        <v>39234</v>
      </c>
      <c r="BH396" s="335">
        <f t="shared" si="117"/>
        <v>0</v>
      </c>
      <c r="BI396" s="52">
        <f>VLOOKUP(GasPosn!A396,'Pricing Summary'!$AB$12:$AD$250,3)</f>
        <v>30</v>
      </c>
      <c r="BJ396" s="50">
        <f>VLOOKUP(A396,Interest!$AF$8:$AK$367,6)</f>
        <v>0.76665866791014758</v>
      </c>
      <c r="BL396">
        <f>H396/VLOOKUP(A396,NymexData!$J$12:$K$128,2)</f>
        <v>-2020.8542317520673</v>
      </c>
      <c r="BM396">
        <f>I396/VLOOKUP(A396,NymexData!$J$12:$K$128,2)</f>
        <v>0</v>
      </c>
      <c r="BO396">
        <f t="shared" si="127"/>
        <v>0.76665866791014758</v>
      </c>
      <c r="BP396">
        <f t="shared" si="128"/>
        <v>3.9279775425275809</v>
      </c>
      <c r="BQ396">
        <f t="shared" si="129"/>
        <v>0</v>
      </c>
      <c r="BR396">
        <f t="shared" si="130"/>
        <v>0</v>
      </c>
      <c r="BS396">
        <f t="shared" si="131"/>
        <v>0</v>
      </c>
    </row>
    <row r="397" spans="1:71" ht="18" x14ac:dyDescent="0.25">
      <c r="A397" s="98">
        <f t="shared" si="121"/>
        <v>39264</v>
      </c>
      <c r="B397" s="324">
        <f t="array" ref="B397">SUM(IF(MONTH(NymexData!$AO$12:$AO$250)&amp;YEAR(NymexData!$AO$12:$AO$250)=MONTH(A397)&amp;YEAR(A397),NymexData!$AP$12:$AP$250))</f>
        <v>5.1768455837419998</v>
      </c>
      <c r="C397" s="324">
        <f t="shared" si="122"/>
        <v>0</v>
      </c>
      <c r="D397" s="326">
        <f t="shared" si="123"/>
        <v>5.1768455837419998</v>
      </c>
      <c r="E397" s="327">
        <f t="array" ref="E397">SUM(IF(MONTH(NymexData!$A$12:$A$250)&amp;YEAR(NymexData!$A$12:$A$250)=MONTH(A397)&amp;YEAR(A397),NymexData!$F$12:$F$250))</f>
        <v>5.2540006241955908</v>
      </c>
      <c r="F397" s="327">
        <f t="shared" si="124"/>
        <v>-6.3278668328496934E-2</v>
      </c>
      <c r="G397" s="328">
        <f t="array" ref="G397">IF(NymexData!$H$12="",GasPosn!E397,SUM(IF(MONTH(NymexData!$H$12:$H$250)&amp;YEAR(NymexData!$H$12:$H$250)=MONTH(A397)&amp;YEAR(A397),NymexData!$L$12:$L$250)))</f>
        <v>5.1907219558670938</v>
      </c>
      <c r="H397" s="99">
        <f t="shared" si="125"/>
        <v>-3275.838946814541</v>
      </c>
      <c r="I397" s="92">
        <f t="shared" si="126"/>
        <v>0</v>
      </c>
      <c r="J397" s="92">
        <f t="shared" si="118"/>
        <v>-3275.838946814541</v>
      </c>
      <c r="O397" s="47">
        <f t="shared" si="119"/>
        <v>39264</v>
      </c>
      <c r="BD397" s="48">
        <f>(P397+R397+T397+V397+X397+Z397+AB397+AD397+AF397+AH397+AJ397+AL397+AN397+AP397+AR397+AT397+AV397+AX397+AZ397+BB397)</f>
        <v>0</v>
      </c>
      <c r="BE397" s="334">
        <f>IF(AND(BD397=0,BH397=0),0,(ABS(P397)*Q397+ABS(R397)*S397+ABS(T397)*U397+ABS(V397)*W397+ABS(X397)*Y397+ABS(Z397)*AA397+ABS(AB397)*AC397+ABS(AD397)*AE397+ABS(AF397)*AG397+ABS(AH397)*AI397+ABS(AJ397)*AK397+ABS(AL397)*AM397+ABS(AN397)*AO397+ABS(AP397)*AQ397+ABS(AR397)*AS397+ABS(AT397)*AU397+ABS(AV397)*AW397+ABS(AX397)*AY397+ABS(AZ397)*BA397+ABS(BB397)*BC397)/BH397)</f>
        <v>0</v>
      </c>
      <c r="BG397" s="51">
        <f t="shared" si="120"/>
        <v>39264</v>
      </c>
      <c r="BH397" s="335">
        <f t="shared" si="117"/>
        <v>0</v>
      </c>
      <c r="BI397" s="52">
        <f>VLOOKUP(GasPosn!A397,'Pricing Summary'!$AB$12:$AD$250,3)</f>
        <v>31</v>
      </c>
      <c r="BJ397" s="50">
        <f>VLOOKUP(A397,Interest!$AF$8:$AK$367,6)</f>
        <v>0.76282904862850043</v>
      </c>
      <c r="BL397">
        <f>H397/VLOOKUP(A397,NymexData!$J$12:$K$128,2)</f>
        <v>-2076.5215076730833</v>
      </c>
      <c r="BM397">
        <f>I397/VLOOKUP(A397,NymexData!$J$12:$K$128,2)</f>
        <v>0</v>
      </c>
      <c r="BO397">
        <f t="shared" si="127"/>
        <v>0.76282904862850043</v>
      </c>
      <c r="BP397">
        <f t="shared" si="128"/>
        <v>3.9596334912891642</v>
      </c>
      <c r="BQ397">
        <f t="shared" si="129"/>
        <v>0</v>
      </c>
      <c r="BR397">
        <f t="shared" si="130"/>
        <v>0</v>
      </c>
      <c r="BS397">
        <f t="shared" si="131"/>
        <v>0</v>
      </c>
    </row>
    <row r="398" spans="1:71" ht="18" x14ac:dyDescent="0.25">
      <c r="A398" s="100">
        <f t="shared" si="121"/>
        <v>39295</v>
      </c>
      <c r="B398" s="329">
        <f t="array" ref="B398">SUM(IF(MONTH(NymexData!$AO$12:$AO$250)&amp;YEAR(NymexData!$AO$12:$AO$250)=MONTH(A398)&amp;YEAR(A398),NymexData!$AP$12:$AP$250))</f>
        <v>5.1507671700380007</v>
      </c>
      <c r="C398" s="330">
        <f t="shared" si="122"/>
        <v>0</v>
      </c>
      <c r="D398" s="331">
        <f t="shared" si="123"/>
        <v>5.1507671700380007</v>
      </c>
      <c r="E398" s="332">
        <f t="array" ref="E398">SUM(IF(MONTH(NymexData!$A$12:$A$250)&amp;YEAR(NymexData!$A$12:$A$250)=MONTH(A398)&amp;YEAR(A398),NymexData!$F$12:$F$250))</f>
        <v>5.3107119118729171</v>
      </c>
      <c r="F398" s="332">
        <f t="shared" si="124"/>
        <v>-6.324976578964403E-2</v>
      </c>
      <c r="G398" s="333">
        <f t="array" ref="G398">IF(NymexData!$H$12="",GasPosn!E398,SUM(IF(MONTH(NymexData!$H$12:$H$250)&amp;YEAR(NymexData!$H$12:$H$250)=MONTH(A398)&amp;YEAR(A398),NymexData!$L$12:$L$250)))</f>
        <v>5.2474621460832731</v>
      </c>
      <c r="H398" s="85">
        <f t="shared" si="125"/>
        <v>-3257.8481714189115</v>
      </c>
      <c r="I398" s="88">
        <f t="shared" si="126"/>
        <v>0</v>
      </c>
      <c r="J398" s="88">
        <f t="shared" si="118"/>
        <v>-3257.8481714189115</v>
      </c>
      <c r="O398" s="47">
        <f t="shared" si="119"/>
        <v>39295</v>
      </c>
      <c r="BD398" s="48">
        <f t="shared" ref="BD398:BD420" si="132">(P398+R398+T398+V398+X398+Z398+AB398+AD398+AF398+AH398+AJ398+AL398+AN398+AP398+AR398+AT398+AV398+AX398+AZ398+BB398)</f>
        <v>0</v>
      </c>
      <c r="BE398" s="334">
        <f t="shared" ref="BE398:BE420" si="133">IF(AND(BD398=0,BH398=0),0,(ABS(P398)*Q398+ABS(R398)*S398+ABS(T398)*U398+ABS(V398)*W398+ABS(X398)*Y398+ABS(Z398)*AA398+ABS(AB398)*AC398+ABS(AD398)*AE398+ABS(AF398)*AG398+ABS(AH398)*AI398+ABS(AJ398)*AK398+ABS(AL398)*AM398+ABS(AN398)*AO398+ABS(AP398)*AQ398+ABS(AR398)*AS398+ABS(AT398)*AU398+ABS(AV398)*AW398+ABS(AX398)*AY398+ABS(AZ398)*BA398+ABS(BB398)*BC398)/BH398)</f>
        <v>0</v>
      </c>
      <c r="BG398" s="51">
        <f t="shared" si="120"/>
        <v>39295</v>
      </c>
      <c r="BH398" s="335">
        <f t="shared" si="117"/>
        <v>0</v>
      </c>
      <c r="BI398" s="52">
        <f>VLOOKUP(GasPosn!A398,'Pricing Summary'!$AB$12:$AD$250,3)</f>
        <v>31</v>
      </c>
      <c r="BJ398" s="50">
        <f>VLOOKUP(A398,Interest!$AF$8:$AK$367,6)</f>
        <v>0.75896847116825872</v>
      </c>
      <c r="BL398">
        <f>H398/VLOOKUP(A398,NymexData!$J$12:$K$128,2)</f>
        <v>-2065.1483818277393</v>
      </c>
      <c r="BM398">
        <f>I398/VLOOKUP(A398,NymexData!$J$12:$K$128,2)</f>
        <v>0</v>
      </c>
      <c r="BO398">
        <f t="shared" si="127"/>
        <v>0.75896847116825872</v>
      </c>
      <c r="BP398">
        <f t="shared" si="128"/>
        <v>3.9826583225261318</v>
      </c>
      <c r="BQ398">
        <f t="shared" si="129"/>
        <v>0</v>
      </c>
      <c r="BR398">
        <f t="shared" si="130"/>
        <v>0</v>
      </c>
      <c r="BS398">
        <f t="shared" si="131"/>
        <v>0</v>
      </c>
    </row>
    <row r="399" spans="1:71" ht="18" x14ac:dyDescent="0.25">
      <c r="A399" s="98">
        <f t="shared" si="121"/>
        <v>39326</v>
      </c>
      <c r="B399" s="324">
        <f t="array" ref="B399">SUM(IF(MONTH(NymexData!$AO$12:$AO$250)&amp;YEAR(NymexData!$AO$12:$AO$250)=MONTH(A399)&amp;YEAR(A399),NymexData!$AP$12:$AP$250))</f>
        <v>4.9593513586819995</v>
      </c>
      <c r="C399" s="324">
        <f t="shared" si="122"/>
        <v>0</v>
      </c>
      <c r="D399" s="326">
        <f t="shared" si="123"/>
        <v>4.9593513586819995</v>
      </c>
      <c r="E399" s="327">
        <f t="array" ref="E399">SUM(IF(MONTH(NymexData!$A$12:$A$250)&amp;YEAR(NymexData!$A$12:$A$250)=MONTH(A399)&amp;YEAR(A399),NymexData!$F$12:$F$250))</f>
        <v>5.3017150048944393</v>
      </c>
      <c r="F399" s="327">
        <f t="shared" si="124"/>
        <v>-6.331184365132092E-2</v>
      </c>
      <c r="G399" s="328">
        <f t="array" ref="G399">IF(NymexData!$H$12="",GasPosn!E399,SUM(IF(MONTH(NymexData!$H$12:$H$250)&amp;YEAR(NymexData!$H$12:$H$250)=MONTH(A399)&amp;YEAR(A399),NymexData!$L$12:$L$250)))</f>
        <v>5.2384031612431183</v>
      </c>
      <c r="H399" s="99">
        <f t="shared" si="125"/>
        <v>-3139.8567783284075</v>
      </c>
      <c r="I399" s="92">
        <f t="shared" si="126"/>
        <v>0</v>
      </c>
      <c r="J399" s="92">
        <f t="shared" si="118"/>
        <v>-3139.8567783284075</v>
      </c>
      <c r="O399" s="47">
        <f t="shared" si="119"/>
        <v>39326</v>
      </c>
      <c r="BD399" s="48">
        <f t="shared" si="132"/>
        <v>0</v>
      </c>
      <c r="BE399" s="334">
        <f t="shared" si="133"/>
        <v>0</v>
      </c>
      <c r="BG399" s="51">
        <f t="shared" si="120"/>
        <v>39326</v>
      </c>
      <c r="BH399" s="335">
        <f t="shared" si="117"/>
        <v>0</v>
      </c>
      <c r="BI399" s="52">
        <f>VLOOKUP(GasPosn!A399,'Pricing Summary'!$AB$12:$AD$250,3)</f>
        <v>30</v>
      </c>
      <c r="BJ399" s="50">
        <f>VLOOKUP(A399,Interest!$AF$8:$AK$367,6)</f>
        <v>0.75520119974249211</v>
      </c>
      <c r="BL399">
        <f>H399/VLOOKUP(A399,NymexData!$J$12:$K$128,2)</f>
        <v>-1990.3870114699212</v>
      </c>
      <c r="BM399">
        <f>I399/VLOOKUP(A399,NymexData!$J$12:$K$128,2)</f>
        <v>0</v>
      </c>
      <c r="BO399">
        <f t="shared" si="127"/>
        <v>0.75520119974249211</v>
      </c>
      <c r="BP399">
        <f t="shared" si="128"/>
        <v>3.9560483521056664</v>
      </c>
      <c r="BQ399">
        <f t="shared" si="129"/>
        <v>0</v>
      </c>
      <c r="BR399">
        <f t="shared" si="130"/>
        <v>0</v>
      </c>
      <c r="BS399">
        <f t="shared" si="131"/>
        <v>0</v>
      </c>
    </row>
    <row r="400" spans="1:71" ht="18" x14ac:dyDescent="0.25">
      <c r="A400" s="100">
        <f t="shared" si="121"/>
        <v>39356</v>
      </c>
      <c r="B400" s="329">
        <f t="array" ref="B400">SUM(IF(MONTH(NymexData!$AO$12:$AO$250)&amp;YEAR(NymexData!$AO$12:$AO$250)=MONTH(A400)&amp;YEAR(A400),NymexData!$AP$12:$AP$250))</f>
        <v>5.0993782407120003</v>
      </c>
      <c r="C400" s="330">
        <f t="shared" si="122"/>
        <v>0</v>
      </c>
      <c r="D400" s="331">
        <f t="shared" si="123"/>
        <v>5.0993782407120003</v>
      </c>
      <c r="E400" s="332">
        <f t="array" ref="E400">SUM(IF(MONTH(NymexData!$A$12:$A$250)&amp;YEAR(NymexData!$A$12:$A$250)=MONTH(A400)&amp;YEAR(A400),NymexData!$F$12:$F$250))</f>
        <v>5.3016737107358018</v>
      </c>
      <c r="F400" s="332">
        <f t="shared" si="124"/>
        <v>-6.3363908533911051E-2</v>
      </c>
      <c r="G400" s="333">
        <f t="array" ref="G400">IF(NymexData!$H$12="",GasPosn!E400,SUM(IF(MONTH(NymexData!$H$12:$H$250)&amp;YEAR(NymexData!$H$12:$H$250)=MONTH(A400)&amp;YEAR(A400),NymexData!$L$12:$L$250)))</f>
        <v>5.2383098022018908</v>
      </c>
      <c r="H400" s="85">
        <f t="shared" si="125"/>
        <v>-3231.1653642429142</v>
      </c>
      <c r="I400" s="88">
        <f t="shared" si="126"/>
        <v>0</v>
      </c>
      <c r="J400" s="88">
        <f t="shared" si="118"/>
        <v>-3231.1653642429142</v>
      </c>
      <c r="O400" s="47">
        <f t="shared" si="119"/>
        <v>39356</v>
      </c>
      <c r="BD400" s="48">
        <f t="shared" si="132"/>
        <v>0</v>
      </c>
      <c r="BE400" s="334">
        <f t="shared" si="133"/>
        <v>0</v>
      </c>
      <c r="BG400" s="51">
        <f t="shared" si="120"/>
        <v>39356</v>
      </c>
      <c r="BH400" s="335">
        <f t="shared" si="117"/>
        <v>0</v>
      </c>
      <c r="BI400" s="52">
        <f>VLOOKUP(GasPosn!A400,'Pricing Summary'!$AB$12:$AD$250,3)</f>
        <v>31</v>
      </c>
      <c r="BJ400" s="50">
        <f>VLOOKUP(A400,Interest!$AF$8:$AK$367,6)</f>
        <v>0.75135938496499521</v>
      </c>
      <c r="BL400">
        <f>H400/VLOOKUP(A400,NymexData!$J$12:$K$128,2)</f>
        <v>-2048.3049538086916</v>
      </c>
      <c r="BM400">
        <f>I400/VLOOKUP(A400,NymexData!$J$12:$K$128,2)</f>
        <v>0</v>
      </c>
      <c r="BO400">
        <f t="shared" si="127"/>
        <v>0.75135938496499521</v>
      </c>
      <c r="BP400">
        <f t="shared" si="128"/>
        <v>3.9358532312385184</v>
      </c>
      <c r="BQ400">
        <f t="shared" si="129"/>
        <v>0</v>
      </c>
      <c r="BR400">
        <f t="shared" si="130"/>
        <v>0</v>
      </c>
      <c r="BS400">
        <f t="shared" si="131"/>
        <v>0</v>
      </c>
    </row>
    <row r="401" spans="1:71" ht="18" x14ac:dyDescent="0.25">
      <c r="A401" s="98">
        <f t="shared" si="121"/>
        <v>39387</v>
      </c>
      <c r="B401" s="324">
        <f t="array" ref="B401">SUM(IF(MONTH(NymexData!$AO$12:$AO$250)&amp;YEAR(NymexData!$AO$12:$AO$250)=MONTH(A401)&amp;YEAR(A401),NymexData!$AP$12:$AP$250))</f>
        <v>4.9095761725920006</v>
      </c>
      <c r="C401" s="324">
        <f t="shared" si="122"/>
        <v>0</v>
      </c>
      <c r="D401" s="326">
        <f t="shared" si="123"/>
        <v>4.9095761725920006</v>
      </c>
      <c r="E401" s="327">
        <f t="array" ref="E401">SUM(IF(MONTH(NymexData!$A$12:$A$250)&amp;YEAR(NymexData!$A$12:$A$250)=MONTH(A401)&amp;YEAR(A401),NymexData!$F$12:$F$250))</f>
        <v>5.5823484498145302</v>
      </c>
      <c r="F401" s="327">
        <f t="shared" si="124"/>
        <v>-6.1563435490058716E-2</v>
      </c>
      <c r="G401" s="328">
        <f t="array" ref="G401">IF(NymexData!$H$12="",GasPosn!E401,SUM(IF(MONTH(NymexData!$H$12:$H$250)&amp;YEAR(NymexData!$H$12:$H$250)=MONTH(A401)&amp;YEAR(A401),NymexData!$L$12:$L$250)))</f>
        <v>5.5207850143244714</v>
      </c>
      <c r="H401" s="99">
        <f t="shared" si="125"/>
        <v>-3022.5037598489698</v>
      </c>
      <c r="I401" s="92">
        <f t="shared" si="126"/>
        <v>0</v>
      </c>
      <c r="J401" s="92">
        <f t="shared" si="118"/>
        <v>-3022.5037598489698</v>
      </c>
      <c r="O401" s="47">
        <f t="shared" si="119"/>
        <v>39387</v>
      </c>
      <c r="BD401" s="48">
        <f t="shared" si="132"/>
        <v>0</v>
      </c>
      <c r="BE401" s="334">
        <f t="shared" si="133"/>
        <v>0</v>
      </c>
      <c r="BG401" s="51">
        <f t="shared" si="120"/>
        <v>39387</v>
      </c>
      <c r="BH401" s="335">
        <f t="shared" si="117"/>
        <v>0</v>
      </c>
      <c r="BI401" s="52">
        <f>VLOOKUP(GasPosn!A401,'Pricing Summary'!$AB$12:$AD$250,3)</f>
        <v>30</v>
      </c>
      <c r="BJ401" s="50">
        <f>VLOOKUP(A401,Interest!$AF$8:$AK$367,6)</f>
        <v>0.74758409526132508</v>
      </c>
      <c r="BL401">
        <f>H401/VLOOKUP(A401,NymexData!$J$12:$K$128,2)</f>
        <v>-1916.0683915538175</v>
      </c>
      <c r="BM401">
        <f>I401/VLOOKUP(A401,NymexData!$J$12:$K$128,2)</f>
        <v>0</v>
      </c>
      <c r="BO401">
        <f t="shared" si="127"/>
        <v>0.74758409526132508</v>
      </c>
      <c r="BP401">
        <f t="shared" si="128"/>
        <v>4.1272510700660412</v>
      </c>
      <c r="BQ401">
        <f t="shared" si="129"/>
        <v>0</v>
      </c>
      <c r="BR401">
        <f t="shared" si="130"/>
        <v>0</v>
      </c>
      <c r="BS401">
        <f t="shared" si="131"/>
        <v>0</v>
      </c>
    </row>
    <row r="402" spans="1:71" ht="18" x14ac:dyDescent="0.25">
      <c r="A402" s="100">
        <f t="shared" si="121"/>
        <v>39417</v>
      </c>
      <c r="B402" s="329">
        <f t="array" ref="B402">SUM(IF(MONTH(NymexData!$AO$12:$AO$250)&amp;YEAR(NymexData!$AO$12:$AO$250)=MONTH(A402)&amp;YEAR(A402),NymexData!$AP$12:$AP$250))</f>
        <v>5.047903156366</v>
      </c>
      <c r="C402" s="330">
        <f t="shared" si="122"/>
        <v>0</v>
      </c>
      <c r="D402" s="331">
        <f t="shared" si="123"/>
        <v>5.047903156366</v>
      </c>
      <c r="E402" s="332">
        <f t="array" ref="E402">SUM(IF(MONTH(NymexData!$A$12:$A$250)&amp;YEAR(NymexData!$A$12:$A$250)=MONTH(A402)&amp;YEAR(A402),NymexData!$F$12:$F$250))</f>
        <v>5.8092593796796894</v>
      </c>
      <c r="F402" s="332">
        <f t="shared" si="124"/>
        <v>-6.1334980100765435E-2</v>
      </c>
      <c r="G402" s="333">
        <f t="array" ref="G402">IF(NymexData!$H$12="",GasPosn!E402,SUM(IF(MONTH(NymexData!$H$12:$H$250)&amp;YEAR(NymexData!$H$12:$H$250)=MONTH(A402)&amp;YEAR(A402),NymexData!$L$12:$L$250)))</f>
        <v>5.747924399578924</v>
      </c>
      <c r="H402" s="85">
        <f t="shared" si="125"/>
        <v>-3096.1303964629965</v>
      </c>
      <c r="I402" s="88">
        <f t="shared" si="126"/>
        <v>0</v>
      </c>
      <c r="J402" s="88">
        <f t="shared" si="118"/>
        <v>-3096.1303964629965</v>
      </c>
      <c r="O402" s="47">
        <f t="shared" si="119"/>
        <v>39417</v>
      </c>
      <c r="BD402" s="48">
        <f t="shared" si="132"/>
        <v>0</v>
      </c>
      <c r="BE402" s="334">
        <f t="shared" si="133"/>
        <v>0</v>
      </c>
      <c r="BG402" s="51">
        <f t="shared" si="120"/>
        <v>39417</v>
      </c>
      <c r="BH402" s="335">
        <f t="shared" si="117"/>
        <v>0</v>
      </c>
      <c r="BI402" s="52">
        <f>VLOOKUP(GasPosn!A402,'Pricing Summary'!$AB$12:$AD$250,3)</f>
        <v>31</v>
      </c>
      <c r="BJ402" s="50">
        <f>VLOOKUP(A402,Interest!$AF$8:$AK$367,6)</f>
        <v>0.74373547948976915</v>
      </c>
      <c r="BL402">
        <f>H402/VLOOKUP(A402,NymexData!$J$12:$K$128,2)</f>
        <v>-1962.7841820026631</v>
      </c>
      <c r="BM402">
        <f>I402/VLOOKUP(A402,NymexData!$J$12:$K$128,2)</f>
        <v>0</v>
      </c>
      <c r="BO402">
        <f t="shared" si="127"/>
        <v>0.74373547948976915</v>
      </c>
      <c r="BP402">
        <f t="shared" si="128"/>
        <v>4.2749353093917746</v>
      </c>
      <c r="BQ402">
        <f t="shared" si="129"/>
        <v>0</v>
      </c>
      <c r="BR402">
        <f t="shared" si="130"/>
        <v>0</v>
      </c>
      <c r="BS402">
        <f t="shared" si="131"/>
        <v>0</v>
      </c>
    </row>
    <row r="403" spans="1:71" ht="18" x14ac:dyDescent="0.25">
      <c r="A403" s="98">
        <f t="shared" si="121"/>
        <v>39448</v>
      </c>
      <c r="B403" s="324">
        <f t="array" ref="B403">SUM(IF(MONTH(NymexData!$AO$12:$AO$250)&amp;YEAR(NymexData!$AO$12:$AO$250)=MONTH(A403)&amp;YEAR(A403),NymexData!$AP$12:$AP$250))</f>
        <v>5.0217149021200003</v>
      </c>
      <c r="C403" s="324">
        <f t="shared" si="122"/>
        <v>0</v>
      </c>
      <c r="D403" s="326">
        <f t="shared" si="123"/>
        <v>5.0217149021200003</v>
      </c>
      <c r="E403" s="327">
        <f t="array" ref="E403">SUM(IF(MONTH(NymexData!$A$12:$A$250)&amp;YEAR(NymexData!$A$12:$A$250)=MONTH(A403)&amp;YEAR(A403),NymexData!$F$12:$F$250))</f>
        <v>5.9025189138850553</v>
      </c>
      <c r="F403" s="327">
        <f t="shared" si="124"/>
        <v>-5.3812173471166069E-2</v>
      </c>
      <c r="G403" s="328">
        <f t="array" ref="G403">IF(NymexData!$H$12="",GasPosn!E403,SUM(IF(MONTH(NymexData!$H$12:$H$250)&amp;YEAR(NymexData!$H$12:$H$250)=MONTH(A403)&amp;YEAR(A403),NymexData!$L$12:$L$250)))</f>
        <v>5.8487067404138893</v>
      </c>
      <c r="H403" s="99">
        <f t="shared" si="125"/>
        <v>-2702.293934356212</v>
      </c>
      <c r="I403" s="92">
        <f t="shared" si="126"/>
        <v>0</v>
      </c>
      <c r="J403" s="92">
        <f t="shared" si="118"/>
        <v>-2702.293934356212</v>
      </c>
      <c r="O403" s="47">
        <f t="shared" si="119"/>
        <v>39448</v>
      </c>
      <c r="BD403" s="48">
        <f t="shared" si="132"/>
        <v>0</v>
      </c>
      <c r="BE403" s="334">
        <f t="shared" si="133"/>
        <v>0</v>
      </c>
      <c r="BG403" s="51">
        <f t="shared" si="120"/>
        <v>39448</v>
      </c>
      <c r="BH403" s="335">
        <f t="shared" si="117"/>
        <v>0</v>
      </c>
      <c r="BI403" s="52">
        <f>VLOOKUP(GasPosn!A403,'Pricing Summary'!$AB$12:$AD$250,3)</f>
        <v>31</v>
      </c>
      <c r="BJ403" s="50">
        <f>VLOOKUP(A403,Interest!$AF$8:$AK$367,6)</f>
        <v>0.73985600866200218</v>
      </c>
      <c r="BL403">
        <f>H403/VLOOKUP(A403,NymexData!$J$12:$K$128,2)</f>
        <v>-1713.1526994632613</v>
      </c>
      <c r="BM403">
        <f>I403/VLOOKUP(A403,NymexData!$J$12:$K$128,2)</f>
        <v>0</v>
      </c>
      <c r="BO403">
        <f t="shared" si="127"/>
        <v>0.73985600866200218</v>
      </c>
      <c r="BP403">
        <f t="shared" si="128"/>
        <v>4.3272008247971687</v>
      </c>
      <c r="BQ403">
        <f t="shared" si="129"/>
        <v>0</v>
      </c>
      <c r="BR403">
        <f t="shared" si="130"/>
        <v>0</v>
      </c>
      <c r="BS403">
        <f t="shared" si="131"/>
        <v>0</v>
      </c>
    </row>
    <row r="404" spans="1:71" ht="18" x14ac:dyDescent="0.25">
      <c r="A404" s="100">
        <f t="shared" si="121"/>
        <v>39479</v>
      </c>
      <c r="B404" s="329">
        <f t="array" ref="B404">SUM(IF(MONTH(NymexData!$AO$12:$AO$250)&amp;YEAR(NymexData!$AO$12:$AO$250)=MONTH(A404)&amp;YEAR(A404),NymexData!$AP$12:$AP$250))</f>
        <v>4.6732185760260005</v>
      </c>
      <c r="C404" s="330">
        <f t="shared" si="122"/>
        <v>0</v>
      </c>
      <c r="D404" s="331">
        <f t="shared" si="123"/>
        <v>4.6732185760260005</v>
      </c>
      <c r="E404" s="332">
        <f t="array" ref="E404">SUM(IF(MONTH(NymexData!$A$12:$A$250)&amp;YEAR(NymexData!$A$12:$A$250)=MONTH(A404)&amp;YEAR(A404),NymexData!$F$12:$F$250))</f>
        <v>5.7725434990079476</v>
      </c>
      <c r="F404" s="332">
        <f t="shared" si="124"/>
        <v>-5.554653484669636E-2</v>
      </c>
      <c r="G404" s="333">
        <f t="array" ref="G404">IF(NymexData!$H$12="",GasPosn!E404,SUM(IF(MONTH(NymexData!$H$12:$H$250)&amp;YEAR(NymexData!$H$12:$H$250)=MONTH(A404)&amp;YEAR(A404),NymexData!$L$12:$L$250)))</f>
        <v>5.7169969641612512</v>
      </c>
      <c r="H404" s="85">
        <f t="shared" si="125"/>
        <v>-2595.8109847945698</v>
      </c>
      <c r="I404" s="88">
        <f t="shared" si="126"/>
        <v>0</v>
      </c>
      <c r="J404" s="88">
        <f t="shared" si="118"/>
        <v>-2595.8109847945698</v>
      </c>
      <c r="O404" s="47">
        <f t="shared" si="119"/>
        <v>39479</v>
      </c>
      <c r="BD404" s="48">
        <f t="shared" si="132"/>
        <v>0</v>
      </c>
      <c r="BE404" s="334">
        <f t="shared" si="133"/>
        <v>0</v>
      </c>
      <c r="BG404" s="51">
        <f t="shared" si="120"/>
        <v>39479</v>
      </c>
      <c r="BH404" s="335">
        <f t="shared" si="117"/>
        <v>0</v>
      </c>
      <c r="BI404" s="52">
        <f>VLOOKUP(GasPosn!A404,'Pricing Summary'!$AB$12:$AD$250,3)</f>
        <v>29</v>
      </c>
      <c r="BJ404" s="50">
        <f>VLOOKUP(A404,Interest!$AF$8:$AK$367,6)</f>
        <v>0.73616760924634772</v>
      </c>
      <c r="BL404">
        <f>H404/VLOOKUP(A404,NymexData!$J$12:$K$128,2)</f>
        <v>-1645.6879012518118</v>
      </c>
      <c r="BM404">
        <f>I404/VLOOKUP(A404,NymexData!$J$12:$K$128,2)</f>
        <v>0</v>
      </c>
      <c r="BO404">
        <f t="shared" si="127"/>
        <v>0.73616760924634772</v>
      </c>
      <c r="BP404">
        <f t="shared" si="128"/>
        <v>4.2086679871752164</v>
      </c>
      <c r="BQ404">
        <f t="shared" si="129"/>
        <v>0</v>
      </c>
      <c r="BR404">
        <f t="shared" si="130"/>
        <v>0</v>
      </c>
      <c r="BS404">
        <f t="shared" si="131"/>
        <v>0</v>
      </c>
    </row>
    <row r="405" spans="1:71" ht="18" x14ac:dyDescent="0.25">
      <c r="A405" s="98">
        <f t="shared" si="121"/>
        <v>39508</v>
      </c>
      <c r="B405" s="324">
        <f t="array" ref="B405">SUM(IF(MONTH(NymexData!$AO$12:$AO$250)&amp;YEAR(NymexData!$AO$12:$AO$250)=MONTH(A405)&amp;YEAR(A405),NymexData!$AP$12:$AP$250))</f>
        <v>4.9709808078140005</v>
      </c>
      <c r="C405" s="324">
        <f t="shared" si="122"/>
        <v>0</v>
      </c>
      <c r="D405" s="326">
        <f t="shared" si="123"/>
        <v>4.9709808078140005</v>
      </c>
      <c r="E405" s="327">
        <f t="array" ref="E405">SUM(IF(MONTH(NymexData!$A$12:$A$250)&amp;YEAR(NymexData!$A$12:$A$250)=MONTH(A405)&amp;YEAR(A405),NymexData!$F$12:$F$250))</f>
        <v>5.5649272679882555</v>
      </c>
      <c r="F405" s="327">
        <f t="shared" si="124"/>
        <v>-5.5877654577773939E-2</v>
      </c>
      <c r="G405" s="328">
        <f t="array" ref="G405">IF(NymexData!$H$12="",GasPosn!E405,SUM(IF(MONTH(NymexData!$H$12:$H$250)&amp;YEAR(NymexData!$H$12:$H$250)=MONTH(A405)&amp;YEAR(A405),NymexData!$L$12:$L$250)))</f>
        <v>5.5090496134104816</v>
      </c>
      <c r="H405" s="99">
        <f t="shared" si="125"/>
        <v>-2777.6674849177439</v>
      </c>
      <c r="I405" s="92">
        <f t="shared" si="126"/>
        <v>0</v>
      </c>
      <c r="J405" s="92">
        <f t="shared" si="118"/>
        <v>-2777.6674849177439</v>
      </c>
      <c r="O405" s="47">
        <f t="shared" si="119"/>
        <v>39508</v>
      </c>
      <c r="BD405" s="48">
        <f t="shared" si="132"/>
        <v>0</v>
      </c>
      <c r="BE405" s="334">
        <f t="shared" si="133"/>
        <v>0</v>
      </c>
      <c r="BG405" s="51">
        <f t="shared" si="120"/>
        <v>39508</v>
      </c>
      <c r="BH405" s="335">
        <f t="shared" si="117"/>
        <v>0</v>
      </c>
      <c r="BI405" s="52">
        <f>VLOOKUP(GasPosn!A405,'Pricing Summary'!$AB$12:$AD$250,3)</f>
        <v>31</v>
      </c>
      <c r="BJ405" s="50">
        <f>VLOOKUP(A405,Interest!$AF$8:$AK$367,6)</f>
        <v>0.73233896283891031</v>
      </c>
      <c r="BL405">
        <f>H405/VLOOKUP(A405,NymexData!$J$12:$K$128,2)</f>
        <v>-1761.0251244015806</v>
      </c>
      <c r="BM405">
        <f>I405/VLOOKUP(A405,NymexData!$J$12:$K$128,2)</f>
        <v>0</v>
      </c>
      <c r="BO405">
        <f t="shared" si="127"/>
        <v>0.73233896283891031</v>
      </c>
      <c r="BP405">
        <f t="shared" si="128"/>
        <v>4.0344916801131321</v>
      </c>
      <c r="BQ405">
        <f t="shared" si="129"/>
        <v>0</v>
      </c>
      <c r="BR405">
        <f t="shared" si="130"/>
        <v>0</v>
      </c>
      <c r="BS405">
        <f t="shared" si="131"/>
        <v>0</v>
      </c>
    </row>
    <row r="406" spans="1:71" ht="18" x14ac:dyDescent="0.25">
      <c r="A406" s="100">
        <f t="shared" si="121"/>
        <v>39539</v>
      </c>
      <c r="B406" s="329">
        <f t="array" ref="B406">SUM(IF(MONTH(NymexData!$AO$12:$AO$250)&amp;YEAR(NymexData!$AO$12:$AO$250)=MONTH(A406)&amp;YEAR(A406),NymexData!$AP$12:$AP$250))</f>
        <v>4.7852391528060005</v>
      </c>
      <c r="C406" s="330">
        <f t="shared" si="122"/>
        <v>0</v>
      </c>
      <c r="D406" s="331">
        <f t="shared" si="123"/>
        <v>4.7852391528060005</v>
      </c>
      <c r="E406" s="332">
        <f t="array" ref="E406">SUM(IF(MONTH(NymexData!$A$12:$A$250)&amp;YEAR(NymexData!$A$12:$A$250)=MONTH(A406)&amp;YEAR(A406),NymexData!$F$12:$F$250))</f>
        <v>5.2527881792901789</v>
      </c>
      <c r="F406" s="332">
        <f t="shared" si="124"/>
        <v>-5.6339932546006999E-2</v>
      </c>
      <c r="G406" s="333">
        <f t="array" ref="G406">IF(NymexData!$H$12="",GasPosn!E406,SUM(IF(MONTH(NymexData!$H$12:$H$250)&amp;YEAR(NymexData!$H$12:$H$250)=MONTH(A406)&amp;YEAR(A406),NymexData!$L$12:$L$250)))</f>
        <v>5.1964482467441719</v>
      </c>
      <c r="H406" s="85">
        <f t="shared" si="125"/>
        <v>-2696.0005108560176</v>
      </c>
      <c r="I406" s="88">
        <f t="shared" si="126"/>
        <v>0</v>
      </c>
      <c r="J406" s="88">
        <f t="shared" si="118"/>
        <v>-2696.0005108560176</v>
      </c>
      <c r="O406" s="47">
        <f t="shared" si="119"/>
        <v>39539</v>
      </c>
      <c r="BD406" s="48">
        <f t="shared" si="132"/>
        <v>0</v>
      </c>
      <c r="BE406" s="334">
        <f t="shared" si="133"/>
        <v>0</v>
      </c>
      <c r="BG406" s="51">
        <f t="shared" si="120"/>
        <v>39539</v>
      </c>
      <c r="BH406" s="335">
        <f t="shared" si="117"/>
        <v>0</v>
      </c>
      <c r="BI406" s="52">
        <f>VLOOKUP(GasPosn!A406,'Pricing Summary'!$AB$12:$AD$250,3)</f>
        <v>30</v>
      </c>
      <c r="BJ406" s="50">
        <f>VLOOKUP(A406,Interest!$AF$8:$AK$367,6)</f>
        <v>0.72854810430901051</v>
      </c>
      <c r="BL406">
        <f>H406/VLOOKUP(A406,NymexData!$J$12:$K$128,2)</f>
        <v>-1709.2973525143286</v>
      </c>
      <c r="BM406">
        <f>I406/VLOOKUP(A406,NymexData!$J$12:$K$128,2)</f>
        <v>0</v>
      </c>
      <c r="BO406">
        <f t="shared" si="127"/>
        <v>0.72854810430901051</v>
      </c>
      <c r="BP406">
        <f t="shared" si="128"/>
        <v>3.7858625193053479</v>
      </c>
      <c r="BQ406">
        <f t="shared" si="129"/>
        <v>0</v>
      </c>
      <c r="BR406">
        <f t="shared" si="130"/>
        <v>0</v>
      </c>
      <c r="BS406">
        <f t="shared" si="131"/>
        <v>0</v>
      </c>
    </row>
    <row r="407" spans="1:71" ht="18" x14ac:dyDescent="0.25">
      <c r="A407" s="98">
        <f t="shared" si="121"/>
        <v>39569</v>
      </c>
      <c r="B407" s="324">
        <f t="array" ref="B407">SUM(IF(MONTH(NymexData!$AO$12:$AO$250)&amp;YEAR(NymexData!$AO$12:$AO$250)=MONTH(A407)&amp;YEAR(A407),NymexData!$AP$12:$AP$250))</f>
        <v>4.9193481327620008</v>
      </c>
      <c r="C407" s="324">
        <f t="shared" si="122"/>
        <v>0</v>
      </c>
      <c r="D407" s="326">
        <f t="shared" si="123"/>
        <v>4.9193481327620008</v>
      </c>
      <c r="E407" s="327">
        <f t="array" ref="E407">SUM(IF(MONTH(NymexData!$A$12:$A$250)&amp;YEAR(NymexData!$A$12:$A$250)=MONTH(A407)&amp;YEAR(A407),NymexData!$F$12:$F$250))</f>
        <v>5.2601778964145938</v>
      </c>
      <c r="F407" s="327">
        <f t="shared" si="124"/>
        <v>-5.6406568136539548E-2</v>
      </c>
      <c r="G407" s="328">
        <f t="array" ref="G407">IF(NymexData!$H$12="",GasPosn!E407,SUM(IF(MONTH(NymexData!$H$12:$H$250)&amp;YEAR(NymexData!$H$12:$H$250)=MONTH(A407)&amp;YEAR(A407),NymexData!$L$12:$L$250)))</f>
        <v>5.2037713282780542</v>
      </c>
      <c r="H407" s="99">
        <f t="shared" si="125"/>
        <v>-2774.835456379984</v>
      </c>
      <c r="I407" s="92">
        <f t="shared" si="126"/>
        <v>0</v>
      </c>
      <c r="J407" s="92">
        <f t="shared" si="118"/>
        <v>-2774.835456379984</v>
      </c>
      <c r="O407" s="47">
        <f t="shared" si="119"/>
        <v>39569</v>
      </c>
      <c r="BD407" s="48">
        <f t="shared" si="132"/>
        <v>0</v>
      </c>
      <c r="BE407" s="334">
        <f t="shared" si="133"/>
        <v>0</v>
      </c>
      <c r="BG407" s="51">
        <f t="shared" si="120"/>
        <v>39569</v>
      </c>
      <c r="BH407" s="335">
        <f t="shared" si="117"/>
        <v>0</v>
      </c>
      <c r="BI407" s="52">
        <f>VLOOKUP(GasPosn!A407,'Pricing Summary'!$AB$12:$AD$250,3)</f>
        <v>31</v>
      </c>
      <c r="BJ407" s="50">
        <f>VLOOKUP(A407,Interest!$AF$8:$AK$367,6)</f>
        <v>0.72468693967770559</v>
      </c>
      <c r="BL407">
        <f>H407/VLOOKUP(A407,NymexData!$J$12:$K$128,2)</f>
        <v>-1759.3309505213147</v>
      </c>
      <c r="BM407">
        <f>I407/VLOOKUP(A407,NymexData!$J$12:$K$128,2)</f>
        <v>0</v>
      </c>
      <c r="BO407">
        <f t="shared" si="127"/>
        <v>0.72468693967770559</v>
      </c>
      <c r="BP407">
        <f t="shared" si="128"/>
        <v>3.7711051186724123</v>
      </c>
      <c r="BQ407">
        <f t="shared" si="129"/>
        <v>0</v>
      </c>
      <c r="BR407">
        <f t="shared" si="130"/>
        <v>0</v>
      </c>
      <c r="BS407">
        <f t="shared" si="131"/>
        <v>0</v>
      </c>
    </row>
    <row r="408" spans="1:71" ht="18" x14ac:dyDescent="0.25">
      <c r="A408" s="100">
        <f t="shared" si="121"/>
        <v>39600</v>
      </c>
      <c r="B408" s="329">
        <f t="array" ref="B408">SUM(IF(MONTH(NymexData!$AO$12:$AO$250)&amp;YEAR(NymexData!$AO$12:$AO$250)=MONTH(A408)&amp;YEAR(A408),NymexData!$AP$12:$AP$250))</f>
        <v>4.7352505126780002</v>
      </c>
      <c r="C408" s="330">
        <f t="shared" si="122"/>
        <v>0</v>
      </c>
      <c r="D408" s="331">
        <f t="shared" si="123"/>
        <v>4.7352505126780002</v>
      </c>
      <c r="E408" s="332">
        <f t="array" ref="E408">SUM(IF(MONTH(NymexData!$A$12:$A$250)&amp;YEAR(NymexData!$A$12:$A$250)=MONTH(A408)&amp;YEAR(A408),NymexData!$F$12:$F$250))</f>
        <v>5.3168310927756357</v>
      </c>
      <c r="F408" s="332">
        <f t="shared" si="124"/>
        <v>-5.6420535771168012E-2</v>
      </c>
      <c r="G408" s="333">
        <f t="array" ref="G408">IF(NymexData!$H$12="",GasPosn!E408,SUM(IF(MONTH(NymexData!$H$12:$H$250)&amp;YEAR(NymexData!$H$12:$H$250)=MONTH(A408)&amp;YEAR(A408),NymexData!$L$12:$L$250)))</f>
        <v>5.2604105570044677</v>
      </c>
      <c r="H408" s="85">
        <f t="shared" si="125"/>
        <v>-2671.6537093599077</v>
      </c>
      <c r="I408" s="88">
        <f t="shared" si="126"/>
        <v>0</v>
      </c>
      <c r="J408" s="88">
        <f t="shared" si="118"/>
        <v>-2671.6537093599077</v>
      </c>
      <c r="O408" s="47">
        <f t="shared" si="119"/>
        <v>39600</v>
      </c>
      <c r="BD408" s="48">
        <f t="shared" si="132"/>
        <v>0</v>
      </c>
      <c r="BE408" s="334">
        <f t="shared" si="133"/>
        <v>0</v>
      </c>
      <c r="BG408" s="51">
        <f t="shared" si="120"/>
        <v>39600</v>
      </c>
      <c r="BH408" s="335">
        <f t="shared" si="117"/>
        <v>0</v>
      </c>
      <c r="BI408" s="52">
        <f>VLOOKUP(GasPosn!A408,'Pricing Summary'!$AB$12:$AD$250,3)</f>
        <v>30</v>
      </c>
      <c r="BJ408" s="50">
        <f>VLOOKUP(A408,Interest!$AF$8:$AK$367,6)</f>
        <v>0.72089158107105944</v>
      </c>
      <c r="BL408">
        <f>H408/VLOOKUP(A408,NymexData!$J$12:$K$128,2)</f>
        <v>-1693.9644045901782</v>
      </c>
      <c r="BM408">
        <f>I408/VLOOKUP(A408,NymexData!$J$12:$K$128,2)</f>
        <v>0</v>
      </c>
      <c r="BO408">
        <f t="shared" si="127"/>
        <v>0.72089158107105944</v>
      </c>
      <c r="BP408">
        <f t="shared" si="128"/>
        <v>3.792185683521843</v>
      </c>
      <c r="BQ408">
        <f t="shared" si="129"/>
        <v>0</v>
      </c>
      <c r="BR408">
        <f t="shared" si="130"/>
        <v>0</v>
      </c>
      <c r="BS408">
        <f t="shared" si="131"/>
        <v>0</v>
      </c>
    </row>
    <row r="409" spans="1:71" ht="18" x14ac:dyDescent="0.25">
      <c r="A409" s="98">
        <f t="shared" si="121"/>
        <v>39630</v>
      </c>
      <c r="B409" s="324">
        <f t="array" ref="B409">SUM(IF(MONTH(NymexData!$AO$12:$AO$250)&amp;YEAR(NymexData!$AO$12:$AO$250)=MONTH(A409)&amp;YEAR(A409),NymexData!$AP$12:$AP$250))</f>
        <v>4.8676748160460006</v>
      </c>
      <c r="C409" s="324">
        <f t="shared" si="122"/>
        <v>0</v>
      </c>
      <c r="D409" s="326">
        <f t="shared" si="123"/>
        <v>4.8676748160460006</v>
      </c>
      <c r="E409" s="327">
        <f t="array" ref="E409">SUM(IF(MONTH(NymexData!$A$12:$A$250)&amp;YEAR(NymexData!$A$12:$A$250)=MONTH(A409)&amp;YEAR(A409),NymexData!$F$12:$F$250))</f>
        <v>5.3839314800099771</v>
      </c>
      <c r="F409" s="327">
        <f t="shared" si="124"/>
        <v>-5.6424780442168476E-2</v>
      </c>
      <c r="G409" s="328">
        <f t="array" ref="G409">IF(NymexData!$H$12="",GasPosn!E409,SUM(IF(MONTH(NymexData!$H$12:$H$250)&amp;YEAR(NymexData!$H$12:$H$250)=MONTH(A409)&amp;YEAR(A409),NymexData!$L$12:$L$250)))</f>
        <v>5.3275066995678086</v>
      </c>
      <c r="H409" s="99">
        <f t="shared" si="125"/>
        <v>-2746.574827592684</v>
      </c>
      <c r="I409" s="92">
        <f t="shared" si="126"/>
        <v>0</v>
      </c>
      <c r="J409" s="92">
        <f t="shared" si="118"/>
        <v>-2746.574827592684</v>
      </c>
      <c r="O409" s="47">
        <f t="shared" si="119"/>
        <v>39630</v>
      </c>
      <c r="BD409" s="48">
        <f t="shared" si="132"/>
        <v>0</v>
      </c>
      <c r="BE409" s="334">
        <f t="shared" si="133"/>
        <v>0</v>
      </c>
      <c r="BG409" s="51">
        <f t="shared" si="120"/>
        <v>39630</v>
      </c>
      <c r="BH409" s="335">
        <f t="shared" si="117"/>
        <v>0</v>
      </c>
      <c r="BI409" s="52">
        <f>VLOOKUP(GasPosn!A409,'Pricing Summary'!$AB$12:$AD$250,3)</f>
        <v>31</v>
      </c>
      <c r="BJ409" s="50">
        <f>VLOOKUP(A409,Interest!$AF$8:$AK$367,6)</f>
        <v>0.7170271219928841</v>
      </c>
      <c r="BL409">
        <f>H409/VLOOKUP(A409,NymexData!$J$12:$K$128,2)</f>
        <v>-1741.5246046092432</v>
      </c>
      <c r="BM409">
        <f>I409/VLOOKUP(A409,NymexData!$J$12:$K$128,2)</f>
        <v>0</v>
      </c>
      <c r="BO409">
        <f t="shared" si="127"/>
        <v>0.7170271219928841</v>
      </c>
      <c r="BP409">
        <f t="shared" si="128"/>
        <v>3.8199667961889143</v>
      </c>
      <c r="BQ409">
        <f t="shared" si="129"/>
        <v>0</v>
      </c>
      <c r="BR409">
        <f t="shared" si="130"/>
        <v>0</v>
      </c>
      <c r="BS409">
        <f t="shared" si="131"/>
        <v>0</v>
      </c>
    </row>
    <row r="410" spans="1:71" ht="18" x14ac:dyDescent="0.25">
      <c r="A410" s="100">
        <f t="shared" si="121"/>
        <v>39661</v>
      </c>
      <c r="B410" s="329">
        <f t="array" ref="B410">SUM(IF(MONTH(NymexData!$AO$12:$AO$250)&amp;YEAR(NymexData!$AO$12:$AO$250)=MONTH(A410)&amp;YEAR(A410),NymexData!$AP$12:$AP$250))</f>
        <v>4.8414031174880003</v>
      </c>
      <c r="C410" s="330">
        <f t="shared" si="122"/>
        <v>0</v>
      </c>
      <c r="D410" s="331">
        <f t="shared" si="123"/>
        <v>4.8414031174880003</v>
      </c>
      <c r="E410" s="332">
        <f t="array" ref="E410">SUM(IF(MONTH(NymexData!$A$12:$A$250)&amp;YEAR(NymexData!$A$12:$A$250)=MONTH(A410)&amp;YEAR(A410),NymexData!$F$12:$F$250))</f>
        <v>5.4405702169320529</v>
      </c>
      <c r="F410" s="332">
        <f t="shared" si="124"/>
        <v>-5.6449883855478333E-2</v>
      </c>
      <c r="G410" s="333">
        <f t="array" ref="G410">IF(NymexData!$H$12="",GasPosn!E410,SUM(IF(MONTH(NymexData!$H$12:$H$250)&amp;YEAR(NymexData!$H$12:$H$250)=MONTH(A410)&amp;YEAR(A410),NymexData!$L$12:$L$250)))</f>
        <v>5.3841203330765746</v>
      </c>
      <c r="H410" s="85">
        <f t="shared" si="125"/>
        <v>-2732.9664367974833</v>
      </c>
      <c r="I410" s="88">
        <f t="shared" si="126"/>
        <v>0</v>
      </c>
      <c r="J410" s="88">
        <f t="shared" si="118"/>
        <v>-2732.9664367974833</v>
      </c>
      <c r="O410" s="47">
        <f t="shared" si="119"/>
        <v>39661</v>
      </c>
      <c r="BD410" s="48">
        <f t="shared" si="132"/>
        <v>0</v>
      </c>
      <c r="BE410" s="334">
        <f t="shared" si="133"/>
        <v>0</v>
      </c>
      <c r="BG410" s="51">
        <f t="shared" si="120"/>
        <v>39661</v>
      </c>
      <c r="BH410" s="335">
        <f t="shared" si="117"/>
        <v>0</v>
      </c>
      <c r="BI410" s="52">
        <f>VLOOKUP(GasPosn!A410,'Pricing Summary'!$AB$12:$AD$250,3)</f>
        <v>31</v>
      </c>
      <c r="BJ410" s="50">
        <f>VLOOKUP(A410,Interest!$AF$8:$AK$367,6)</f>
        <v>0.71313207292218828</v>
      </c>
      <c r="BL410">
        <f>H410/VLOOKUP(A410,NymexData!$J$12:$K$128,2)</f>
        <v>-1732.956803548798</v>
      </c>
      <c r="BM410">
        <f>I410/VLOOKUP(A410,NymexData!$J$12:$K$128,2)</f>
        <v>0</v>
      </c>
      <c r="BO410">
        <f t="shared" si="127"/>
        <v>0.71313207292218828</v>
      </c>
      <c r="BP410">
        <f t="shared" si="128"/>
        <v>3.8395888939894003</v>
      </c>
      <c r="BQ410">
        <f t="shared" si="129"/>
        <v>0</v>
      </c>
      <c r="BR410">
        <f t="shared" si="130"/>
        <v>0</v>
      </c>
      <c r="BS410">
        <f t="shared" si="131"/>
        <v>0</v>
      </c>
    </row>
    <row r="411" spans="1:71" ht="18" x14ac:dyDescent="0.25">
      <c r="A411" s="98">
        <f t="shared" si="121"/>
        <v>39692</v>
      </c>
      <c r="B411" s="324">
        <f t="array" ref="B411">SUM(IF(MONTH(NymexData!$AO$12:$AO$250)&amp;YEAR(NymexData!$AO$12:$AO$250)=MONTH(A411)&amp;YEAR(A411),NymexData!$AP$12:$AP$250))</f>
        <v>4.6597992539839996</v>
      </c>
      <c r="C411" s="324">
        <f t="shared" si="122"/>
        <v>0</v>
      </c>
      <c r="D411" s="326">
        <f t="shared" si="123"/>
        <v>4.6597992539839996</v>
      </c>
      <c r="E411" s="327">
        <f t="array" ref="E411">SUM(IF(MONTH(NymexData!$A$12:$A$250)&amp;YEAR(NymexData!$A$12:$A$250)=MONTH(A411)&amp;YEAR(A411),NymexData!$F$12:$F$250))</f>
        <v>5.4315097491681561</v>
      </c>
      <c r="F411" s="327">
        <f t="shared" si="124"/>
        <v>-5.655596980717803E-2</v>
      </c>
      <c r="G411" s="328">
        <f t="array" ref="G411">IF(NymexData!$H$12="",GasPosn!E411,SUM(IF(MONTH(NymexData!$H$12:$H$250)&amp;YEAR(NymexData!$H$12:$H$250)=MONTH(A411)&amp;YEAR(A411),NymexData!$L$12:$L$250)))</f>
        <v>5.3749537793609781</v>
      </c>
      <c r="H411" s="99">
        <f t="shared" si="125"/>
        <v>-2635.3946591582976</v>
      </c>
      <c r="I411" s="92">
        <f t="shared" si="126"/>
        <v>0</v>
      </c>
      <c r="J411" s="92">
        <f t="shared" si="118"/>
        <v>-2635.3946591582976</v>
      </c>
      <c r="O411" s="47">
        <f t="shared" si="119"/>
        <v>39692</v>
      </c>
      <c r="BD411" s="48">
        <f t="shared" si="132"/>
        <v>0</v>
      </c>
      <c r="BE411" s="334">
        <f t="shared" si="133"/>
        <v>0</v>
      </c>
      <c r="BG411" s="51">
        <f t="shared" si="120"/>
        <v>39692</v>
      </c>
      <c r="BH411" s="335">
        <f t="shared" si="117"/>
        <v>0</v>
      </c>
      <c r="BI411" s="52">
        <f>VLOOKUP(GasPosn!A411,'Pricing Summary'!$AB$12:$AD$250,3)</f>
        <v>30</v>
      </c>
      <c r="BJ411" s="50">
        <f>VLOOKUP(A411,Interest!$AF$8:$AK$367,6)</f>
        <v>0.70933179214243081</v>
      </c>
      <c r="BL411">
        <f>H411/VLOOKUP(A411,NymexData!$J$12:$K$128,2)</f>
        <v>-1671.1487133681658</v>
      </c>
      <c r="BM411">
        <f>I411/VLOOKUP(A411,NymexData!$J$12:$K$128,2)</f>
        <v>0</v>
      </c>
      <c r="BO411">
        <f t="shared" si="127"/>
        <v>0.70933179214243081</v>
      </c>
      <c r="BP411">
        <f t="shared" si="128"/>
        <v>3.8126255969968543</v>
      </c>
      <c r="BQ411">
        <f t="shared" si="129"/>
        <v>0</v>
      </c>
      <c r="BR411">
        <f t="shared" si="130"/>
        <v>0</v>
      </c>
      <c r="BS411">
        <f t="shared" si="131"/>
        <v>0</v>
      </c>
    </row>
    <row r="412" spans="1:71" ht="18" x14ac:dyDescent="0.25">
      <c r="A412" s="100">
        <f t="shared" si="121"/>
        <v>39722</v>
      </c>
      <c r="B412" s="329">
        <f t="array" ref="B412">SUM(IF(MONTH(NymexData!$AO$12:$AO$250)&amp;YEAR(NymexData!$AO$12:$AO$250)=MONTH(A412)&amp;YEAR(A412),NymexData!$AP$12:$AP$250))</f>
        <v>4.7896926091000003</v>
      </c>
      <c r="C412" s="330">
        <f t="shared" si="122"/>
        <v>0</v>
      </c>
      <c r="D412" s="331">
        <f t="shared" si="123"/>
        <v>4.7896926091000003</v>
      </c>
      <c r="E412" s="332">
        <f t="array" ref="E412">SUM(IF(MONTH(NymexData!$A$12:$A$250)&amp;YEAR(NymexData!$A$12:$A$250)=MONTH(A412)&amp;YEAR(A412),NymexData!$F$12:$F$250))</f>
        <v>5.4314055643545887</v>
      </c>
      <c r="F412" s="332">
        <f t="shared" si="124"/>
        <v>-5.6652089727802668E-2</v>
      </c>
      <c r="G412" s="333">
        <f t="array" ref="G412">IF(NymexData!$H$12="",GasPosn!E412,SUM(IF(MONTH(NymexData!$H$12:$H$250)&amp;YEAR(NymexData!$H$12:$H$250)=MONTH(A412)&amp;YEAR(A412),NymexData!$L$12:$L$250)))</f>
        <v>5.374753474626786</v>
      </c>
      <c r="H412" s="85">
        <f t="shared" si="125"/>
        <v>-2713.4609545932649</v>
      </c>
      <c r="I412" s="88">
        <f t="shared" si="126"/>
        <v>0</v>
      </c>
      <c r="J412" s="88">
        <f t="shared" si="118"/>
        <v>-2713.4609545932649</v>
      </c>
      <c r="O412" s="47">
        <f t="shared" si="119"/>
        <v>39722</v>
      </c>
      <c r="BD412" s="48">
        <f t="shared" si="132"/>
        <v>0</v>
      </c>
      <c r="BE412" s="334">
        <f t="shared" si="133"/>
        <v>0</v>
      </c>
      <c r="BG412" s="51">
        <f t="shared" si="120"/>
        <v>39722</v>
      </c>
      <c r="BH412" s="335">
        <f t="shared" si="117"/>
        <v>0</v>
      </c>
      <c r="BI412" s="52">
        <f>VLOOKUP(GasPosn!A412,'Pricing Summary'!$AB$12:$AD$250,3)</f>
        <v>31</v>
      </c>
      <c r="BJ412" s="50">
        <f>VLOOKUP(A412,Interest!$AF$8:$AK$367,6)</f>
        <v>0.70546422117749141</v>
      </c>
      <c r="BL412">
        <f>H412/VLOOKUP(A412,NymexData!$J$12:$K$128,2)</f>
        <v>-1720.7160078684162</v>
      </c>
      <c r="BM412">
        <f>I412/VLOOKUP(A412,NymexData!$J$12:$K$128,2)</f>
        <v>0</v>
      </c>
      <c r="BO412">
        <f t="shared" si="127"/>
        <v>0.70546422117749141</v>
      </c>
      <c r="BP412">
        <f t="shared" si="128"/>
        <v>3.7916962739986015</v>
      </c>
      <c r="BQ412">
        <f t="shared" si="129"/>
        <v>0</v>
      </c>
      <c r="BR412">
        <f t="shared" si="130"/>
        <v>0</v>
      </c>
      <c r="BS412">
        <f t="shared" si="131"/>
        <v>0</v>
      </c>
    </row>
    <row r="413" spans="1:71" ht="18" x14ac:dyDescent="0.25">
      <c r="A413" s="98">
        <f t="shared" si="121"/>
        <v>39753</v>
      </c>
      <c r="B413" s="324">
        <f t="array" ref="B413">SUM(IF(MONTH(NymexData!$AO$12:$AO$250)&amp;YEAR(NymexData!$AO$12:$AO$250)=MONTH(A413)&amp;YEAR(A413),NymexData!$AP$12:$AP$250))</f>
        <v>4.6097509403680004</v>
      </c>
      <c r="C413" s="324">
        <f t="shared" si="122"/>
        <v>0</v>
      </c>
      <c r="D413" s="326">
        <f t="shared" si="123"/>
        <v>4.6097509403680004</v>
      </c>
      <c r="E413" s="327">
        <f t="array" ref="E413">SUM(IF(MONTH(NymexData!$A$12:$A$250)&amp;YEAR(NymexData!$A$12:$A$250)=MONTH(A413)&amp;YEAR(A413),NymexData!$F$12:$F$250))</f>
        <v>5.6900921873125299</v>
      </c>
      <c r="F413" s="327">
        <f t="shared" si="124"/>
        <v>-5.5195167507695153E-2</v>
      </c>
      <c r="G413" s="328">
        <f t="array" ref="G413">IF(NymexData!$H$12="",GasPosn!E413,SUM(IF(MONTH(NymexData!$H$12:$H$250)&amp;YEAR(NymexData!$H$12:$H$250)=MONTH(A413)&amp;YEAR(A413),NymexData!$L$12:$L$250)))</f>
        <v>5.6348970198048347</v>
      </c>
      <c r="H413" s="99">
        <f t="shared" si="125"/>
        <v>-2544.3597532236699</v>
      </c>
      <c r="I413" s="92">
        <f t="shared" si="126"/>
        <v>0</v>
      </c>
      <c r="J413" s="92">
        <f t="shared" si="118"/>
        <v>-2544.3597532236699</v>
      </c>
      <c r="O413" s="47">
        <f t="shared" si="119"/>
        <v>39753</v>
      </c>
      <c r="BD413" s="48">
        <f t="shared" si="132"/>
        <v>0</v>
      </c>
      <c r="BE413" s="334">
        <f t="shared" si="133"/>
        <v>0</v>
      </c>
      <c r="BG413" s="51">
        <f t="shared" si="120"/>
        <v>39753</v>
      </c>
      <c r="BH413" s="335">
        <f t="shared" si="117"/>
        <v>0</v>
      </c>
      <c r="BI413" s="52">
        <f>VLOOKUP(GasPosn!A413,'Pricing Summary'!$AB$12:$AD$250,3)</f>
        <v>30</v>
      </c>
      <c r="BJ413" s="50">
        <f>VLOOKUP(A413,Interest!$AF$8:$AK$367,6)</f>
        <v>0.70172711217841266</v>
      </c>
      <c r="BL413">
        <f>H413/VLOOKUP(A413,NymexData!$J$12:$K$128,2)</f>
        <v>-1613.4606287395206</v>
      </c>
      <c r="BM413">
        <f>I413/VLOOKUP(A413,NymexData!$J$12:$K$128,2)</f>
        <v>0</v>
      </c>
      <c r="BO413">
        <f t="shared" si="127"/>
        <v>0.70172711217841266</v>
      </c>
      <c r="BP413">
        <f t="shared" si="128"/>
        <v>3.9541600131303904</v>
      </c>
      <c r="BQ413">
        <f t="shared" si="129"/>
        <v>0</v>
      </c>
      <c r="BR413">
        <f t="shared" si="130"/>
        <v>0</v>
      </c>
      <c r="BS413">
        <f t="shared" si="131"/>
        <v>0</v>
      </c>
    </row>
    <row r="414" spans="1:71" ht="18" x14ac:dyDescent="0.25">
      <c r="A414" s="100">
        <f t="shared" si="121"/>
        <v>39783</v>
      </c>
      <c r="B414" s="329">
        <f t="array" ref="B414">SUM(IF(MONTH(NymexData!$AO$12:$AO$250)&amp;YEAR(NymexData!$AO$12:$AO$250)=MONTH(A414)&amp;YEAR(A414),NymexData!$AP$12:$AP$250))</f>
        <v>4.7379732198260003</v>
      </c>
      <c r="C414" s="330">
        <f t="shared" si="122"/>
        <v>0</v>
      </c>
      <c r="D414" s="331">
        <f t="shared" si="123"/>
        <v>4.7379732198260003</v>
      </c>
      <c r="E414" s="332">
        <f t="array" ref="E414">SUM(IF(MONTH(NymexData!$A$12:$A$250)&amp;YEAR(NymexData!$A$12:$A$250)=MONTH(A414)&amp;YEAR(A414),NymexData!$F$12:$F$250))</f>
        <v>5.9202167926705886</v>
      </c>
      <c r="F414" s="332">
        <f t="shared" si="124"/>
        <v>-5.5193000132776504E-2</v>
      </c>
      <c r="G414" s="333">
        <f t="array" ref="G414">IF(NymexData!$H$12="",GasPosn!E414,SUM(IF(MONTH(NymexData!$H$12:$H$250)&amp;YEAR(NymexData!$H$12:$H$250)=MONTH(A414)&amp;YEAR(A414),NymexData!$L$12:$L$250)))</f>
        <v>5.8650237925378121</v>
      </c>
      <c r="H414" s="85">
        <f t="shared" si="125"/>
        <v>-2615.0295655094797</v>
      </c>
      <c r="I414" s="88">
        <f t="shared" si="126"/>
        <v>0</v>
      </c>
      <c r="J414" s="88">
        <f t="shared" si="118"/>
        <v>-2615.0295655094797</v>
      </c>
      <c r="O414" s="47">
        <f t="shared" si="119"/>
        <v>39783</v>
      </c>
      <c r="BD414" s="48">
        <f t="shared" si="132"/>
        <v>0</v>
      </c>
      <c r="BE414" s="334">
        <f t="shared" si="133"/>
        <v>0</v>
      </c>
      <c r="BG414" s="51">
        <f t="shared" si="120"/>
        <v>39783</v>
      </c>
      <c r="BH414" s="335">
        <f t="shared" si="117"/>
        <v>0</v>
      </c>
      <c r="BI414" s="52">
        <f>VLOOKUP(GasPosn!A414,'Pricing Summary'!$AB$12:$AD$250,3)</f>
        <v>31</v>
      </c>
      <c r="BJ414" s="50">
        <f>VLOOKUP(A414,Interest!$AF$8:$AK$367,6)</f>
        <v>0.69825297092911909</v>
      </c>
      <c r="BL414">
        <f>H414/VLOOKUP(A414,NymexData!$J$12:$K$128,2)</f>
        <v>-1657.4441488057716</v>
      </c>
      <c r="BM414">
        <f>I414/VLOOKUP(A414,NymexData!$J$12:$K$128,2)</f>
        <v>0</v>
      </c>
      <c r="BO414">
        <f t="shared" si="127"/>
        <v>0.69825297092911909</v>
      </c>
      <c r="BP414">
        <f t="shared" si="128"/>
        <v>4.0952702877094964</v>
      </c>
      <c r="BQ414">
        <f t="shared" si="129"/>
        <v>0</v>
      </c>
      <c r="BR414">
        <f t="shared" si="130"/>
        <v>0</v>
      </c>
      <c r="BS414">
        <f t="shared" si="131"/>
        <v>0</v>
      </c>
    </row>
    <row r="415" spans="1:71" ht="18" x14ac:dyDescent="0.25">
      <c r="A415" s="98">
        <f t="shared" si="121"/>
        <v>39814</v>
      </c>
      <c r="B415" s="324">
        <f t="array" ref="B415">SUM(IF(MONTH(NymexData!$AO$12:$AO$250)&amp;YEAR(NymexData!$AO$12:$AO$250)=MONTH(A415)&amp;YEAR(A415),NymexData!$AP$12:$AP$250))</f>
        <v>4.7116901761019996</v>
      </c>
      <c r="C415" s="324">
        <f t="shared" si="122"/>
        <v>0</v>
      </c>
      <c r="D415" s="326">
        <f t="shared" si="123"/>
        <v>4.7116901761019996</v>
      </c>
      <c r="E415" s="327">
        <f t="array" ref="E415">SUM(IF(MONTH(NymexData!$A$12:$A$250)&amp;YEAR(NymexData!$A$12:$A$250)=MONTH(A415)&amp;YEAR(A415),NymexData!$F$12:$F$250))</f>
        <v>6.0207330375590153</v>
      </c>
      <c r="F415" s="327">
        <f t="shared" si="124"/>
        <v>-4.7871110284480878E-2</v>
      </c>
      <c r="G415" s="328">
        <f t="array" ref="G415">IF(NymexData!$H$12="",GasPosn!E415,SUM(IF(MONTH(NymexData!$H$12:$H$250)&amp;YEAR(NymexData!$H$12:$H$250)=MONTH(A415)&amp;YEAR(A415),NymexData!$L$12:$L$250)))</f>
        <v>5.9728619272745345</v>
      </c>
      <c r="H415" s="99">
        <f t="shared" si="125"/>
        <v>-2255.5384004648395</v>
      </c>
      <c r="I415" s="92">
        <f t="shared" si="126"/>
        <v>0</v>
      </c>
      <c r="J415" s="92">
        <f t="shared" si="118"/>
        <v>-2255.5384004648395</v>
      </c>
      <c r="O415" s="47">
        <f t="shared" si="119"/>
        <v>39814</v>
      </c>
      <c r="BD415" s="48">
        <f t="shared" si="132"/>
        <v>0</v>
      </c>
      <c r="BE415" s="334">
        <f t="shared" si="133"/>
        <v>0</v>
      </c>
      <c r="BG415" s="51">
        <f t="shared" si="120"/>
        <v>39814</v>
      </c>
      <c r="BH415" s="335">
        <f t="shared" si="117"/>
        <v>0</v>
      </c>
      <c r="BI415" s="52">
        <f>VLOOKUP(GasPosn!A415,'Pricing Summary'!$AB$12:$AD$250,3)</f>
        <v>31</v>
      </c>
      <c r="BJ415" s="50">
        <f>VLOOKUP(A415,Interest!$AF$8:$AK$367,6)</f>
        <v>0.6947667275091165</v>
      </c>
      <c r="BL415">
        <f>H415/VLOOKUP(A415,NymexData!$J$12:$K$128,2)</f>
        <v>-1428.8372733903368</v>
      </c>
      <c r="BM415">
        <f>I415/VLOOKUP(A415,NymexData!$J$12:$K$128,2)</f>
        <v>0</v>
      </c>
      <c r="BO415">
        <f t="shared" si="127"/>
        <v>0.6947667275091165</v>
      </c>
      <c r="BP415">
        <f t="shared" si="128"/>
        <v>4.1497457350763227</v>
      </c>
      <c r="BQ415">
        <f t="shared" si="129"/>
        <v>0</v>
      </c>
      <c r="BR415">
        <f t="shared" si="130"/>
        <v>0</v>
      </c>
      <c r="BS415">
        <f t="shared" si="131"/>
        <v>0</v>
      </c>
    </row>
    <row r="416" spans="1:71" ht="18" x14ac:dyDescent="0.25">
      <c r="A416" s="100">
        <f t="shared" si="121"/>
        <v>39845</v>
      </c>
      <c r="B416" s="329">
        <f t="array" ref="B416">SUM(IF(MONTH(NymexData!$AO$12:$AO$250)&amp;YEAR(NymexData!$AO$12:$AO$250)=MONTH(A416)&amp;YEAR(A416),NymexData!$AP$12:$AP$250))</f>
        <v>4.2319829296780007</v>
      </c>
      <c r="C416" s="330">
        <f t="shared" si="122"/>
        <v>0</v>
      </c>
      <c r="D416" s="331">
        <f t="shared" si="123"/>
        <v>4.2319829296780007</v>
      </c>
      <c r="E416" s="332">
        <f t="array" ref="E416">SUM(IF(MONTH(NymexData!$A$12:$A$250)&amp;YEAR(NymexData!$A$12:$A$250)=MONTH(A416)&amp;YEAR(A416),NymexData!$F$12:$F$250))</f>
        <v>5.8941097167501422</v>
      </c>
      <c r="F416" s="332">
        <f t="shared" si="124"/>
        <v>-4.975547014037307E-2</v>
      </c>
      <c r="G416" s="333">
        <f t="array" ref="G416">IF(NymexData!$H$12="",GasPosn!E416,SUM(IF(MONTH(NymexData!$H$12:$H$250)&amp;YEAR(NymexData!$H$12:$H$250)=MONTH(A416)&amp;YEAR(A416),NymexData!$L$12:$L$250)))</f>
        <v>5.8443542466097691</v>
      </c>
      <c r="H416" s="85">
        <f t="shared" si="125"/>
        <v>-2105.6430029216231</v>
      </c>
      <c r="I416" s="88">
        <f t="shared" si="126"/>
        <v>0</v>
      </c>
      <c r="J416" s="88">
        <f t="shared" si="118"/>
        <v>-2105.6430029216231</v>
      </c>
      <c r="O416" s="47">
        <f t="shared" si="119"/>
        <v>39845</v>
      </c>
      <c r="BD416" s="48">
        <f t="shared" si="132"/>
        <v>0</v>
      </c>
      <c r="BE416" s="334">
        <f t="shared" si="133"/>
        <v>0</v>
      </c>
      <c r="BG416" s="51">
        <f t="shared" si="120"/>
        <v>39845</v>
      </c>
      <c r="BH416" s="335">
        <f t="shared" si="117"/>
        <v>0</v>
      </c>
      <c r="BI416" s="52">
        <f>VLOOKUP(GasPosn!A416,'Pricing Summary'!$AB$12:$AD$250,3)</f>
        <v>28</v>
      </c>
      <c r="BJ416" s="50">
        <f>VLOOKUP(A416,Interest!$AF$8:$AK$367,6)</f>
        <v>0.69157009976106687</v>
      </c>
      <c r="BL416">
        <f>H416/VLOOKUP(A416,NymexData!$J$12:$K$128,2)</f>
        <v>-1333.1607123387535</v>
      </c>
      <c r="BM416">
        <f>I416/VLOOKUP(A416,NymexData!$J$12:$K$128,2)</f>
        <v>0</v>
      </c>
      <c r="BO416">
        <f t="shared" si="127"/>
        <v>0.69157009976106687</v>
      </c>
      <c r="BP416">
        <f t="shared" si="128"/>
        <v>4.0417806493669328</v>
      </c>
      <c r="BQ416">
        <f t="shared" si="129"/>
        <v>0</v>
      </c>
      <c r="BR416">
        <f t="shared" si="130"/>
        <v>0</v>
      </c>
      <c r="BS416">
        <f t="shared" si="131"/>
        <v>0</v>
      </c>
    </row>
    <row r="417" spans="1:71" ht="18" x14ac:dyDescent="0.25">
      <c r="A417" s="98">
        <f t="shared" si="121"/>
        <v>39873</v>
      </c>
      <c r="B417" s="324">
        <f t="array" ref="B417">SUM(IF(MONTH(NymexData!$AO$12:$AO$250)&amp;YEAR(NymexData!$AO$12:$AO$250)=MONTH(A417)&amp;YEAR(A417),NymexData!$AP$12:$AP$250))</f>
        <v>4.6616759643299996</v>
      </c>
      <c r="C417" s="324">
        <f t="shared" si="122"/>
        <v>0</v>
      </c>
      <c r="D417" s="326">
        <f t="shared" si="123"/>
        <v>4.6616759643299996</v>
      </c>
      <c r="E417" s="327">
        <f t="array" ref="E417">SUM(IF(MONTH(NymexData!$A$12:$A$250)&amp;YEAR(NymexData!$A$12:$A$250)=MONTH(A417)&amp;YEAR(A417),NymexData!$F$12:$F$250))</f>
        <v>5.6892644115910151</v>
      </c>
      <c r="F417" s="327">
        <f t="shared" si="124"/>
        <v>-5.0186657716713157E-2</v>
      </c>
      <c r="G417" s="328">
        <f t="array" ref="G417">IF(NymexData!$H$12="",GasPosn!E417,SUM(IF(MONTH(NymexData!$H$12:$H$250)&amp;YEAR(NymexData!$H$12:$H$250)=MONTH(A417)&amp;YEAR(A417),NymexData!$L$12:$L$250)))</f>
        <v>5.639077753874302</v>
      </c>
      <c r="H417" s="99">
        <f t="shared" si="125"/>
        <v>-2339.5393600805842</v>
      </c>
      <c r="I417" s="92">
        <f t="shared" si="126"/>
        <v>0</v>
      </c>
      <c r="J417" s="92">
        <f t="shared" si="118"/>
        <v>-2339.5393600805842</v>
      </c>
      <c r="O417" s="47">
        <f t="shared" si="119"/>
        <v>39873</v>
      </c>
      <c r="BD417" s="48">
        <f t="shared" si="132"/>
        <v>0</v>
      </c>
      <c r="BE417" s="334">
        <f t="shared" si="133"/>
        <v>0</v>
      </c>
      <c r="BG417" s="51">
        <f t="shared" si="120"/>
        <v>39873</v>
      </c>
      <c r="BH417" s="335">
        <f t="shared" si="117"/>
        <v>0</v>
      </c>
      <c r="BI417" s="52">
        <f>VLOOKUP(GasPosn!A417,'Pricing Summary'!$AB$12:$AD$250,3)</f>
        <v>31</v>
      </c>
      <c r="BJ417" s="50">
        <f>VLOOKUP(A417,Interest!$AF$8:$AK$367,6)</f>
        <v>0.6881455884701001</v>
      </c>
      <c r="BL417">
        <f>H417/VLOOKUP(A417,NymexData!$J$12:$K$128,2)</f>
        <v>-1480.5113534153022</v>
      </c>
      <c r="BM417">
        <f>I417/VLOOKUP(A417,NymexData!$J$12:$K$128,2)</f>
        <v>0</v>
      </c>
      <c r="BO417">
        <f t="shared" si="127"/>
        <v>0.6881455884701001</v>
      </c>
      <c r="BP417">
        <f t="shared" si="128"/>
        <v>3.8805064793684818</v>
      </c>
      <c r="BQ417">
        <f t="shared" si="129"/>
        <v>0</v>
      </c>
      <c r="BR417">
        <f t="shared" si="130"/>
        <v>0</v>
      </c>
      <c r="BS417">
        <f t="shared" si="131"/>
        <v>0</v>
      </c>
    </row>
    <row r="418" spans="1:71" ht="18" x14ac:dyDescent="0.25">
      <c r="A418" s="100">
        <f t="shared" si="121"/>
        <v>39904</v>
      </c>
      <c r="B418" s="329">
        <f t="array" ref="B418">SUM(IF(MONTH(NymexData!$AO$12:$AO$250)&amp;YEAR(NymexData!$AO$12:$AO$250)=MONTH(A418)&amp;YEAR(A418),NymexData!$AP$12:$AP$250))</f>
        <v>4.4858755370940004</v>
      </c>
      <c r="C418" s="330">
        <f t="shared" si="122"/>
        <v>0</v>
      </c>
      <c r="D418" s="331">
        <f t="shared" si="123"/>
        <v>4.4858755370940004</v>
      </c>
      <c r="E418" s="332">
        <f t="array" ref="E418">SUM(IF(MONTH(NymexData!$A$12:$A$250)&amp;YEAR(NymexData!$A$12:$A$250)=MONTH(A418)&amp;YEAR(A418),NymexData!$F$12:$F$250))</f>
        <v>5.3273629801742572</v>
      </c>
      <c r="F418" s="332">
        <f t="shared" si="124"/>
        <v>-5.0771506922751897E-2</v>
      </c>
      <c r="G418" s="333">
        <f t="array" ref="G418">IF(NymexData!$H$12="",GasPosn!E418,SUM(IF(MONTH(NymexData!$H$12:$H$250)&amp;YEAR(NymexData!$H$12:$H$250)=MONTH(A418)&amp;YEAR(A418),NymexData!$L$12:$L$250)))</f>
        <v>5.2765914732515053</v>
      </c>
      <c r="H418" s="85">
        <f t="shared" si="125"/>
        <v>-2277.546608861714</v>
      </c>
      <c r="I418" s="88">
        <f t="shared" si="126"/>
        <v>0</v>
      </c>
      <c r="J418" s="88">
        <f t="shared" si="118"/>
        <v>-2277.546608861714</v>
      </c>
      <c r="O418" s="47">
        <f t="shared" si="119"/>
        <v>39904</v>
      </c>
      <c r="BD418" s="48">
        <f t="shared" si="132"/>
        <v>0</v>
      </c>
      <c r="BE418" s="334">
        <f t="shared" si="133"/>
        <v>0</v>
      </c>
      <c r="BG418" s="51">
        <f t="shared" si="120"/>
        <v>39904</v>
      </c>
      <c r="BH418" s="335">
        <f t="shared" si="117"/>
        <v>0</v>
      </c>
      <c r="BI418" s="52">
        <f>VLOOKUP(GasPosn!A418,'Pricing Summary'!$AB$12:$AD$250,3)</f>
        <v>30</v>
      </c>
      <c r="BJ418" s="50">
        <f>VLOOKUP(A418,Interest!$AF$8:$AK$367,6)</f>
        <v>0.68476853354713207</v>
      </c>
      <c r="BL418">
        <f>H418/VLOOKUP(A418,NymexData!$J$12:$K$128,2)</f>
        <v>-1440.4703237844244</v>
      </c>
      <c r="BM418">
        <f>I418/VLOOKUP(A418,NymexData!$J$12:$K$128,2)</f>
        <v>0</v>
      </c>
      <c r="BO418">
        <f t="shared" si="127"/>
        <v>0.68476853354713207</v>
      </c>
      <c r="BP418">
        <f t="shared" si="128"/>
        <v>3.6132438052657343</v>
      </c>
      <c r="BQ418">
        <f t="shared" si="129"/>
        <v>0</v>
      </c>
      <c r="BR418">
        <f t="shared" si="130"/>
        <v>0</v>
      </c>
      <c r="BS418">
        <f t="shared" si="131"/>
        <v>0</v>
      </c>
    </row>
    <row r="419" spans="1:71" ht="18" x14ac:dyDescent="0.25">
      <c r="A419" s="98">
        <f t="shared" si="121"/>
        <v>39934</v>
      </c>
      <c r="B419" s="324">
        <f t="array" ref="B419">SUM(IF(MONTH(NymexData!$AO$12:$AO$250)&amp;YEAR(NymexData!$AO$12:$AO$250)=MONTH(A419)&amp;YEAR(A419),NymexData!$AP$12:$AP$250))</f>
        <v>4.6099877576760004</v>
      </c>
      <c r="C419" s="324">
        <f t="shared" si="122"/>
        <v>0</v>
      </c>
      <c r="D419" s="326">
        <f t="shared" si="123"/>
        <v>4.6099877576760004</v>
      </c>
      <c r="E419" s="327">
        <f t="array" ref="E419">SUM(IF(MONTH(NymexData!$A$12:$A$250)&amp;YEAR(NymexData!$A$12:$A$250)=MONTH(A419)&amp;YEAR(A419),NymexData!$F$12:$F$250))</f>
        <v>5.3380332934767658</v>
      </c>
      <c r="F419" s="327">
        <f t="shared" si="124"/>
        <v>-5.1012736437273887E-2</v>
      </c>
      <c r="G419" s="328">
        <f t="array" ref="G419">IF(NymexData!$H$12="",GasPosn!E419,SUM(IF(MONTH(NymexData!$H$12:$H$250)&amp;YEAR(NymexData!$H$12:$H$250)=MONTH(A419)&amp;YEAR(A419),NymexData!$L$12:$L$250)))</f>
        <v>5.2870205570394919</v>
      </c>
      <c r="H419" s="99">
        <f t="shared" si="125"/>
        <v>-2351.6809046138505</v>
      </c>
      <c r="I419" s="92">
        <f t="shared" si="126"/>
        <v>0</v>
      </c>
      <c r="J419" s="92">
        <f t="shared" si="118"/>
        <v>-2351.6809046138505</v>
      </c>
      <c r="O419" s="47">
        <f t="shared" si="119"/>
        <v>39934</v>
      </c>
      <c r="BD419" s="48">
        <f t="shared" si="132"/>
        <v>0</v>
      </c>
      <c r="BE419" s="334">
        <f t="shared" si="133"/>
        <v>0</v>
      </c>
      <c r="BG419" s="51">
        <f t="shared" si="120"/>
        <v>39934</v>
      </c>
      <c r="BH419" s="335">
        <f t="shared" si="117"/>
        <v>0</v>
      </c>
      <c r="BI419" s="52">
        <f>VLOOKUP(GasPosn!A419,'Pricing Summary'!$AB$12:$AD$250,3)</f>
        <v>31</v>
      </c>
      <c r="BJ419" s="50">
        <f>VLOOKUP(A419,Interest!$AF$8:$AK$367,6)</f>
        <v>0.68131987728758214</v>
      </c>
      <c r="BL419">
        <f>H419/VLOOKUP(A419,NymexData!$J$12:$K$128,2)</f>
        <v>-1486.5317519603743</v>
      </c>
      <c r="BM419">
        <f>I419/VLOOKUP(A419,NymexData!$J$12:$K$128,2)</f>
        <v>0</v>
      </c>
      <c r="BO419">
        <f t="shared" si="127"/>
        <v>0.68131987728758214</v>
      </c>
      <c r="BP419">
        <f t="shared" si="128"/>
        <v>3.6021521971390706</v>
      </c>
      <c r="BQ419">
        <f t="shared" si="129"/>
        <v>0</v>
      </c>
      <c r="BR419">
        <f t="shared" si="130"/>
        <v>0</v>
      </c>
      <c r="BS419">
        <f t="shared" si="131"/>
        <v>0</v>
      </c>
    </row>
    <row r="420" spans="1:71" ht="18" x14ac:dyDescent="0.25">
      <c r="A420" s="100">
        <f t="shared" si="121"/>
        <v>39965</v>
      </c>
      <c r="B420" s="329">
        <f t="array" ref="B420">SUM(IF(MONTH(NymexData!$AO$12:$AO$250)&amp;YEAR(NymexData!$AO$12:$AO$250)=MONTH(A420)&amp;YEAR(A420),NymexData!$AP$12:$AP$250))</f>
        <v>4.4358698081320007</v>
      </c>
      <c r="C420" s="330">
        <f t="shared" si="122"/>
        <v>0</v>
      </c>
      <c r="D420" s="331">
        <f t="shared" si="123"/>
        <v>4.4358698081320007</v>
      </c>
      <c r="E420" s="332">
        <f t="array" ref="E420">SUM(IF(MONTH(NymexData!$A$12:$A$250)&amp;YEAR(NymexData!$A$12:$A$250)=MONTH(A420)&amp;YEAR(A420),NymexData!$F$12:$F$250))</f>
        <v>5.3983586376727368</v>
      </c>
      <c r="F420" s="332">
        <f t="shared" si="124"/>
        <v>-5.1230222973661199E-2</v>
      </c>
      <c r="G420" s="333">
        <f t="array" ref="G420">IF(NymexData!$H$12="",GasPosn!E420,SUM(IF(MONTH(NymexData!$H$12:$H$250)&amp;YEAR(NymexData!$H$12:$H$250)=MONTH(A420)&amp;YEAR(A420),NymexData!$L$12:$L$250)))</f>
        <v>5.3471284146990756</v>
      </c>
      <c r="H420" s="85">
        <f t="shared" si="125"/>
        <v>-2272.5059935273412</v>
      </c>
      <c r="I420" s="88">
        <f t="shared" si="126"/>
        <v>0</v>
      </c>
      <c r="J420" s="88">
        <f t="shared" si="118"/>
        <v>-2272.5059935273412</v>
      </c>
      <c r="O420" s="47">
        <f t="shared" si="119"/>
        <v>39965</v>
      </c>
      <c r="BD420" s="48">
        <f t="shared" si="132"/>
        <v>0</v>
      </c>
      <c r="BE420" s="334">
        <f t="shared" si="133"/>
        <v>0</v>
      </c>
      <c r="BG420" s="51">
        <f t="shared" si="120"/>
        <v>39965</v>
      </c>
      <c r="BH420" s="335">
        <f t="shared" si="117"/>
        <v>0</v>
      </c>
      <c r="BI420" s="52">
        <f>VLOOKUP(GasPosn!A420,'Pricing Summary'!$AB$12:$AD$250,3)</f>
        <v>30</v>
      </c>
      <c r="BJ420" s="50">
        <f>VLOOKUP(A420,Interest!$AF$8:$AK$367,6)</f>
        <v>0.67795282095455944</v>
      </c>
      <c r="BL420">
        <f>H420/VLOOKUP(A420,NymexData!$J$12:$K$128,2)</f>
        <v>-1435.6434933355451</v>
      </c>
      <c r="BM420">
        <f>I420/VLOOKUP(A420,NymexData!$J$12:$K$128,2)</f>
        <v>0</v>
      </c>
      <c r="BO420">
        <f t="shared" si="127"/>
        <v>0.67795282095455944</v>
      </c>
      <c r="BP420">
        <f t="shared" si="128"/>
        <v>3.6251007927515198</v>
      </c>
      <c r="BQ420">
        <f t="shared" si="129"/>
        <v>0</v>
      </c>
      <c r="BR420">
        <f t="shared" si="130"/>
        <v>0</v>
      </c>
      <c r="BS420">
        <f t="shared" si="131"/>
        <v>0</v>
      </c>
    </row>
    <row r="421" spans="1:71" ht="18" x14ac:dyDescent="0.25">
      <c r="A421" s="98">
        <f t="shared" si="121"/>
        <v>39995</v>
      </c>
      <c r="B421" s="324">
        <f t="array" ref="B421">SUM(IF(MONTH(NymexData!$AO$12:$AO$250)&amp;YEAR(NymexData!$AO$12:$AO$250)=MONTH(A421)&amp;YEAR(A421),NymexData!$AP$12:$AP$250))</f>
        <v>4.5583332453120002</v>
      </c>
      <c r="C421" s="324">
        <f t="shared" si="122"/>
        <v>0</v>
      </c>
      <c r="D421" s="326">
        <f t="shared" si="123"/>
        <v>4.5583332453120002</v>
      </c>
      <c r="E421" s="327">
        <f t="array" ref="E421">SUM(IF(MONTH(NymexData!$A$12:$A$250)&amp;YEAR(NymexData!$A$12:$A$250)=MONTH(A421)&amp;YEAR(A421),NymexData!$F$12:$F$250))</f>
        <v>5.4692132018296205</v>
      </c>
      <c r="F421" s="327">
        <f t="shared" si="124"/>
        <v>-5.1442647320379287E-2</v>
      </c>
      <c r="G421" s="328">
        <f t="array" ref="G421">IF(NymexData!$H$12="",GasPosn!E421,SUM(IF(MONTH(NymexData!$H$12:$H$250)&amp;YEAR(NymexData!$H$12:$H$250)=MONTH(A421)&amp;YEAR(A421),NymexData!$L$12:$L$250)))</f>
        <v>5.4177705545092412</v>
      </c>
      <c r="H421" s="99">
        <f t="shared" si="125"/>
        <v>-2344.9272950734521</v>
      </c>
      <c r="I421" s="92">
        <f t="shared" si="126"/>
        <v>0</v>
      </c>
      <c r="J421" s="92">
        <f t="shared" si="118"/>
        <v>-2344.9272950734521</v>
      </c>
      <c r="O421" s="47">
        <f t="shared" si="119"/>
        <v>39995</v>
      </c>
      <c r="BD421" s="48">
        <f>(P421+R421+T421+V421+X421+Z421+AB421+AD421+AF421+AH421+AJ421+AL421+AN421+AP421+AR421+AT421+AV421+AX421+AZ421+BB421)</f>
        <v>0</v>
      </c>
      <c r="BE421" s="334">
        <f>IF(AND(BD421=0,BH421=0),0,(ABS(P421)*Q421+ABS(R421)*S421+ABS(T421)*U421+ABS(V421)*W421+ABS(X421)*Y421+ABS(Z421)*AA421+ABS(AB421)*AC421+ABS(AD421)*AE421+ABS(AF421)*AG421+ABS(AH421)*AI421+ABS(AJ421)*AK421+ABS(AL421)*AM421+ABS(AN421)*AO421+ABS(AP421)*AQ421+ABS(AR421)*AS421+ABS(AT421)*AU421+ABS(AV421)*AW421+ABS(AX421)*AY421+ABS(AZ421)*BA421+ABS(BB421)*BC421)/BH421)</f>
        <v>0</v>
      </c>
      <c r="BG421" s="51">
        <f t="shared" si="120"/>
        <v>39995</v>
      </c>
      <c r="BH421" s="335">
        <f t="shared" si="117"/>
        <v>0</v>
      </c>
      <c r="BI421" s="52">
        <f>VLOOKUP(GasPosn!A421,'Pricing Summary'!$AB$12:$AD$250,3)</f>
        <v>31</v>
      </c>
      <c r="BJ421" s="50">
        <f>VLOOKUP(A421,Interest!$AF$8:$AK$367,6)</f>
        <v>0.67451511099680994</v>
      </c>
      <c r="BL421">
        <f>H421/VLOOKUP(A421,NymexData!$J$12:$K$128,2)</f>
        <v>-1480.5399950258522</v>
      </c>
      <c r="BM421">
        <f>I421/VLOOKUP(A421,NymexData!$J$12:$K$128,2)</f>
        <v>0</v>
      </c>
      <c r="BO421">
        <f t="shared" si="127"/>
        <v>0.67451511099680994</v>
      </c>
      <c r="BP421">
        <f t="shared" si="128"/>
        <v>3.6543681069300495</v>
      </c>
      <c r="BQ421">
        <f t="shared" si="129"/>
        <v>0</v>
      </c>
      <c r="BR421">
        <f t="shared" si="130"/>
        <v>0</v>
      </c>
      <c r="BS421">
        <f t="shared" si="131"/>
        <v>0</v>
      </c>
    </row>
    <row r="422" spans="1:71" ht="18" x14ac:dyDescent="0.25">
      <c r="A422" s="100">
        <f t="shared" si="121"/>
        <v>40026</v>
      </c>
      <c r="B422" s="329">
        <f t="array" ref="B422">SUM(IF(MONTH(NymexData!$AO$12:$AO$250)&amp;YEAR(NymexData!$AO$12:$AO$250)=MONTH(A422)&amp;YEAR(A422),NymexData!$AP$12:$AP$250))</f>
        <v>4.5320993355399999</v>
      </c>
      <c r="C422" s="330">
        <f t="shared" si="122"/>
        <v>0</v>
      </c>
      <c r="D422" s="331">
        <f t="shared" si="123"/>
        <v>4.5320993355399999</v>
      </c>
      <c r="E422" s="332">
        <f t="array" ref="E422">SUM(IF(MONTH(NymexData!$A$12:$A$250)&amp;YEAR(NymexData!$A$12:$A$250)=MONTH(A422)&amp;YEAR(A422),NymexData!$F$12:$F$250))</f>
        <v>5.5298299896098655</v>
      </c>
      <c r="F422" s="332">
        <f t="shared" si="124"/>
        <v>-5.1684060675637689E-2</v>
      </c>
      <c r="G422" s="333">
        <f t="array" ref="G422">IF(NymexData!$H$12="",GasPosn!E422,SUM(IF(MONTH(NymexData!$H$12:$H$250)&amp;YEAR(NymexData!$H$12:$H$250)=MONTH(A422)&amp;YEAR(A422),NymexData!$L$12:$L$250)))</f>
        <v>5.4781459289342278</v>
      </c>
      <c r="H422" s="85">
        <f t="shared" si="125"/>
        <v>-2342.3729704606662</v>
      </c>
      <c r="I422" s="88">
        <f t="shared" si="126"/>
        <v>0</v>
      </c>
      <c r="J422" s="88">
        <f t="shared" si="118"/>
        <v>-2342.3729704606662</v>
      </c>
      <c r="O422" s="47">
        <f t="shared" si="119"/>
        <v>40026</v>
      </c>
      <c r="BD422" s="48">
        <f t="shared" ref="BD422:BD444" si="134">(P422+R422+T422+V422+X422+Z422+AB422+AD422+AF422+AH422+AJ422+AL422+AN422+AP422+AR422+AT422+AV422+AX422+AZ422+BB422)</f>
        <v>0</v>
      </c>
      <c r="BE422" s="334">
        <f t="shared" ref="BE422:BE444" si="135">IF(AND(BD422=0,BH422=0),0,(ABS(P422)*Q422+ABS(R422)*S422+ABS(T422)*U422+ABS(V422)*W422+ABS(X422)*Y422+ABS(Z422)*AA422+ABS(AB422)*AC422+ABS(AD422)*AE422+ABS(AF422)*AG422+ABS(AH422)*AI422+ABS(AJ422)*AK422+ABS(AL422)*AM422+ABS(AN422)*AO422+ABS(AP422)*AQ422+ABS(AR422)*AS422+ABS(AT422)*AU422+ABS(AV422)*AW422+ABS(AX422)*AY422+ABS(AZ422)*BA422+ABS(BB422)*BC422)/BH422)</f>
        <v>0</v>
      </c>
      <c r="BG422" s="51">
        <f t="shared" si="120"/>
        <v>40026</v>
      </c>
      <c r="BH422" s="335">
        <f t="shared" si="117"/>
        <v>0</v>
      </c>
      <c r="BI422" s="52">
        <f>VLOOKUP(GasPosn!A422,'Pricing Summary'!$AB$12:$AD$250,3)</f>
        <v>31</v>
      </c>
      <c r="BJ422" s="50">
        <f>VLOOKUP(A422,Interest!$AF$8:$AK$367,6)</f>
        <v>0.67106521431262189</v>
      </c>
      <c r="BL422">
        <f>H422/VLOOKUP(A422,NymexData!$J$12:$K$128,2)</f>
        <v>-1478.0281400647739</v>
      </c>
      <c r="BM422">
        <f>I422/VLOOKUP(A422,NymexData!$J$12:$K$128,2)</f>
        <v>0</v>
      </c>
      <c r="BO422">
        <f t="shared" si="127"/>
        <v>0.67106521431262189</v>
      </c>
      <c r="BP422">
        <f t="shared" si="128"/>
        <v>3.6761931718360645</v>
      </c>
      <c r="BQ422">
        <f t="shared" si="129"/>
        <v>0</v>
      </c>
      <c r="BR422">
        <f t="shared" si="130"/>
        <v>0</v>
      </c>
      <c r="BS422">
        <f t="shared" si="131"/>
        <v>0</v>
      </c>
    </row>
    <row r="423" spans="1:71" ht="18" x14ac:dyDescent="0.25">
      <c r="A423" s="98">
        <f t="shared" si="121"/>
        <v>40057</v>
      </c>
      <c r="B423" s="324">
        <f t="array" ref="B423">SUM(IF(MONTH(NymexData!$AO$12:$AO$250)&amp;YEAR(NymexData!$AO$12:$AO$250)=MONTH(A423)&amp;YEAR(A423),NymexData!$AP$12:$AP$250))</f>
        <v>4.3605278307780004</v>
      </c>
      <c r="C423" s="324">
        <f t="shared" si="122"/>
        <v>0</v>
      </c>
      <c r="D423" s="326">
        <f t="shared" si="123"/>
        <v>4.3605278307780004</v>
      </c>
      <c r="E423" s="327">
        <f t="array" ref="E423">SUM(IF(MONTH(NymexData!$A$12:$A$250)&amp;YEAR(NymexData!$A$12:$A$250)=MONTH(A423)&amp;YEAR(A423),NymexData!$F$12:$F$250))</f>
        <v>5.524504667576152</v>
      </c>
      <c r="F423" s="327">
        <f t="shared" si="124"/>
        <v>-5.1981119122141983E-2</v>
      </c>
      <c r="G423" s="328">
        <f t="array" ref="G423">IF(NymexData!$H$12="",GasPosn!E423,SUM(IF(MONTH(NymexData!$H$12:$H$250)&amp;YEAR(NymexData!$H$12:$H$250)=MONTH(A423)&amp;YEAR(A423),NymexData!$L$12:$L$250)))</f>
        <v>5.47252354845401</v>
      </c>
      <c r="H423" s="99">
        <f t="shared" si="125"/>
        <v>-2266.6511660708661</v>
      </c>
      <c r="I423" s="92">
        <f t="shared" si="126"/>
        <v>0</v>
      </c>
      <c r="J423" s="92">
        <f t="shared" si="118"/>
        <v>-2266.6511660708661</v>
      </c>
      <c r="O423" s="47">
        <f t="shared" si="119"/>
        <v>40057</v>
      </c>
      <c r="BD423" s="48">
        <f t="shared" si="134"/>
        <v>0</v>
      </c>
      <c r="BE423" s="334">
        <f t="shared" si="135"/>
        <v>0</v>
      </c>
      <c r="BG423" s="51">
        <f t="shared" si="120"/>
        <v>40057</v>
      </c>
      <c r="BH423" s="335">
        <f t="shared" si="117"/>
        <v>0</v>
      </c>
      <c r="BI423" s="52">
        <f>VLOOKUP(GasPosn!A423,'Pricing Summary'!$AB$12:$AD$250,3)</f>
        <v>30</v>
      </c>
      <c r="BJ423" s="50">
        <f>VLOOKUP(A423,Interest!$AF$8:$AK$367,6)</f>
        <v>0.66771393771431842</v>
      </c>
      <c r="BL423">
        <f>H423/VLOOKUP(A423,NymexData!$J$12:$K$128,2)</f>
        <v>-1429.3619482146325</v>
      </c>
      <c r="BM423">
        <f>I423/VLOOKUP(A423,NymexData!$J$12:$K$128,2)</f>
        <v>0</v>
      </c>
      <c r="BO423">
        <f t="shared" si="127"/>
        <v>0.66771393771431842</v>
      </c>
      <c r="BP423">
        <f t="shared" si="128"/>
        <v>3.6540802477725616</v>
      </c>
      <c r="BQ423">
        <f t="shared" si="129"/>
        <v>0</v>
      </c>
      <c r="BR423">
        <f t="shared" si="130"/>
        <v>0</v>
      </c>
      <c r="BS423">
        <f t="shared" si="131"/>
        <v>0</v>
      </c>
    </row>
    <row r="424" spans="1:71" ht="18" x14ac:dyDescent="0.25">
      <c r="A424" s="100">
        <f t="shared" si="121"/>
        <v>40087</v>
      </c>
      <c r="B424" s="329">
        <f t="array" ref="B424">SUM(IF(MONTH(NymexData!$AO$12:$AO$250)&amp;YEAR(NymexData!$AO$12:$AO$250)=MONTH(A424)&amp;YEAR(A424),NymexData!$AP$12:$AP$250))</f>
        <v>4.4805181449839999</v>
      </c>
      <c r="C424" s="330">
        <f t="shared" si="122"/>
        <v>0</v>
      </c>
      <c r="D424" s="331">
        <f t="shared" si="123"/>
        <v>4.4805181449839999</v>
      </c>
      <c r="E424" s="332">
        <f t="array" ref="E424">SUM(IF(MONTH(NymexData!$A$12:$A$250)&amp;YEAR(NymexData!$A$12:$A$250)=MONTH(A424)&amp;YEAR(A424),NymexData!$F$12:$F$250))</f>
        <v>5.5281357422264819</v>
      </c>
      <c r="F424" s="332">
        <f t="shared" si="124"/>
        <v>-5.2269112530542117E-2</v>
      </c>
      <c r="G424" s="333">
        <f t="array" ref="G424">IF(NymexData!$H$12="",GasPosn!E424,SUM(IF(MONTH(NymexData!$H$12:$H$250)&amp;YEAR(NymexData!$H$12:$H$250)=MONTH(A424)&amp;YEAR(A424),NymexData!$L$12:$L$250)))</f>
        <v>5.4758666296959397</v>
      </c>
      <c r="H424" s="85">
        <f t="shared" si="125"/>
        <v>-2341.9270711530448</v>
      </c>
      <c r="I424" s="88">
        <f t="shared" si="126"/>
        <v>0</v>
      </c>
      <c r="J424" s="88">
        <f t="shared" si="118"/>
        <v>-2341.9270711530448</v>
      </c>
      <c r="O424" s="47">
        <f t="shared" si="119"/>
        <v>40087</v>
      </c>
      <c r="BD424" s="48">
        <f t="shared" si="134"/>
        <v>0</v>
      </c>
      <c r="BE424" s="334">
        <f t="shared" si="135"/>
        <v>0</v>
      </c>
      <c r="BG424" s="51">
        <f t="shared" si="120"/>
        <v>40087</v>
      </c>
      <c r="BH424" s="335">
        <f t="shared" si="117"/>
        <v>0</v>
      </c>
      <c r="BI424" s="52">
        <f>VLOOKUP(GasPosn!A424,'Pricing Summary'!$AB$12:$AD$250,3)</f>
        <v>31</v>
      </c>
      <c r="BJ424" s="50">
        <f>VLOOKUP(A424,Interest!$AF$8:$AK$367,6)</f>
        <v>0.6642934265736008</v>
      </c>
      <c r="BL424">
        <f>H424/VLOOKUP(A424,NymexData!$J$12:$K$128,2)</f>
        <v>-1475.9297003160539</v>
      </c>
      <c r="BM424">
        <f>I424/VLOOKUP(A424,NymexData!$J$12:$K$128,2)</f>
        <v>0</v>
      </c>
      <c r="BO424">
        <f t="shared" si="127"/>
        <v>0.6642934265736008</v>
      </c>
      <c r="BP424">
        <f t="shared" si="128"/>
        <v>3.6375822069007504</v>
      </c>
      <c r="BQ424">
        <f t="shared" si="129"/>
        <v>0</v>
      </c>
      <c r="BR424">
        <f t="shared" si="130"/>
        <v>0</v>
      </c>
      <c r="BS424">
        <f t="shared" si="131"/>
        <v>0</v>
      </c>
    </row>
    <row r="425" spans="1:71" ht="18" x14ac:dyDescent="0.25">
      <c r="A425" s="98">
        <f t="shared" si="121"/>
        <v>40118</v>
      </c>
      <c r="B425" s="324">
        <f t="array" ref="B425">SUM(IF(MONTH(NymexData!$AO$12:$AO$250)&amp;YEAR(NymexData!$AO$12:$AO$250)=MONTH(A425)&amp;YEAR(A425),NymexData!$AP$12:$AP$250))</f>
        <v>4.3106402735199998</v>
      </c>
      <c r="C425" s="324">
        <f t="shared" si="122"/>
        <v>0</v>
      </c>
      <c r="D425" s="326">
        <f t="shared" si="123"/>
        <v>4.3106402735199998</v>
      </c>
      <c r="E425" s="327">
        <f t="array" ref="E425">SUM(IF(MONTH(NymexData!$A$12:$A$250)&amp;YEAR(NymexData!$A$12:$A$250)=MONTH(A425)&amp;YEAR(A425),NymexData!$F$12:$F$250))</f>
        <v>5.8448051513021673</v>
      </c>
      <c r="F425" s="327">
        <f t="shared" si="124"/>
        <v>-5.0892916538802346E-2</v>
      </c>
      <c r="G425" s="328">
        <f t="array" ref="G425">IF(NymexData!$H$12="",GasPosn!E425,SUM(IF(MONTH(NymexData!$H$12:$H$250)&amp;YEAR(NymexData!$H$12:$H$250)=MONTH(A425)&amp;YEAR(A425),NymexData!$L$12:$L$250)))</f>
        <v>5.7939122347633649</v>
      </c>
      <c r="H425" s="99">
        <f t="shared" si="125"/>
        <v>-2193.8105566905347</v>
      </c>
      <c r="I425" s="92">
        <f t="shared" si="126"/>
        <v>0</v>
      </c>
      <c r="J425" s="92">
        <f t="shared" si="118"/>
        <v>-2193.8105566905347</v>
      </c>
      <c r="O425" s="47">
        <f t="shared" si="119"/>
        <v>40118</v>
      </c>
      <c r="BD425" s="48">
        <f t="shared" si="134"/>
        <v>0</v>
      </c>
      <c r="BE425" s="334">
        <f t="shared" si="135"/>
        <v>0</v>
      </c>
      <c r="BG425" s="51">
        <f t="shared" si="120"/>
        <v>40118</v>
      </c>
      <c r="BH425" s="335">
        <f t="shared" si="117"/>
        <v>0</v>
      </c>
      <c r="BI425" s="52">
        <f>VLOOKUP(GasPosn!A425,'Pricing Summary'!$AB$12:$AD$250,3)</f>
        <v>30</v>
      </c>
      <c r="BJ425" s="50">
        <f>VLOOKUP(A425,Interest!$AF$8:$AK$367,6)</f>
        <v>0.6609530678798945</v>
      </c>
      <c r="BL425">
        <f>H425/VLOOKUP(A425,NymexData!$J$12:$K$128,2)</f>
        <v>-1381.695768614484</v>
      </c>
      <c r="BM425">
        <f>I425/VLOOKUP(A425,NymexData!$J$12:$K$128,2)</f>
        <v>0</v>
      </c>
      <c r="BO425">
        <f t="shared" si="127"/>
        <v>0.6609530678798945</v>
      </c>
      <c r="BP425">
        <f t="shared" si="128"/>
        <v>3.8295040665937017</v>
      </c>
      <c r="BQ425">
        <f t="shared" si="129"/>
        <v>0</v>
      </c>
      <c r="BR425">
        <f t="shared" si="130"/>
        <v>0</v>
      </c>
      <c r="BS425">
        <f t="shared" si="131"/>
        <v>0</v>
      </c>
    </row>
    <row r="426" spans="1:71" ht="18" x14ac:dyDescent="0.25">
      <c r="A426" s="100">
        <f t="shared" si="121"/>
        <v>40148</v>
      </c>
      <c r="B426" s="329">
        <f t="array" ref="B426">SUM(IF(MONTH(NymexData!$AO$12:$AO$250)&amp;YEAR(NymexData!$AO$12:$AO$250)=MONTH(A426)&amp;YEAR(A426),NymexData!$AP$12:$AP$250))</f>
        <v>4.4290002579900003</v>
      </c>
      <c r="C426" s="330">
        <f t="shared" si="122"/>
        <v>0</v>
      </c>
      <c r="D426" s="331">
        <f t="shared" si="123"/>
        <v>4.4290002579900003</v>
      </c>
      <c r="E426" s="332">
        <f t="array" ref="E426">SUM(IF(MONTH(NymexData!$A$12:$A$250)&amp;YEAR(NymexData!$A$12:$A$250)=MONTH(A426)&amp;YEAR(A426),NymexData!$F$12:$F$250))</f>
        <v>6.0775615332465645</v>
      </c>
      <c r="F426" s="332">
        <f t="shared" si="124"/>
        <v>-5.1090924192669362E-2</v>
      </c>
      <c r="G426" s="333">
        <f t="array" ref="G426">IF(NymexData!$H$12="",GasPosn!E426,SUM(IF(MONTH(NymexData!$H$12:$H$250)&amp;YEAR(NymexData!$H$12:$H$250)=MONTH(A426)&amp;YEAR(A426),NymexData!$L$12:$L$250)))</f>
        <v>6.0264706090538951</v>
      </c>
      <c r="H426" s="85">
        <f t="shared" si="125"/>
        <v>-2262.8171643028013</v>
      </c>
      <c r="I426" s="88">
        <f t="shared" si="126"/>
        <v>0</v>
      </c>
      <c r="J426" s="88">
        <f t="shared" si="118"/>
        <v>-2262.8171643028013</v>
      </c>
      <c r="O426" s="47">
        <f t="shared" si="119"/>
        <v>40148</v>
      </c>
      <c r="BD426" s="48">
        <f t="shared" si="134"/>
        <v>0</v>
      </c>
      <c r="BE426" s="334">
        <f t="shared" si="135"/>
        <v>0</v>
      </c>
      <c r="BG426" s="51">
        <f t="shared" si="120"/>
        <v>40148</v>
      </c>
      <c r="BH426" s="335">
        <f t="shared" si="117"/>
        <v>0</v>
      </c>
      <c r="BI426" s="52">
        <f>VLOOKUP(GasPosn!A426,'Pricing Summary'!$AB$12:$AD$250,3)</f>
        <v>31</v>
      </c>
      <c r="BJ426" s="50">
        <f>VLOOKUP(A426,Interest!$AF$8:$AK$367,6)</f>
        <v>0.65754440861175778</v>
      </c>
      <c r="BL426">
        <f>H426/VLOOKUP(A426,NymexData!$J$12:$K$128,2)</f>
        <v>-1424.2557917192705</v>
      </c>
      <c r="BM426">
        <f>I426/VLOOKUP(A426,NymexData!$J$12:$K$128,2)</f>
        <v>0</v>
      </c>
      <c r="BO426">
        <f t="shared" si="127"/>
        <v>0.65754440861175778</v>
      </c>
      <c r="BP426">
        <f t="shared" si="128"/>
        <v>3.9626720526464831</v>
      </c>
      <c r="BQ426">
        <f t="shared" si="129"/>
        <v>0</v>
      </c>
      <c r="BR426">
        <f t="shared" si="130"/>
        <v>0</v>
      </c>
      <c r="BS426">
        <f t="shared" si="131"/>
        <v>0</v>
      </c>
    </row>
    <row r="427" spans="1:71" ht="18" x14ac:dyDescent="0.25">
      <c r="A427" s="98">
        <f t="shared" si="121"/>
        <v>40179</v>
      </c>
      <c r="B427" s="324">
        <f t="array" ref="B427">SUM(IF(MONTH(NymexData!$AO$12:$AO$250)&amp;YEAR(NymexData!$AO$12:$AO$250)=MONTH(A427)&amp;YEAR(A427),NymexData!$AP$12:$AP$250))</f>
        <v>4.4028469965200001</v>
      </c>
      <c r="C427" s="324">
        <f t="shared" si="122"/>
        <v>0</v>
      </c>
      <c r="D427" s="326">
        <f t="shared" si="123"/>
        <v>4.4028469965200001</v>
      </c>
      <c r="E427" s="327">
        <f t="array" ref="E427">SUM(IF(MONTH(NymexData!$A$12:$A$250)&amp;YEAR(NymexData!$A$12:$A$250)=MONTH(A427)&amp;YEAR(A427),NymexData!$F$12:$F$250))</f>
        <v>6.1835827280149127</v>
      </c>
      <c r="F427" s="327">
        <f t="shared" si="124"/>
        <v>-4.385447116414376E-2</v>
      </c>
      <c r="G427" s="328">
        <f t="array" ref="G427">IF(NymexData!$H$12="",GasPosn!E427,SUM(IF(MONTH(NymexData!$H$12:$H$250)&amp;YEAR(NymexData!$H$12:$H$250)=MONTH(A427)&amp;YEAR(A427),NymexData!$L$12:$L$250)))</f>
        <v>6.139728256850769</v>
      </c>
      <c r="H427" s="99">
        <f t="shared" si="125"/>
        <v>-1930.8452664902329</v>
      </c>
      <c r="I427" s="92">
        <f t="shared" si="126"/>
        <v>0</v>
      </c>
      <c r="J427" s="92">
        <f t="shared" si="118"/>
        <v>-1930.8452664902329</v>
      </c>
      <c r="O427" s="47">
        <f t="shared" si="119"/>
        <v>40179</v>
      </c>
      <c r="BD427" s="48">
        <f t="shared" si="134"/>
        <v>0</v>
      </c>
      <c r="BE427" s="334">
        <f t="shared" si="135"/>
        <v>0</v>
      </c>
      <c r="BG427" s="51">
        <f t="shared" si="120"/>
        <v>40179</v>
      </c>
      <c r="BH427" s="335">
        <f t="shared" si="117"/>
        <v>0</v>
      </c>
      <c r="BI427" s="52">
        <f>VLOOKUP(GasPosn!A427,'Pricing Summary'!$AB$12:$AD$250,3)</f>
        <v>31</v>
      </c>
      <c r="BJ427" s="50">
        <f>VLOOKUP(A427,Interest!$AF$8:$AK$367,6)</f>
        <v>0.65412353264283984</v>
      </c>
      <c r="BL427">
        <f>H427/VLOOKUP(A427,NymexData!$J$12:$K$128,2)</f>
        <v>-1214.498918905749</v>
      </c>
      <c r="BM427">
        <f>I427/VLOOKUP(A427,NymexData!$J$12:$K$128,2)</f>
        <v>0</v>
      </c>
      <c r="BO427">
        <f t="shared" si="127"/>
        <v>0.65412353264283984</v>
      </c>
      <c r="BP427">
        <f t="shared" si="128"/>
        <v>4.01614073683829</v>
      </c>
      <c r="BQ427">
        <f t="shared" si="129"/>
        <v>0</v>
      </c>
      <c r="BR427">
        <f t="shared" si="130"/>
        <v>0</v>
      </c>
      <c r="BS427">
        <f t="shared" si="131"/>
        <v>0</v>
      </c>
    </row>
    <row r="428" spans="1:71" ht="18" x14ac:dyDescent="0.25">
      <c r="A428" s="100">
        <f t="shared" si="121"/>
        <v>40210</v>
      </c>
      <c r="B428" s="329">
        <f t="array" ref="B428">SUM(IF(MONTH(NymexData!$AO$12:$AO$250)&amp;YEAR(NymexData!$AO$12:$AO$250)=MONTH(A428)&amp;YEAR(A428),NymexData!$AP$12:$AP$250))</f>
        <v>3.9531615330899998</v>
      </c>
      <c r="C428" s="330">
        <f t="shared" si="122"/>
        <v>0</v>
      </c>
      <c r="D428" s="331">
        <f t="shared" si="123"/>
        <v>3.9531615330899998</v>
      </c>
      <c r="E428" s="332">
        <f t="array" ref="E428">SUM(IF(MONTH(NymexData!$A$12:$A$250)&amp;YEAR(NymexData!$A$12:$A$250)=MONTH(A428)&amp;YEAR(A428),NymexData!$F$12:$F$250))</f>
        <v>6.0569591963576874</v>
      </c>
      <c r="F428" s="332">
        <f t="shared" si="124"/>
        <v>-4.5768866130357466E-2</v>
      </c>
      <c r="G428" s="333">
        <f t="array" ref="G428">IF(NymexData!$H$12="",GasPosn!E428,SUM(IF(MONTH(NymexData!$H$12:$H$250)&amp;YEAR(NymexData!$H$12:$H$250)=MONTH(A428)&amp;YEAR(A428),NymexData!$L$12:$L$250)))</f>
        <v>6.01119033022733</v>
      </c>
      <c r="H428" s="85">
        <f t="shared" si="125"/>
        <v>-1809.3172099967489</v>
      </c>
      <c r="I428" s="88">
        <f t="shared" si="126"/>
        <v>0</v>
      </c>
      <c r="J428" s="88">
        <f t="shared" si="118"/>
        <v>-1809.3172099967489</v>
      </c>
      <c r="O428" s="47">
        <f t="shared" si="119"/>
        <v>40210</v>
      </c>
      <c r="BD428" s="48">
        <f t="shared" si="134"/>
        <v>0</v>
      </c>
      <c r="BE428" s="334">
        <f t="shared" si="135"/>
        <v>0</v>
      </c>
      <c r="BG428" s="51">
        <f t="shared" si="120"/>
        <v>40210</v>
      </c>
      <c r="BH428" s="335">
        <f t="shared" si="117"/>
        <v>0</v>
      </c>
      <c r="BI428" s="52">
        <f>VLOOKUP(GasPosn!A428,'Pricing Summary'!$AB$12:$AD$250,3)</f>
        <v>28</v>
      </c>
      <c r="BJ428" s="50">
        <f>VLOOKUP(A428,Interest!$AF$8:$AK$367,6)</f>
        <v>0.65098335064156532</v>
      </c>
      <c r="BL428">
        <f>H428/VLOOKUP(A428,NymexData!$J$12:$K$128,2)</f>
        <v>-1137.2880919805393</v>
      </c>
      <c r="BM428">
        <f>I428/VLOOKUP(A428,NymexData!$J$12:$K$128,2)</f>
        <v>0</v>
      </c>
      <c r="BO428">
        <f t="shared" si="127"/>
        <v>0.65098335064156532</v>
      </c>
      <c r="BP428">
        <f t="shared" si="128"/>
        <v>3.9131848225155648</v>
      </c>
      <c r="BQ428">
        <f t="shared" si="129"/>
        <v>0</v>
      </c>
      <c r="BR428">
        <f t="shared" si="130"/>
        <v>0</v>
      </c>
      <c r="BS428">
        <f t="shared" si="131"/>
        <v>0</v>
      </c>
    </row>
    <row r="429" spans="1:71" ht="18" x14ac:dyDescent="0.25">
      <c r="A429" s="98">
        <f t="shared" si="121"/>
        <v>40238</v>
      </c>
      <c r="B429" s="324">
        <f t="array" ref="B429">SUM(IF(MONTH(NymexData!$AO$12:$AO$250)&amp;YEAR(NymexData!$AO$12:$AO$250)=MONTH(A429)&amp;YEAR(A429),NymexData!$AP$12:$AP$250))</f>
        <v>4.3531301949100003</v>
      </c>
      <c r="C429" s="324">
        <f t="shared" si="122"/>
        <v>0</v>
      </c>
      <c r="D429" s="326">
        <f t="shared" si="123"/>
        <v>4.3531301949100003</v>
      </c>
      <c r="E429" s="327">
        <f t="array" ref="E429">SUM(IF(MONTH(NymexData!$A$12:$A$250)&amp;YEAR(NymexData!$A$12:$A$250)=MONTH(A429)&amp;YEAR(A429),NymexData!$F$12:$F$250))</f>
        <v>5.8513633735829691</v>
      </c>
      <c r="F429" s="327">
        <f t="shared" si="124"/>
        <v>-4.6164656262964954E-2</v>
      </c>
      <c r="G429" s="328">
        <f t="array" ref="G429">IF(NymexData!$H$12="",GasPosn!E429,SUM(IF(MONTH(NymexData!$H$12:$H$250)&amp;YEAR(NymexData!$H$12:$H$250)=MONTH(A429)&amp;YEAR(A429),NymexData!$L$12:$L$250)))</f>
        <v>5.8051987173200041</v>
      </c>
      <c r="H429" s="99">
        <f t="shared" si="125"/>
        <v>-2009.6075911595378</v>
      </c>
      <c r="I429" s="92">
        <f t="shared" si="126"/>
        <v>0</v>
      </c>
      <c r="J429" s="92">
        <f t="shared" si="118"/>
        <v>-2009.6075911595378</v>
      </c>
      <c r="O429" s="47">
        <f t="shared" si="119"/>
        <v>40238</v>
      </c>
      <c r="BD429" s="48">
        <f t="shared" si="134"/>
        <v>0</v>
      </c>
      <c r="BE429" s="334">
        <f t="shared" si="135"/>
        <v>0</v>
      </c>
      <c r="BG429" s="51">
        <f t="shared" si="120"/>
        <v>40238</v>
      </c>
      <c r="BH429" s="335">
        <f t="shared" ref="BH429:BH445" si="136">(ABS(P429)+ABS(R429)+ABS(T429)+ABS(V429)+ABS(X429)+ABS(Z429)+ABS(AB429)+ABS(AD429)+ABS(AF429)+ABS(AH429)+ABS(AJ429)+ABS(AL429)+ABS(AN429)+ABS(AP429)+ABS(AR429)+ABS(AT429)+ABS(AV429)+ABS(AX429)+ABS(AZ429)+ABS(BB429))</f>
        <v>0</v>
      </c>
      <c r="BI429" s="52">
        <f>VLOOKUP(GasPosn!A429,'Pricing Summary'!$AB$12:$AD$250,3)</f>
        <v>31</v>
      </c>
      <c r="BJ429" s="50">
        <f>VLOOKUP(A429,Interest!$AF$8:$AK$367,6)</f>
        <v>0.6476299124673337</v>
      </c>
      <c r="BL429">
        <f>H429/VLOOKUP(A429,NymexData!$J$12:$K$128,2)</f>
        <v>-1262.400880657623</v>
      </c>
      <c r="BM429">
        <f>I429/VLOOKUP(A429,NymexData!$J$12:$K$128,2)</f>
        <v>0</v>
      </c>
      <c r="BO429">
        <f t="shared" si="127"/>
        <v>0.6476299124673337</v>
      </c>
      <c r="BP429">
        <f t="shared" si="128"/>
        <v>3.7596203371534322</v>
      </c>
      <c r="BQ429">
        <f t="shared" si="129"/>
        <v>0</v>
      </c>
      <c r="BR429">
        <f t="shared" si="130"/>
        <v>0</v>
      </c>
      <c r="BS429">
        <f t="shared" si="131"/>
        <v>0</v>
      </c>
    </row>
    <row r="430" spans="1:71" ht="18" x14ac:dyDescent="0.25">
      <c r="A430" s="100">
        <f t="shared" si="121"/>
        <v>40269</v>
      </c>
      <c r="B430" s="329">
        <f t="array" ref="B430">SUM(IF(MONTH(NymexData!$AO$12:$AO$250)&amp;YEAR(NymexData!$AO$12:$AO$250)=MONTH(A430)&amp;YEAR(A430),NymexData!$AP$12:$AP$250))</f>
        <v>4.1874594939100005</v>
      </c>
      <c r="C430" s="330">
        <f t="shared" si="122"/>
        <v>0</v>
      </c>
      <c r="D430" s="331">
        <f t="shared" si="123"/>
        <v>4.1874594939100005</v>
      </c>
      <c r="E430" s="332">
        <f t="array" ref="E430">SUM(IF(MONTH(NymexData!$A$12:$A$250)&amp;YEAR(NymexData!$A$12:$A$250)=MONTH(A430)&amp;YEAR(A430),NymexData!$F$12:$F$250))</f>
        <v>5.4346443028566753</v>
      </c>
      <c r="F430" s="332">
        <f t="shared" si="124"/>
        <v>-4.6644315848771711E-2</v>
      </c>
      <c r="G430" s="333">
        <f t="array" ref="G430">IF(NymexData!$H$12="",GasPosn!E430,SUM(IF(MONTH(NymexData!$H$12:$H$250)&amp;YEAR(NymexData!$H$12:$H$250)=MONTH(A430)&amp;YEAR(A430),NymexData!$L$12:$L$250)))</f>
        <v>5.3879999870079036</v>
      </c>
      <c r="H430" s="85">
        <f t="shared" si="125"/>
        <v>-1953.2118323787579</v>
      </c>
      <c r="I430" s="88">
        <f t="shared" si="126"/>
        <v>0</v>
      </c>
      <c r="J430" s="88">
        <f t="shared" si="118"/>
        <v>-1953.2118323787579</v>
      </c>
      <c r="O430" s="47">
        <f t="shared" si="119"/>
        <v>40269</v>
      </c>
      <c r="BD430" s="48">
        <f t="shared" si="134"/>
        <v>0</v>
      </c>
      <c r="BE430" s="334">
        <f t="shared" si="135"/>
        <v>0</v>
      </c>
      <c r="BG430" s="51">
        <f t="shared" si="120"/>
        <v>40269</v>
      </c>
      <c r="BH430" s="335">
        <f t="shared" si="136"/>
        <v>0</v>
      </c>
      <c r="BI430" s="52">
        <f>VLOOKUP(GasPosn!A430,'Pricing Summary'!$AB$12:$AD$250,3)</f>
        <v>30</v>
      </c>
      <c r="BJ430" s="50">
        <f>VLOOKUP(A430,Interest!$AF$8:$AK$367,6)</f>
        <v>0.64431809826080089</v>
      </c>
      <c r="BL430">
        <f>H430/VLOOKUP(A430,NymexData!$J$12:$K$128,2)</f>
        <v>-1226.1171018604714</v>
      </c>
      <c r="BM430">
        <f>I430/VLOOKUP(A430,NymexData!$J$12:$K$128,2)</f>
        <v>0</v>
      </c>
      <c r="BO430">
        <f t="shared" si="127"/>
        <v>0.64431809826080089</v>
      </c>
      <c r="BP430">
        <f t="shared" si="128"/>
        <v>3.4715859050581521</v>
      </c>
      <c r="BQ430">
        <f t="shared" si="129"/>
        <v>0</v>
      </c>
      <c r="BR430">
        <f t="shared" si="130"/>
        <v>0</v>
      </c>
      <c r="BS430">
        <f t="shared" si="131"/>
        <v>0</v>
      </c>
    </row>
    <row r="431" spans="1:71" ht="18" x14ac:dyDescent="0.25">
      <c r="A431" s="98">
        <f t="shared" si="121"/>
        <v>40299</v>
      </c>
      <c r="B431" s="324">
        <f t="array" ref="B431">SUM(IF(MONTH(NymexData!$AO$12:$AO$250)&amp;YEAR(NymexData!$AO$12:$AO$250)=MONTH(A431)&amp;YEAR(A431),NymexData!$AP$12:$AP$250))</f>
        <v>4.3018182174659998</v>
      </c>
      <c r="C431" s="324">
        <f t="shared" si="122"/>
        <v>0</v>
      </c>
      <c r="D431" s="326">
        <f t="shared" si="123"/>
        <v>4.3018182174659998</v>
      </c>
      <c r="E431" s="327">
        <f t="array" ref="E431">SUM(IF(MONTH(NymexData!$A$12:$A$250)&amp;YEAR(NymexData!$A$12:$A$250)=MONTH(A431)&amp;YEAR(A431),NymexData!$F$12:$F$250))</f>
        <v>5.4462237469055683</v>
      </c>
      <c r="F431" s="327">
        <f t="shared" si="124"/>
        <v>-4.696578565198184E-2</v>
      </c>
      <c r="G431" s="328">
        <f t="array" ref="G431">IF(NymexData!$H$12="",GasPosn!E431,SUM(IF(MONTH(NymexData!$H$12:$H$250)&amp;YEAR(NymexData!$H$12:$H$250)=MONTH(A431)&amp;YEAR(A431),NymexData!$L$12:$L$250)))</f>
        <v>5.3992579612535865</v>
      </c>
      <c r="H431" s="99">
        <f t="shared" si="125"/>
        <v>-2020.3827231529874</v>
      </c>
      <c r="I431" s="92">
        <f t="shared" si="126"/>
        <v>0</v>
      </c>
      <c r="J431" s="92">
        <f t="shared" si="118"/>
        <v>-2020.3827231529874</v>
      </c>
      <c r="O431" s="47">
        <f t="shared" si="119"/>
        <v>40299</v>
      </c>
      <c r="BD431" s="48">
        <f t="shared" si="134"/>
        <v>0</v>
      </c>
      <c r="BE431" s="334">
        <f t="shared" si="135"/>
        <v>0</v>
      </c>
      <c r="BG431" s="51">
        <f t="shared" si="120"/>
        <v>40299</v>
      </c>
      <c r="BH431" s="335">
        <f t="shared" si="136"/>
        <v>0</v>
      </c>
      <c r="BI431" s="52">
        <f>VLOOKUP(GasPosn!A431,'Pricing Summary'!$AB$12:$AD$250,3)</f>
        <v>31</v>
      </c>
      <c r="BJ431" s="50">
        <f>VLOOKUP(A431,Interest!$AF$8:$AK$367,6)</f>
        <v>0.64094027092430039</v>
      </c>
      <c r="BL431">
        <f>H431/VLOOKUP(A431,NymexData!$J$12:$K$128,2)</f>
        <v>-1267.4120840971343</v>
      </c>
      <c r="BM431">
        <f>I431/VLOOKUP(A431,NymexData!$J$12:$K$128,2)</f>
        <v>0</v>
      </c>
      <c r="BO431">
        <f t="shared" si="127"/>
        <v>0.64094027092430039</v>
      </c>
      <c r="BP431">
        <f t="shared" si="128"/>
        <v>3.4606018604760593</v>
      </c>
      <c r="BQ431">
        <f t="shared" si="129"/>
        <v>0</v>
      </c>
      <c r="BR431">
        <f t="shared" si="130"/>
        <v>0</v>
      </c>
      <c r="BS431">
        <f t="shared" si="131"/>
        <v>0</v>
      </c>
    </row>
    <row r="432" spans="1:71" ht="18" x14ac:dyDescent="0.25">
      <c r="A432" s="100">
        <f t="shared" si="121"/>
        <v>40330</v>
      </c>
      <c r="B432" s="329">
        <f t="array" ref="B432">SUM(IF(MONTH(NymexData!$AO$12:$AO$250)&amp;YEAR(NymexData!$AO$12:$AO$250)=MONTH(A432)&amp;YEAR(A432),NymexData!$AP$12:$AP$250))</f>
        <v>4.137851888338</v>
      </c>
      <c r="C432" s="330">
        <f t="shared" si="122"/>
        <v>0</v>
      </c>
      <c r="D432" s="331">
        <f t="shared" si="123"/>
        <v>4.137851888338</v>
      </c>
      <c r="E432" s="332">
        <f t="array" ref="E432">SUM(IF(MONTH(NymexData!$A$12:$A$250)&amp;YEAR(NymexData!$A$12:$A$250)=MONTH(A432)&amp;YEAR(A432),NymexData!$F$12:$F$250))</f>
        <v>5.5079062581697373</v>
      </c>
      <c r="F432" s="332">
        <f t="shared" si="124"/>
        <v>-4.7295857239969763E-2</v>
      </c>
      <c r="G432" s="333">
        <f t="array" ref="G432">IF(NymexData!$H$12="",GasPosn!E432,SUM(IF(MONTH(NymexData!$H$12:$H$250)&amp;YEAR(NymexData!$H$12:$H$250)=MONTH(A432)&amp;YEAR(A432),NymexData!$L$12:$L$250)))</f>
        <v>5.4606104009297676</v>
      </c>
      <c r="H432" s="85">
        <f t="shared" si="125"/>
        <v>-1957.0325219097335</v>
      </c>
      <c r="I432" s="88">
        <f t="shared" si="126"/>
        <v>0</v>
      </c>
      <c r="J432" s="88">
        <f t="shared" si="118"/>
        <v>-1957.0325219097335</v>
      </c>
      <c r="O432" s="47">
        <f t="shared" si="119"/>
        <v>40330</v>
      </c>
      <c r="BD432" s="48">
        <f t="shared" si="134"/>
        <v>0</v>
      </c>
      <c r="BE432" s="334">
        <f t="shared" si="135"/>
        <v>0</v>
      </c>
      <c r="BG432" s="51">
        <f t="shared" si="120"/>
        <v>40330</v>
      </c>
      <c r="BH432" s="335">
        <f t="shared" si="136"/>
        <v>0</v>
      </c>
      <c r="BI432" s="52">
        <f>VLOOKUP(GasPosn!A432,'Pricing Summary'!$AB$12:$AD$250,3)</f>
        <v>30</v>
      </c>
      <c r="BJ432" s="50">
        <f>VLOOKUP(A432,Interest!$AF$8:$AK$367,6)</f>
        <v>0.63764058539844393</v>
      </c>
      <c r="BL432">
        <f>H432/VLOOKUP(A432,NymexData!$J$12:$K$128,2)</f>
        <v>-1226.7864158850655</v>
      </c>
      <c r="BM432">
        <f>I432/VLOOKUP(A432,NymexData!$J$12:$K$128,2)</f>
        <v>0</v>
      </c>
      <c r="BO432">
        <f t="shared" si="127"/>
        <v>0.63764058539844393</v>
      </c>
      <c r="BP432">
        <f t="shared" si="128"/>
        <v>3.4819068126816886</v>
      </c>
      <c r="BQ432">
        <f t="shared" si="129"/>
        <v>0</v>
      </c>
      <c r="BR432">
        <f t="shared" si="130"/>
        <v>0</v>
      </c>
      <c r="BS432">
        <f t="shared" si="131"/>
        <v>0</v>
      </c>
    </row>
    <row r="433" spans="1:72" ht="18" x14ac:dyDescent="0.25">
      <c r="A433" s="98">
        <f t="shared" si="121"/>
        <v>40360</v>
      </c>
      <c r="B433" s="324">
        <f t="array" ref="B433">SUM(IF(MONTH(NymexData!$AO$12:$AO$250)&amp;YEAR(NymexData!$AO$12:$AO$250)=MONTH(A433)&amp;YEAR(A433),NymexData!$AP$12:$AP$250))</f>
        <v>4.2506088772840007</v>
      </c>
      <c r="C433" s="324">
        <f t="shared" si="122"/>
        <v>0</v>
      </c>
      <c r="D433" s="326">
        <f t="shared" si="123"/>
        <v>4.2506088772840007</v>
      </c>
      <c r="E433" s="327">
        <f t="array" ref="E433">SUM(IF(MONTH(NymexData!$A$12:$A$250)&amp;YEAR(NymexData!$A$12:$A$250)=MONTH(A433)&amp;YEAR(A433),NymexData!$F$12:$F$250))</f>
        <v>5.5801987023638606</v>
      </c>
      <c r="F433" s="327">
        <f t="shared" si="124"/>
        <v>-4.7626433589162964E-2</v>
      </c>
      <c r="G433" s="328">
        <f t="array" ref="G433">IF(NymexData!$H$12="",GasPosn!E433,SUM(IF(MONTH(NymexData!$H$12:$H$250)&amp;YEAR(NymexData!$H$12:$H$250)=MONTH(A433)&amp;YEAR(A433),NymexData!$L$12:$L$250)))</f>
        <v>5.5325722687746977</v>
      </c>
      <c r="H433" s="99">
        <f t="shared" si="125"/>
        <v>-2024.4134140747299</v>
      </c>
      <c r="I433" s="92">
        <f t="shared" si="126"/>
        <v>0</v>
      </c>
      <c r="J433" s="92">
        <f t="shared" si="118"/>
        <v>-2024.4134140747299</v>
      </c>
      <c r="O433" s="47">
        <f t="shared" si="119"/>
        <v>40360</v>
      </c>
      <c r="BD433" s="48">
        <f t="shared" si="134"/>
        <v>0</v>
      </c>
      <c r="BE433" s="334">
        <f t="shared" si="135"/>
        <v>0</v>
      </c>
      <c r="BG433" s="51">
        <f t="shared" si="120"/>
        <v>40360</v>
      </c>
      <c r="BH433" s="335">
        <f t="shared" si="136"/>
        <v>0</v>
      </c>
      <c r="BI433" s="52">
        <f>VLOOKUP(GasPosn!A433,'Pricing Summary'!$AB$12:$AD$250,3)</f>
        <v>31</v>
      </c>
      <c r="BJ433" s="50">
        <f>VLOOKUP(A433,Interest!$AF$8:$AK$367,6)</f>
        <v>0.63427580066950007</v>
      </c>
      <c r="BL433">
        <f>H433/VLOOKUP(A433,NymexData!$J$12:$K$128,2)</f>
        <v>-1268.1253286086926</v>
      </c>
      <c r="BM433">
        <f>I433/VLOOKUP(A433,NymexData!$J$12:$K$128,2)</f>
        <v>0</v>
      </c>
      <c r="BO433">
        <f t="shared" si="127"/>
        <v>0.63427580066950007</v>
      </c>
      <c r="BP433">
        <f t="shared" si="128"/>
        <v>3.5091767055389438</v>
      </c>
      <c r="BQ433">
        <f t="shared" si="129"/>
        <v>0</v>
      </c>
      <c r="BR433">
        <f t="shared" si="130"/>
        <v>0</v>
      </c>
      <c r="BS433">
        <f t="shared" si="131"/>
        <v>0</v>
      </c>
    </row>
    <row r="434" spans="1:72" ht="18" x14ac:dyDescent="0.25">
      <c r="A434" s="100">
        <f t="shared" si="121"/>
        <v>40391</v>
      </c>
      <c r="B434" s="329">
        <f t="array" ref="B434">SUM(IF(MONTH(NymexData!$AO$12:$AO$250)&amp;YEAR(NymexData!$AO$12:$AO$250)=MONTH(A434)&amp;YEAR(A434),NymexData!$AP$12:$AP$250))</f>
        <v>4.2246273003060004</v>
      </c>
      <c r="C434" s="330">
        <f t="shared" si="122"/>
        <v>0</v>
      </c>
      <c r="D434" s="331">
        <f t="shared" si="123"/>
        <v>4.2246273003060004</v>
      </c>
      <c r="E434" s="332">
        <f t="array" ref="E434">SUM(IF(MONTH(NymexData!$A$12:$A$250)&amp;YEAR(NymexData!$A$12:$A$250)=MONTH(A434)&amp;YEAR(A434),NymexData!$F$12:$F$250))</f>
        <v>5.642214252527034</v>
      </c>
      <c r="F434" s="332">
        <f t="shared" si="124"/>
        <v>-4.7984153711081667E-2</v>
      </c>
      <c r="G434" s="333">
        <f t="array" ref="G434">IF(NymexData!$H$12="",GasPosn!E434,SUM(IF(MONTH(NymexData!$H$12:$H$250)&amp;YEAR(NymexData!$H$12:$H$250)=MONTH(A434)&amp;YEAR(A434),NymexData!$L$12:$L$250)))</f>
        <v>5.5942300988159523</v>
      </c>
      <c r="H434" s="85">
        <f t="shared" si="125"/>
        <v>-2027.151657499151</v>
      </c>
      <c r="I434" s="88">
        <f t="shared" si="126"/>
        <v>0</v>
      </c>
      <c r="J434" s="88">
        <f t="shared" si="118"/>
        <v>-2027.151657499151</v>
      </c>
      <c r="O434" s="47">
        <f t="shared" si="119"/>
        <v>40391</v>
      </c>
      <c r="BD434" s="48">
        <f t="shared" si="134"/>
        <v>0</v>
      </c>
      <c r="BE434" s="334">
        <f t="shared" si="135"/>
        <v>0</v>
      </c>
      <c r="BG434" s="51">
        <f t="shared" si="120"/>
        <v>40391</v>
      </c>
      <c r="BH434" s="335">
        <f t="shared" si="136"/>
        <v>0</v>
      </c>
      <c r="BI434" s="52">
        <f>VLOOKUP(GasPosn!A434,'Pricing Summary'!$AB$12:$AD$250,3)</f>
        <v>31</v>
      </c>
      <c r="BJ434" s="50">
        <f>VLOOKUP(A434,Interest!$AF$8:$AK$367,6)</f>
        <v>0.63089879815721861</v>
      </c>
      <c r="BL434">
        <f>H434/VLOOKUP(A434,NymexData!$J$12:$K$128,2)</f>
        <v>-1268.8961349703998</v>
      </c>
      <c r="BM434">
        <f>I434/VLOOKUP(A434,NymexData!$J$12:$K$128,2)</f>
        <v>0</v>
      </c>
      <c r="BO434">
        <f t="shared" si="127"/>
        <v>0.63089879815721861</v>
      </c>
      <c r="BP434">
        <f t="shared" si="128"/>
        <v>3.5293930459579226</v>
      </c>
      <c r="BQ434">
        <f t="shared" si="129"/>
        <v>0</v>
      </c>
      <c r="BR434">
        <f t="shared" si="130"/>
        <v>0</v>
      </c>
      <c r="BS434">
        <f t="shared" si="131"/>
        <v>0</v>
      </c>
    </row>
    <row r="435" spans="1:72" ht="18" x14ac:dyDescent="0.25">
      <c r="A435" s="98">
        <f t="shared" si="121"/>
        <v>40422</v>
      </c>
      <c r="B435" s="324">
        <f t="array" ref="B435">SUM(IF(MONTH(NymexData!$AO$12:$AO$250)&amp;YEAR(NymexData!$AO$12:$AO$250)=MONTH(A435)&amp;YEAR(A435),NymexData!$AP$12:$AP$250))</f>
        <v>4.0632353002360002</v>
      </c>
      <c r="C435" s="324">
        <f t="shared" si="122"/>
        <v>0</v>
      </c>
      <c r="D435" s="326">
        <f t="shared" si="123"/>
        <v>4.0632353002360002</v>
      </c>
      <c r="E435" s="327">
        <f t="array" ref="E435">SUM(IF(MONTH(NymexData!$A$12:$A$250)&amp;YEAR(NymexData!$A$12:$A$250)=MONTH(A435)&amp;YEAR(A435),NymexData!$F$12:$F$250))</f>
        <v>5.6377239693445915</v>
      </c>
      <c r="F435" s="327">
        <f t="shared" si="124"/>
        <v>-4.8357490232034728E-2</v>
      </c>
      <c r="G435" s="328">
        <f t="array" ref="G435">IF(NymexData!$H$12="",GasPosn!E435,SUM(IF(MONTH(NymexData!$H$12:$H$250)&amp;YEAR(NymexData!$H$12:$H$250)=MONTH(A435)&amp;YEAR(A435),NymexData!$L$12:$L$250)))</f>
        <v>5.5893664791125568</v>
      </c>
      <c r="H435" s="99">
        <f t="shared" si="125"/>
        <v>-1964.8786134162108</v>
      </c>
      <c r="I435" s="92">
        <f t="shared" si="126"/>
        <v>0</v>
      </c>
      <c r="J435" s="92">
        <f t="shared" si="118"/>
        <v>-1964.8786134162108</v>
      </c>
      <c r="O435" s="47">
        <f t="shared" si="119"/>
        <v>40422</v>
      </c>
      <c r="BD435" s="48">
        <f t="shared" si="134"/>
        <v>0</v>
      </c>
      <c r="BE435" s="334">
        <f t="shared" si="135"/>
        <v>0</v>
      </c>
      <c r="BG435" s="51">
        <f t="shared" si="120"/>
        <v>40422</v>
      </c>
      <c r="BH435" s="335">
        <f t="shared" si="136"/>
        <v>0</v>
      </c>
      <c r="BI435" s="52">
        <f>VLOOKUP(GasPosn!A435,'Pricing Summary'!$AB$12:$AD$250,3)</f>
        <v>30</v>
      </c>
      <c r="BJ435" s="50">
        <f>VLOOKUP(A435,Interest!$AF$8:$AK$367,6)</f>
        <v>0.62761803603086896</v>
      </c>
      <c r="BL435">
        <f>H435/VLOOKUP(A435,NymexData!$J$12:$K$128,2)</f>
        <v>-1228.9873586973993</v>
      </c>
      <c r="BM435">
        <f>I435/VLOOKUP(A435,NymexData!$J$12:$K$128,2)</f>
        <v>0</v>
      </c>
      <c r="BO435">
        <f t="shared" si="127"/>
        <v>0.62761803603086896</v>
      </c>
      <c r="BP435">
        <f t="shared" si="128"/>
        <v>3.5079872122773961</v>
      </c>
      <c r="BQ435">
        <f t="shared" si="129"/>
        <v>0</v>
      </c>
      <c r="BR435">
        <f t="shared" si="130"/>
        <v>0</v>
      </c>
      <c r="BS435">
        <f t="shared" si="131"/>
        <v>0</v>
      </c>
    </row>
    <row r="436" spans="1:72" ht="18" x14ac:dyDescent="0.25">
      <c r="A436" s="100">
        <f t="shared" si="121"/>
        <v>40452</v>
      </c>
      <c r="B436" s="329">
        <f t="array" ref="B436">SUM(IF(MONTH(NymexData!$AO$12:$AO$250)&amp;YEAR(NymexData!$AO$12:$AO$250)=MONTH(A436)&amp;YEAR(A436),NymexData!$AP$12:$AP$250))</f>
        <v>4.1735933789479995</v>
      </c>
      <c r="C436" s="330">
        <f t="shared" si="122"/>
        <v>0</v>
      </c>
      <c r="D436" s="331">
        <f t="shared" si="123"/>
        <v>4.1735933789479995</v>
      </c>
      <c r="E436" s="332">
        <f t="array" ref="E436">SUM(IF(MONTH(NymexData!$A$12:$A$250)&amp;YEAR(NymexData!$A$12:$A$250)=MONTH(A436)&amp;YEAR(A436),NymexData!$F$12:$F$250))</f>
        <v>5.6422412901168171</v>
      </c>
      <c r="F436" s="332">
        <f t="shared" si="124"/>
        <v>-4.872495974986002E-2</v>
      </c>
      <c r="G436" s="333">
        <f t="array" ref="G436">IF(NymexData!$H$12="",GasPosn!E436,SUM(IF(MONTH(NymexData!$H$12:$H$250)&amp;YEAR(NymexData!$H$12:$H$250)=MONTH(A436)&amp;YEAR(A436),NymexData!$L$12:$L$250)))</f>
        <v>5.5935163303669571</v>
      </c>
      <c r="H436" s="85">
        <f t="shared" si="125"/>
        <v>-2033.5816940152356</v>
      </c>
      <c r="I436" s="88">
        <f t="shared" si="126"/>
        <v>0</v>
      </c>
      <c r="J436" s="88">
        <f t="shared" si="118"/>
        <v>-2033.5816940152356</v>
      </c>
      <c r="O436" s="47">
        <f t="shared" si="119"/>
        <v>40452</v>
      </c>
      <c r="BD436" s="48">
        <f t="shared" si="134"/>
        <v>0</v>
      </c>
      <c r="BE436" s="334">
        <f t="shared" si="135"/>
        <v>0</v>
      </c>
      <c r="BG436" s="51">
        <f t="shared" si="120"/>
        <v>40452</v>
      </c>
      <c r="BH436" s="335">
        <f t="shared" si="136"/>
        <v>0</v>
      </c>
      <c r="BI436" s="52">
        <f>VLOOKUP(GasPosn!A436,'Pricing Summary'!$AB$12:$AD$250,3)</f>
        <v>31</v>
      </c>
      <c r="BJ436" s="50">
        <f>VLOOKUP(A436,Interest!$AF$8:$AK$367,6)</f>
        <v>0.62427354176836236</v>
      </c>
      <c r="BL436">
        <f>H436/VLOOKUP(A436,NymexData!$J$12:$K$128,2)</f>
        <v>-1271.0159179389132</v>
      </c>
      <c r="BM436">
        <f>I436/VLOOKUP(A436,NymexData!$J$12:$K$128,2)</f>
        <v>0</v>
      </c>
      <c r="BO436">
        <f t="shared" si="127"/>
        <v>0.62427354176836236</v>
      </c>
      <c r="BP436">
        <f t="shared" si="128"/>
        <v>3.4918842504973537</v>
      </c>
      <c r="BQ436">
        <f t="shared" si="129"/>
        <v>0</v>
      </c>
      <c r="BR436">
        <f t="shared" si="130"/>
        <v>0</v>
      </c>
      <c r="BS436">
        <f t="shared" si="131"/>
        <v>0</v>
      </c>
    </row>
    <row r="437" spans="1:72" ht="18" x14ac:dyDescent="0.25">
      <c r="A437" s="98">
        <f t="shared" si="121"/>
        <v>40483</v>
      </c>
      <c r="B437" s="324">
        <f t="array" ref="B437">SUM(IF(MONTH(NymexData!$AO$12:$AO$250)&amp;YEAR(NymexData!$AO$12:$AO$250)=MONTH(A437)&amp;YEAR(A437),NymexData!$AP$12:$AP$250))</f>
        <v>4.0139101580200007</v>
      </c>
      <c r="C437" s="324">
        <f t="shared" si="122"/>
        <v>0</v>
      </c>
      <c r="D437" s="326">
        <f t="shared" si="123"/>
        <v>4.0139101580200007</v>
      </c>
      <c r="E437" s="327">
        <f t="array" ref="E437">SUM(IF(MONTH(NymexData!$A$12:$A$250)&amp;YEAR(NymexData!$A$12:$A$250)=MONTH(A437)&amp;YEAR(A437),NymexData!$F$12:$F$250))</f>
        <v>5.9171518478567693</v>
      </c>
      <c r="F437" s="327">
        <f t="shared" si="124"/>
        <v>-4.7620353410120941E-2</v>
      </c>
      <c r="G437" s="328">
        <f t="array" ref="G437">IF(NymexData!$H$12="",GasPosn!E437,SUM(IF(MONTH(NymexData!$H$12:$H$250)&amp;YEAR(NymexData!$H$12:$H$250)=MONTH(A437)&amp;YEAR(A437),NymexData!$L$12:$L$250)))</f>
        <v>5.8695314944466483</v>
      </c>
      <c r="H437" s="99">
        <f t="shared" si="125"/>
        <v>-1911.4382028138682</v>
      </c>
      <c r="I437" s="92">
        <f t="shared" si="126"/>
        <v>0</v>
      </c>
      <c r="J437" s="92">
        <f t="shared" si="118"/>
        <v>-1911.4382028138682</v>
      </c>
      <c r="O437" s="47">
        <f t="shared" si="119"/>
        <v>40483</v>
      </c>
      <c r="BD437" s="48">
        <f t="shared" si="134"/>
        <v>0</v>
      </c>
      <c r="BE437" s="334">
        <f t="shared" si="135"/>
        <v>0</v>
      </c>
      <c r="BG437" s="51">
        <f t="shared" si="120"/>
        <v>40483</v>
      </c>
      <c r="BH437" s="335">
        <f t="shared" si="136"/>
        <v>0</v>
      </c>
      <c r="BI437" s="52">
        <f>VLOOKUP(GasPosn!A437,'Pricing Summary'!$AB$12:$AD$250,3)</f>
        <v>30</v>
      </c>
      <c r="BJ437" s="50">
        <f>VLOOKUP(A437,Interest!$AF$8:$AK$367,6)</f>
        <v>0.6210057359407597</v>
      </c>
      <c r="BL437">
        <f>H437/VLOOKUP(A437,NymexData!$J$12:$K$128,2)</f>
        <v>-1193.745191507641</v>
      </c>
      <c r="BM437">
        <f>I437/VLOOKUP(A437,NymexData!$J$12:$K$128,2)</f>
        <v>0</v>
      </c>
      <c r="BO437">
        <f t="shared" si="127"/>
        <v>0.6210057359407597</v>
      </c>
      <c r="BP437">
        <f t="shared" si="128"/>
        <v>3.6450127253363078</v>
      </c>
      <c r="BQ437">
        <f t="shared" si="129"/>
        <v>0</v>
      </c>
      <c r="BR437">
        <f t="shared" si="130"/>
        <v>0</v>
      </c>
      <c r="BS437">
        <f t="shared" si="131"/>
        <v>0</v>
      </c>
    </row>
    <row r="438" spans="1:72" ht="18" x14ac:dyDescent="0.25">
      <c r="A438" s="100">
        <f t="shared" si="121"/>
        <v>40513</v>
      </c>
      <c r="B438" s="329">
        <f t="array" ref="B438">SUM(IF(MONTH(NymexData!$AO$12:$AO$250)&amp;YEAR(NymexData!$AO$12:$AO$250)=MONTH(A438)&amp;YEAR(A438),NymexData!$AP$12:$AP$250))</f>
        <v>4.1226892019320003</v>
      </c>
      <c r="C438" s="330">
        <f t="shared" si="122"/>
        <v>0</v>
      </c>
      <c r="D438" s="331">
        <f t="shared" si="123"/>
        <v>4.1226892019320003</v>
      </c>
      <c r="E438" s="332">
        <f t="array" ref="E438">SUM(IF(MONTH(NymexData!$A$12:$A$250)&amp;YEAR(NymexData!$A$12:$A$250)=MONTH(A438)&amp;YEAR(A438),NymexData!$F$12:$F$250))</f>
        <v>6.1529316022426643</v>
      </c>
      <c r="F438" s="332">
        <f t="shared" si="124"/>
        <v>-4.8053434655821903E-2</v>
      </c>
      <c r="G438" s="333">
        <f t="array" ref="G438">IF(NymexData!$H$12="",GasPosn!E438,SUM(IF(MONTH(NymexData!$H$12:$H$250)&amp;YEAR(NymexData!$H$12:$H$250)=MONTH(A438)&amp;YEAR(A438),NymexData!$L$12:$L$250)))</f>
        <v>6.1048781675868424</v>
      </c>
      <c r="H438" s="85">
        <f t="shared" si="125"/>
        <v>-1981.0937617130191</v>
      </c>
      <c r="I438" s="88">
        <f t="shared" si="126"/>
        <v>0</v>
      </c>
      <c r="J438" s="88">
        <f t="shared" si="118"/>
        <v>-1981.0937617130191</v>
      </c>
      <c r="O438" s="47">
        <f t="shared" si="119"/>
        <v>40513</v>
      </c>
      <c r="BD438" s="48">
        <f t="shared" si="134"/>
        <v>0</v>
      </c>
      <c r="BE438" s="334">
        <f t="shared" si="135"/>
        <v>0</v>
      </c>
      <c r="BG438" s="51">
        <f t="shared" si="120"/>
        <v>40513</v>
      </c>
      <c r="BH438" s="335">
        <f t="shared" si="136"/>
        <v>0</v>
      </c>
      <c r="BI438" s="52">
        <f>VLOOKUP(GasPosn!A438,'Pricing Summary'!$AB$12:$AD$250,3)</f>
        <v>31</v>
      </c>
      <c r="BJ438" s="50">
        <f>VLOOKUP(A438,Interest!$AF$8:$AK$367,6)</f>
        <v>0.61767509677595422</v>
      </c>
      <c r="BL438">
        <f>H438/VLOOKUP(A438,NymexData!$J$12:$K$128,2)</f>
        <v>-1236.301939218904</v>
      </c>
      <c r="BM438">
        <f>I438/VLOOKUP(A438,NymexData!$J$12:$K$128,2)</f>
        <v>0</v>
      </c>
      <c r="BO438">
        <f t="shared" si="127"/>
        <v>0.61767509677595422</v>
      </c>
      <c r="BP438">
        <f t="shared" si="128"/>
        <v>3.7708312129696129</v>
      </c>
      <c r="BQ438">
        <f t="shared" si="129"/>
        <v>0</v>
      </c>
      <c r="BR438">
        <f t="shared" si="130"/>
        <v>0</v>
      </c>
      <c r="BS438">
        <f t="shared" si="131"/>
        <v>0</v>
      </c>
    </row>
    <row r="439" spans="1:72" ht="18" x14ac:dyDescent="0.25">
      <c r="A439" s="98">
        <f t="shared" si="121"/>
        <v>40544</v>
      </c>
      <c r="B439" s="324">
        <f t="array" ref="B439">SUM(IF(MONTH(NymexData!$AO$12:$AO$250)&amp;YEAR(NymexData!$AO$12:$AO$250)=MONTH(A439)&amp;YEAR(A439),NymexData!$AP$12:$AP$250))</f>
        <v>0</v>
      </c>
      <c r="C439" s="324">
        <f t="shared" si="122"/>
        <v>0</v>
      </c>
      <c r="D439" s="326">
        <f t="shared" si="123"/>
        <v>0</v>
      </c>
      <c r="E439" s="327">
        <f t="array" ref="E439">SUM(IF(MONTH(NymexData!$A$12:$A$250)&amp;YEAR(NymexData!$A$12:$A$250)=MONTH(A439)&amp;YEAR(A439),NymexData!$F$12:$F$250))</f>
        <v>6.2646811701366802</v>
      </c>
      <c r="F439" s="327">
        <f t="shared" si="124"/>
        <v>-4.0909078498995832E-2</v>
      </c>
      <c r="G439" s="328">
        <f t="array" ref="G439">IF(NymexData!$H$12="",GasPosn!E439,SUM(IF(MONTH(NymexData!$H$12:$H$250)&amp;YEAR(NymexData!$H$12:$H$250)=MONTH(A439)&amp;YEAR(A439),NymexData!$L$12:$L$250)))</f>
        <v>6.2237720916376844</v>
      </c>
      <c r="H439" s="99">
        <f t="shared" si="125"/>
        <v>0</v>
      </c>
      <c r="I439" s="92">
        <f t="shared" si="126"/>
        <v>0</v>
      </c>
      <c r="J439" s="92">
        <f t="shared" si="118"/>
        <v>0</v>
      </c>
      <c r="O439" s="47">
        <f t="shared" si="119"/>
        <v>40544</v>
      </c>
      <c r="BD439" s="48">
        <f t="shared" si="134"/>
        <v>0</v>
      </c>
      <c r="BE439" s="334">
        <f t="shared" si="135"/>
        <v>0</v>
      </c>
      <c r="BG439" s="51">
        <f t="shared" si="120"/>
        <v>40544</v>
      </c>
      <c r="BH439" s="335">
        <f t="shared" si="136"/>
        <v>0</v>
      </c>
      <c r="BI439" s="52">
        <f>VLOOKUP(GasPosn!A439,'Pricing Summary'!$AB$12:$AD$250,3)</f>
        <v>31</v>
      </c>
      <c r="BJ439" s="50">
        <f>VLOOKUP(A439,Interest!$AF$8:$AK$367,6)</f>
        <v>0.6143322665765536</v>
      </c>
      <c r="BL439">
        <f>H439/VLOOKUP(A439,NymexData!$J$12:$K$128,2)</f>
        <v>0</v>
      </c>
      <c r="BM439">
        <f>I439/VLOOKUP(A439,NymexData!$J$12:$K$128,2)</f>
        <v>0</v>
      </c>
      <c r="BO439">
        <f t="shared" si="127"/>
        <v>0.6143322665765536</v>
      </c>
      <c r="BP439">
        <f t="shared" si="128"/>
        <v>3.8234640157116764</v>
      </c>
      <c r="BQ439">
        <f t="shared" si="129"/>
        <v>0</v>
      </c>
      <c r="BR439">
        <f t="shared" si="130"/>
        <v>0</v>
      </c>
      <c r="BS439">
        <f t="shared" si="131"/>
        <v>0</v>
      </c>
    </row>
    <row r="440" spans="1:72" ht="18" x14ac:dyDescent="0.25">
      <c r="A440" s="100">
        <f t="shared" si="121"/>
        <v>40575</v>
      </c>
      <c r="B440" s="329">
        <f t="array" ref="B440">SUM(IF(MONTH(NymexData!$AO$12:$AO$250)&amp;YEAR(NymexData!$AO$12:$AO$250)=MONTH(A440)&amp;YEAR(A440),NymexData!$AP$12:$AP$250))</f>
        <v>0</v>
      </c>
      <c r="C440" s="330">
        <f t="shared" si="122"/>
        <v>0</v>
      </c>
      <c r="D440" s="331">
        <f t="shared" si="123"/>
        <v>0</v>
      </c>
      <c r="E440" s="332">
        <f t="array" ref="E440">SUM(IF(MONTH(NymexData!$A$12:$A$250)&amp;YEAR(NymexData!$A$12:$A$250)=MONTH(A440)&amp;YEAR(A440),NymexData!$F$12:$F$250))</f>
        <v>6.1377923773394061</v>
      </c>
      <c r="F440" s="332">
        <f t="shared" si="124"/>
        <v>-4.2833342748740399E-2</v>
      </c>
      <c r="G440" s="333">
        <f t="array" ref="G440">IF(NymexData!$H$12="",GasPosn!E440,SUM(IF(MONTH(NymexData!$H$12:$H$250)&amp;YEAR(NymexData!$H$12:$H$250)=MONTH(A440)&amp;YEAR(A440),NymexData!$L$12:$L$250)))</f>
        <v>6.0949590345906657</v>
      </c>
      <c r="H440" s="85">
        <f t="shared" si="125"/>
        <v>0</v>
      </c>
      <c r="I440" s="88">
        <f t="shared" si="126"/>
        <v>0</v>
      </c>
      <c r="J440" s="88">
        <f t="shared" si="118"/>
        <v>0</v>
      </c>
      <c r="O440" s="47">
        <f t="shared" si="119"/>
        <v>40575</v>
      </c>
      <c r="BD440" s="48">
        <f t="shared" si="134"/>
        <v>0</v>
      </c>
      <c r="BE440" s="334">
        <f t="shared" si="135"/>
        <v>0</v>
      </c>
      <c r="BG440" s="51">
        <f t="shared" si="120"/>
        <v>40575</v>
      </c>
      <c r="BH440" s="335">
        <f t="shared" si="136"/>
        <v>0</v>
      </c>
      <c r="BI440" s="52">
        <f>VLOOKUP(GasPosn!A440,'Pricing Summary'!$AB$12:$AD$250,3)</f>
        <v>28</v>
      </c>
      <c r="BJ440" s="50">
        <f>VLOOKUP(A440,Interest!$AF$8:$AK$367,6)</f>
        <v>0.61126063482693205</v>
      </c>
      <c r="BL440">
        <f>H440/VLOOKUP(A440,NymexData!$J$12:$K$128,2)</f>
        <v>0</v>
      </c>
      <c r="BM440">
        <f>I440/VLOOKUP(A440,NymexData!$J$12:$K$128,2)</f>
        <v>0</v>
      </c>
      <c r="BO440">
        <f t="shared" si="127"/>
        <v>0.61126063482693205</v>
      </c>
      <c r="BP440">
        <f t="shared" si="128"/>
        <v>3.7256085287280354</v>
      </c>
      <c r="BQ440">
        <f t="shared" si="129"/>
        <v>0</v>
      </c>
      <c r="BR440">
        <f t="shared" si="130"/>
        <v>0</v>
      </c>
      <c r="BS440">
        <f t="shared" si="131"/>
        <v>0</v>
      </c>
    </row>
    <row r="441" spans="1:72" ht="18" x14ac:dyDescent="0.25">
      <c r="A441" s="98">
        <f t="shared" si="121"/>
        <v>40603</v>
      </c>
      <c r="B441" s="324">
        <f t="array" ref="B441">SUM(IF(MONTH(NymexData!$AO$12:$AO$250)&amp;YEAR(NymexData!$AO$12:$AO$250)=MONTH(A441)&amp;YEAR(A441),NymexData!$AP$12:$AP$250))</f>
        <v>0</v>
      </c>
      <c r="C441" s="324">
        <f t="shared" si="122"/>
        <v>0</v>
      </c>
      <c r="D441" s="326">
        <f t="shared" si="123"/>
        <v>0</v>
      </c>
      <c r="E441" s="327">
        <f t="array" ref="E441">SUM(IF(MONTH(NymexData!$A$12:$A$250)&amp;YEAR(NymexData!$A$12:$A$250)=MONTH(A441)&amp;YEAR(A441),NymexData!$F$12:$F$250))</f>
        <v>5.9310384981903006</v>
      </c>
      <c r="F441" s="327">
        <f t="shared" si="124"/>
        <v>-4.3158403305531223E-2</v>
      </c>
      <c r="G441" s="328">
        <f t="array" ref="G441">IF(NymexData!$H$12="",GasPosn!E441,SUM(IF(MONTH(NymexData!$H$12:$H$250)&amp;YEAR(NymexData!$H$12:$H$250)=MONTH(A441)&amp;YEAR(A441),NymexData!$L$12:$L$250)))</f>
        <v>5.8878800948847694</v>
      </c>
      <c r="H441" s="99">
        <f t="shared" si="125"/>
        <v>0</v>
      </c>
      <c r="I441" s="92">
        <f t="shared" si="126"/>
        <v>0</v>
      </c>
      <c r="J441" s="92">
        <f t="shared" si="118"/>
        <v>0</v>
      </c>
      <c r="O441" s="47">
        <f t="shared" si="119"/>
        <v>40603</v>
      </c>
      <c r="BD441" s="48">
        <f t="shared" si="134"/>
        <v>0</v>
      </c>
      <c r="BE441" s="334">
        <f t="shared" si="135"/>
        <v>0</v>
      </c>
      <c r="BG441" s="51">
        <f t="shared" si="120"/>
        <v>40603</v>
      </c>
      <c r="BH441" s="335">
        <f t="shared" si="136"/>
        <v>0</v>
      </c>
      <c r="BI441" s="52">
        <f>VLOOKUP(GasPosn!A441,'Pricing Summary'!$AB$12:$AD$250,3)</f>
        <v>31</v>
      </c>
      <c r="BJ441" s="50">
        <f>VLOOKUP(A441,Interest!$AF$8:$AK$367,6)</f>
        <v>0.60798998071829635</v>
      </c>
      <c r="BL441">
        <f>H441/VLOOKUP(A441,NymexData!$J$12:$K$128,2)</f>
        <v>0</v>
      </c>
      <c r="BM441">
        <f>I441/VLOOKUP(A441,NymexData!$J$12:$K$128,2)</f>
        <v>0</v>
      </c>
      <c r="BO441">
        <f t="shared" si="127"/>
        <v>0.60798998071829635</v>
      </c>
      <c r="BP441">
        <f t="shared" si="128"/>
        <v>3.579772105360632</v>
      </c>
      <c r="BQ441">
        <f t="shared" si="129"/>
        <v>0</v>
      </c>
      <c r="BR441">
        <f t="shared" si="130"/>
        <v>0</v>
      </c>
      <c r="BS441">
        <f t="shared" si="131"/>
        <v>0</v>
      </c>
    </row>
    <row r="442" spans="1:72" ht="18" x14ac:dyDescent="0.25">
      <c r="A442" s="100">
        <f t="shared" si="121"/>
        <v>40634</v>
      </c>
      <c r="B442" s="329">
        <f t="array" ref="B442">SUM(IF(MONTH(NymexData!$AO$12:$AO$250)&amp;YEAR(NymexData!$AO$12:$AO$250)=MONTH(A442)&amp;YEAR(A442),NymexData!$AP$12:$AP$250))</f>
        <v>0</v>
      </c>
      <c r="C442" s="330">
        <f t="shared" si="122"/>
        <v>0</v>
      </c>
      <c r="D442" s="331">
        <f t="shared" si="123"/>
        <v>0</v>
      </c>
      <c r="E442" s="332">
        <f t="array" ref="E442">SUM(IF(MONTH(NymexData!$A$12:$A$250)&amp;YEAR(NymexData!$A$12:$A$250)=MONTH(A442)&amp;YEAR(A442),NymexData!$F$12:$F$250))</f>
        <v>5.7016451587332106</v>
      </c>
      <c r="F442" s="332">
        <f t="shared" si="124"/>
        <v>-4.349566781477332E-2</v>
      </c>
      <c r="G442" s="333">
        <f t="array" ref="G442">IF(NymexData!$H$12="",GasPosn!E442,SUM(IF(MONTH(NymexData!$H$12:$H$250)&amp;YEAR(NymexData!$H$12:$H$250)=MONTH(A442)&amp;YEAR(A442),NymexData!$L$12:$L$250)))</f>
        <v>5.6581494909184373</v>
      </c>
      <c r="H442" s="85">
        <f t="shared" si="125"/>
        <v>0</v>
      </c>
      <c r="I442" s="88">
        <f t="shared" si="126"/>
        <v>0</v>
      </c>
      <c r="J442" s="88">
        <f t="shared" si="118"/>
        <v>0</v>
      </c>
      <c r="O442" s="47">
        <f t="shared" si="119"/>
        <v>40634</v>
      </c>
      <c r="BD442" s="48">
        <f t="shared" si="134"/>
        <v>0</v>
      </c>
      <c r="BE442" s="334">
        <f t="shared" si="135"/>
        <v>0</v>
      </c>
      <c r="BG442" s="51">
        <f t="shared" si="120"/>
        <v>40634</v>
      </c>
      <c r="BH442" s="335">
        <f t="shared" si="136"/>
        <v>0</v>
      </c>
      <c r="BI442" s="52">
        <f>VLOOKUP(GasPosn!A442,'Pricing Summary'!$AB$12:$AD$250,3)</f>
        <v>30</v>
      </c>
      <c r="BJ442" s="50">
        <f>VLOOKUP(A442,Interest!$AF$8:$AK$367,6)</f>
        <v>0.60475560624180724</v>
      </c>
      <c r="BL442">
        <f>H442/VLOOKUP(A442,NymexData!$J$12:$K$128,2)</f>
        <v>0</v>
      </c>
      <c r="BM442">
        <f>I442/VLOOKUP(A442,NymexData!$J$12:$K$128,2)</f>
        <v>0</v>
      </c>
      <c r="BO442">
        <f t="shared" si="127"/>
        <v>0.60475560624180724</v>
      </c>
      <c r="BP442">
        <f t="shared" si="128"/>
        <v>3.4217976255871525</v>
      </c>
      <c r="BQ442">
        <f t="shared" si="129"/>
        <v>0</v>
      </c>
      <c r="BR442">
        <f t="shared" si="130"/>
        <v>0</v>
      </c>
      <c r="BS442">
        <f t="shared" si="131"/>
        <v>0</v>
      </c>
    </row>
    <row r="443" spans="1:72" ht="18" x14ac:dyDescent="0.25">
      <c r="A443" s="98">
        <f t="shared" si="121"/>
        <v>40664</v>
      </c>
      <c r="B443" s="324">
        <f t="array" ref="B443">SUM(IF(MONTH(NymexData!$AO$12:$AO$250)&amp;YEAR(NymexData!$AO$12:$AO$250)=MONTH(A443)&amp;YEAR(A443),NymexData!$AP$12:$AP$250))</f>
        <v>0</v>
      </c>
      <c r="C443" s="324">
        <f t="shared" si="122"/>
        <v>0</v>
      </c>
      <c r="D443" s="326">
        <f t="shared" si="123"/>
        <v>0</v>
      </c>
      <c r="E443" s="327">
        <f t="array" ref="E443">SUM(IF(MONTH(NymexData!$A$12:$A$250)&amp;YEAR(NymexData!$A$12:$A$250)=MONTH(A443)&amp;YEAR(A443),NymexData!$F$12:$F$250))</f>
        <v>5.7143179205606094</v>
      </c>
      <c r="F443" s="327">
        <f t="shared" si="124"/>
        <v>-4.3911339298335683E-2</v>
      </c>
      <c r="G443" s="328">
        <f t="array" ref="G443">IF(NymexData!$H$12="",GasPosn!E443,SUM(IF(MONTH(NymexData!$H$12:$H$250)&amp;YEAR(NymexData!$H$12:$H$250)=MONTH(A443)&amp;YEAR(A443),NymexData!$L$12:$L$250)))</f>
        <v>5.6704065812622737</v>
      </c>
      <c r="H443" s="99">
        <f t="shared" si="125"/>
        <v>0</v>
      </c>
      <c r="I443" s="92">
        <f t="shared" si="126"/>
        <v>0</v>
      </c>
      <c r="J443" s="92">
        <f t="shared" si="118"/>
        <v>0</v>
      </c>
      <c r="O443" s="47">
        <f t="shared" si="119"/>
        <v>40664</v>
      </c>
      <c r="BD443" s="48">
        <f t="shared" si="134"/>
        <v>0</v>
      </c>
      <c r="BE443" s="334">
        <f t="shared" si="135"/>
        <v>0</v>
      </c>
      <c r="BG443" s="51">
        <f t="shared" si="120"/>
        <v>40664</v>
      </c>
      <c r="BH443" s="335">
        <f t="shared" si="136"/>
        <v>0</v>
      </c>
      <c r="BI443" s="52">
        <f>VLOOKUP(GasPosn!A443,'Pricing Summary'!$AB$12:$AD$250,3)</f>
        <v>31</v>
      </c>
      <c r="BJ443" s="50">
        <f>VLOOKUP(A443,Interest!$AF$8:$AK$367,6)</f>
        <v>0.60146059659194084</v>
      </c>
      <c r="BL443">
        <f>H443/VLOOKUP(A443,NymexData!$J$12:$K$128,2)</f>
        <v>0</v>
      </c>
      <c r="BM443">
        <f>I443/VLOOKUP(A443,NymexData!$J$12:$K$128,2)</f>
        <v>0</v>
      </c>
      <c r="BO443">
        <f t="shared" si="127"/>
        <v>0.60146059659194084</v>
      </c>
      <c r="BP443">
        <f t="shared" si="128"/>
        <v>3.4105261252848749</v>
      </c>
      <c r="BQ443">
        <f t="shared" si="129"/>
        <v>0</v>
      </c>
      <c r="BR443">
        <f t="shared" si="130"/>
        <v>0</v>
      </c>
      <c r="BS443">
        <f t="shared" si="131"/>
        <v>0</v>
      </c>
    </row>
    <row r="444" spans="1:72" ht="18" x14ac:dyDescent="0.25">
      <c r="A444" s="100">
        <f t="shared" si="121"/>
        <v>40695</v>
      </c>
      <c r="B444" s="329">
        <f t="array" ref="B444">SUM(IF(MONTH(NymexData!$AO$12:$AO$250)&amp;YEAR(NymexData!$AO$12:$AO$250)=MONTH(A444)&amp;YEAR(A444),NymexData!$AP$12:$AP$250))</f>
        <v>0</v>
      </c>
      <c r="C444" s="330">
        <f t="shared" si="122"/>
        <v>0</v>
      </c>
      <c r="D444" s="331">
        <f t="shared" si="123"/>
        <v>0</v>
      </c>
      <c r="E444" s="332">
        <f t="array" ref="E444">SUM(IF(MONTH(NymexData!$A$12:$A$250)&amp;YEAR(NymexData!$A$12:$A$250)=MONTH(A444)&amp;YEAR(A444),NymexData!$F$12:$F$250))</f>
        <v>5.7776414957102871</v>
      </c>
      <c r="F444" s="332">
        <f t="shared" si="124"/>
        <v>-4.4376754625052861E-2</v>
      </c>
      <c r="G444" s="333">
        <f t="array" ref="G444">IF(NymexData!$H$12="",GasPosn!E444,SUM(IF(MONTH(NymexData!$H$12:$H$250)&amp;YEAR(NymexData!$H$12:$H$250)=MONTH(A444)&amp;YEAR(A444),NymexData!$L$12:$L$250)))</f>
        <v>5.7332647410852342</v>
      </c>
      <c r="H444" s="85">
        <f t="shared" si="125"/>
        <v>0</v>
      </c>
      <c r="I444" s="88">
        <f t="shared" si="126"/>
        <v>0</v>
      </c>
      <c r="J444" s="88">
        <f t="shared" si="118"/>
        <v>0</v>
      </c>
      <c r="O444" s="47">
        <f t="shared" si="119"/>
        <v>40695</v>
      </c>
      <c r="BD444" s="48">
        <f t="shared" si="134"/>
        <v>0</v>
      </c>
      <c r="BE444" s="334">
        <f t="shared" si="135"/>
        <v>0</v>
      </c>
      <c r="BG444" s="51">
        <f t="shared" si="120"/>
        <v>40695</v>
      </c>
      <c r="BH444" s="335">
        <f t="shared" si="136"/>
        <v>0</v>
      </c>
      <c r="BI444" s="52">
        <f>VLOOKUP(GasPosn!A444,'Pricing Summary'!$AB$12:$AD$250,3)</f>
        <v>30</v>
      </c>
      <c r="BJ444" s="50">
        <f>VLOOKUP(A444,Interest!$AF$8:$AK$367,6)</f>
        <v>0.59824026033477595</v>
      </c>
      <c r="BL444">
        <f>H444/VLOOKUP(A444,NymexData!$J$12:$K$128,2)</f>
        <v>0</v>
      </c>
      <c r="BM444">
        <f>I444/VLOOKUP(A444,NymexData!$J$12:$K$128,2)</f>
        <v>0</v>
      </c>
      <c r="BO444">
        <f t="shared" si="127"/>
        <v>0.59824026033477595</v>
      </c>
      <c r="BP444">
        <f t="shared" si="128"/>
        <v>3.4298697912750225</v>
      </c>
      <c r="BQ444">
        <f t="shared" si="129"/>
        <v>0</v>
      </c>
      <c r="BR444">
        <f t="shared" si="130"/>
        <v>0</v>
      </c>
      <c r="BS444">
        <f t="shared" si="131"/>
        <v>0</v>
      </c>
    </row>
    <row r="445" spans="1:72" ht="18.75" thickBot="1" x14ac:dyDescent="0.3">
      <c r="A445" s="256">
        <f t="shared" si="121"/>
        <v>40725</v>
      </c>
      <c r="B445" s="341">
        <f t="array" ref="B445">SUM(IF(MONTH(NymexData!$AO$12:$AO$250)&amp;YEAR(NymexData!$AO$12:$AO$250)=MONTH(A445)&amp;YEAR(A445),NymexData!$AP$12:$AP$250))</f>
        <v>0</v>
      </c>
      <c r="C445" s="341">
        <f t="shared" si="122"/>
        <v>0</v>
      </c>
      <c r="D445" s="342">
        <f>C445+B445</f>
        <v>0</v>
      </c>
      <c r="E445" s="343">
        <f t="array" ref="E445">SUM(IF(MONTH(NymexData!$A$12:$A$250)&amp;YEAR(NymexData!$A$12:$A$250)=MONTH(A445)&amp;YEAR(A445),NymexData!$F$12:$F$250))</f>
        <v>5.8516721746540243</v>
      </c>
      <c r="F445" s="343">
        <f t="shared" si="124"/>
        <v>-4.4849845566469426E-2</v>
      </c>
      <c r="G445" s="344">
        <f t="array" ref="G445">IF(NymexData!$H$12="",GasPosn!E445,SUM(IF(MONTH(NymexData!$H$12:$H$250)&amp;YEAR(NymexData!$H$12:$H$250)=MONTH(A445)&amp;YEAR(A445),NymexData!$L$12:$L$250)))</f>
        <v>5.8068223290875549</v>
      </c>
      <c r="H445" s="345">
        <f t="shared" si="125"/>
        <v>0</v>
      </c>
      <c r="I445" s="346">
        <f t="shared" si="126"/>
        <v>0</v>
      </c>
      <c r="J445" s="346">
        <f>H445+I445</f>
        <v>0</v>
      </c>
      <c r="O445" s="347">
        <f t="shared" si="119"/>
        <v>40725</v>
      </c>
      <c r="BD445" s="348">
        <f>(P445+R445+T445+V445+X445+Z445+AB445+AD445+AF445+AH445+AJ445+AL445+AN445+AP445+AR445+AT445+AV445+AX445+AZ445+BB445)</f>
        <v>0</v>
      </c>
      <c r="BE445" s="349">
        <f>IF(AND(BD445=0,BH445=0),0,(ABS(P445)*Q445+ABS(R445)*S445+ABS(T445)*U445+ABS(V445)*W445+ABS(X445)*Y445+ABS(Z445)*AA445+ABS(AB445)*AC445+ABS(AD445)*AE445+ABS(AF445)*AG445+ABS(AH445)*AI445+ABS(AJ445)*AK445+ABS(AL445)*AM445+ABS(AN445)*AO445+ABS(AP445)*AQ445+ABS(AR445)*AS445+ABS(AT445)*AU445+ABS(AV445)*AW445+ABS(AX445)*AY445+ABS(AZ445)*BA445+ABS(BB445)*BC445)/BH445)</f>
        <v>0</v>
      </c>
      <c r="BG445" s="51">
        <f t="shared" si="120"/>
        <v>40725</v>
      </c>
      <c r="BH445" s="335">
        <f t="shared" si="136"/>
        <v>0</v>
      </c>
      <c r="BI445" s="52">
        <f>VLOOKUP(GasPosn!A445,'Pricing Summary'!$AB$12:$AD$250,3)</f>
        <v>31</v>
      </c>
      <c r="BJ445" s="50">
        <f>VLOOKUP(A445,Interest!$AF$8:$AK$367,6)</f>
        <v>0.59496016590654466</v>
      </c>
      <c r="BL445">
        <f>H445/VLOOKUP(A445,NymexData!$J$12:$K$128,2)</f>
        <v>0</v>
      </c>
      <c r="BM445">
        <f>I445/VLOOKUP(A445,NymexData!$J$12:$K$128,2)</f>
        <v>0</v>
      </c>
      <c r="BO445">
        <f t="shared" si="127"/>
        <v>0.59496016590654466</v>
      </c>
      <c r="BP445">
        <f t="shared" si="128"/>
        <v>3.4548279763037599</v>
      </c>
      <c r="BQ445">
        <f t="shared" si="129"/>
        <v>0</v>
      </c>
      <c r="BR445">
        <f t="shared" si="130"/>
        <v>0</v>
      </c>
      <c r="BS445">
        <f t="shared" si="131"/>
        <v>0</v>
      </c>
    </row>
    <row r="446" spans="1:72" x14ac:dyDescent="0.2">
      <c r="BR446">
        <f>SUM(BR329:BR445)</f>
        <v>54.107745314594652</v>
      </c>
      <c r="BS446">
        <f>SUM(BS329:BS445)</f>
        <v>258.4618075064933</v>
      </c>
      <c r="BT446">
        <f>BS446/BR446</f>
        <v>4.7767987005139094</v>
      </c>
    </row>
  </sheetData>
  <pageMargins left="0.75" right="0.75" top="1" bottom="1" header="0.5" footer="0.5"/>
  <pageSetup orientation="portrait" horizontalDpi="0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8193" r:id="rId4" name="Button 1">
              <controlPr defaultSize="0" print="0" autoFill="0" autoLine="0" autoPict="0" macro="[3]!NYMEX_Pos">
                <anchor moveWithCells="1" sizeWithCells="1">
                  <from>
                    <xdr:col>10</xdr:col>
                    <xdr:colOff>962025</xdr:colOff>
                    <xdr:row>10</xdr:row>
                    <xdr:rowOff>161925</xdr:rowOff>
                  </from>
                  <to>
                    <xdr:col>12</xdr:col>
                    <xdr:colOff>38100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6" r:id="rId5" name="Button 4">
              <controlPr defaultSize="0" print="0" autoFill="0" autoLine="0" autoPict="0" macro="[0]!NYMEX_Pos">
                <anchor moveWithCells="1" sizeWithCells="1">
                  <from>
                    <xdr:col>10</xdr:col>
                    <xdr:colOff>962025</xdr:colOff>
                    <xdr:row>10</xdr:row>
                    <xdr:rowOff>161925</xdr:rowOff>
                  </from>
                  <to>
                    <xdr:col>12</xdr:col>
                    <xdr:colOff>38100</xdr:colOff>
                    <xdr:row>13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7" r:id="rId6" name="Button 5">
              <controlPr defaultSize="0" print="0" autoFill="0" autoLine="0" autoPict="0" macro="[3]!NYMEX_Pos">
                <anchor moveWithCells="1" sizeWithCells="1">
                  <from>
                    <xdr:col>10</xdr:col>
                    <xdr:colOff>962025</xdr:colOff>
                    <xdr:row>198</xdr:row>
                    <xdr:rowOff>161925</xdr:rowOff>
                  </from>
                  <to>
                    <xdr:col>12</xdr:col>
                    <xdr:colOff>38100</xdr:colOff>
                    <xdr:row>201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198" r:id="rId7" name="Button 6">
              <controlPr defaultSize="0" print="0" autoFill="0" autoLine="0" autoPict="0" macro="[0]!AECO_Pos">
                <anchor moveWithCells="1" sizeWithCells="1">
                  <from>
                    <xdr:col>10</xdr:col>
                    <xdr:colOff>962025</xdr:colOff>
                    <xdr:row>198</xdr:row>
                    <xdr:rowOff>161925</xdr:rowOff>
                  </from>
                  <to>
                    <xdr:col>12</xdr:col>
                    <xdr:colOff>38100</xdr:colOff>
                    <xdr:row>201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1" r:id="rId8" name="Button 9">
              <controlPr defaultSize="0" print="0" autoFill="0" autoLine="0" autoPict="0" macro="[3]!NYMEX_Pos">
                <anchor moveWithCells="1" sizeWithCells="1">
                  <from>
                    <xdr:col>10</xdr:col>
                    <xdr:colOff>962025</xdr:colOff>
                    <xdr:row>327</xdr:row>
                    <xdr:rowOff>161925</xdr:rowOff>
                  </from>
                  <to>
                    <xdr:col>12</xdr:col>
                    <xdr:colOff>38100</xdr:colOff>
                    <xdr:row>330</xdr:row>
                    <xdr:rowOff>85725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8202" r:id="rId9" name="Button 10">
              <controlPr defaultSize="0" print="0" autoFill="0" autoLine="0" autoPict="0" macro="[0]!GasDaily_Pos">
                <anchor moveWithCells="1" sizeWithCells="1">
                  <from>
                    <xdr:col>10</xdr:col>
                    <xdr:colOff>962025</xdr:colOff>
                    <xdr:row>327</xdr:row>
                    <xdr:rowOff>161925</xdr:rowOff>
                  </from>
                  <to>
                    <xdr:col>12</xdr:col>
                    <xdr:colOff>38100</xdr:colOff>
                    <xdr:row>330</xdr:row>
                    <xdr:rowOff>85725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W1:AK10000"/>
  <sheetViews>
    <sheetView topLeftCell="W1" workbookViewId="0">
      <selection activeCell="AB11" sqref="AB11"/>
    </sheetView>
  </sheetViews>
  <sheetFormatPr defaultRowHeight="12.75" x14ac:dyDescent="0.2"/>
  <cols>
    <col min="1" max="22" width="0" hidden="1" customWidth="1"/>
    <col min="23" max="23" width="11.28515625" style="7" customWidth="1"/>
    <col min="24" max="24" width="19.28515625" style="17" customWidth="1"/>
    <col min="25" max="25" width="15.42578125" style="7" customWidth="1"/>
    <col min="26" max="27" width="9.140625" style="7"/>
    <col min="28" max="28" width="14.28515625" style="7" customWidth="1"/>
    <col min="29" max="30" width="9.140625" style="7"/>
    <col min="31" max="31" width="13" customWidth="1"/>
    <col min="32" max="32" width="17" customWidth="1"/>
    <col min="33" max="33" width="13.7109375" customWidth="1"/>
  </cols>
  <sheetData>
    <row r="1" spans="23:37" ht="15.75" x14ac:dyDescent="0.25">
      <c r="X1" s="8" t="s">
        <v>47</v>
      </c>
      <c r="AB1" s="9"/>
      <c r="AC1" s="9"/>
      <c r="AD1" s="9"/>
      <c r="AF1" s="8" t="s">
        <v>47</v>
      </c>
      <c r="AG1" s="7"/>
    </row>
    <row r="2" spans="23:37" x14ac:dyDescent="0.2">
      <c r="X2" s="10" t="s">
        <v>48</v>
      </c>
      <c r="AB2" s="9"/>
      <c r="AC2" s="9"/>
      <c r="AD2" s="9"/>
      <c r="AF2" s="10" t="s">
        <v>48</v>
      </c>
      <c r="AG2" s="7"/>
    </row>
    <row r="3" spans="23:37" x14ac:dyDescent="0.2">
      <c r="X3" s="11" t="s">
        <v>49</v>
      </c>
      <c r="Y3" s="12"/>
      <c r="AB3" s="9"/>
      <c r="AC3" s="9"/>
      <c r="AD3" s="9"/>
      <c r="AF3" s="11" t="s">
        <v>49</v>
      </c>
      <c r="AG3" s="12"/>
    </row>
    <row r="4" spans="23:37" x14ac:dyDescent="0.2">
      <c r="X4" s="11" t="s">
        <v>49</v>
      </c>
      <c r="Y4" s="10" t="s">
        <v>80</v>
      </c>
      <c r="AB4" s="9"/>
      <c r="AC4" s="9"/>
      <c r="AD4" s="9"/>
      <c r="AF4" s="11" t="s">
        <v>49</v>
      </c>
      <c r="AG4" s="10" t="s">
        <v>134</v>
      </c>
    </row>
    <row r="5" spans="23:37" x14ac:dyDescent="0.2">
      <c r="X5" s="13">
        <f>[4]Top!$D$5</f>
        <v>37188</v>
      </c>
      <c r="Y5" s="11" t="s">
        <v>81</v>
      </c>
      <c r="AF5" s="13">
        <f>[4]Top!$D$5</f>
        <v>37188</v>
      </c>
      <c r="AG5" s="11" t="s">
        <v>135</v>
      </c>
    </row>
    <row r="6" spans="23:37" ht="15.75" x14ac:dyDescent="0.25">
      <c r="X6" s="14">
        <f>W8</f>
        <v>37196</v>
      </c>
      <c r="Y6" s="11" t="s">
        <v>50</v>
      </c>
      <c r="AB6" s="15"/>
      <c r="AC6" s="16"/>
      <c r="AD6" s="16"/>
      <c r="AF6" s="14">
        <f>AE8</f>
        <v>37196</v>
      </c>
      <c r="AG6" s="11" t="s">
        <v>50</v>
      </c>
    </row>
    <row r="7" spans="23:37" x14ac:dyDescent="0.2">
      <c r="AA7" s="7" t="s">
        <v>51</v>
      </c>
      <c r="AB7" s="18" t="s">
        <v>52</v>
      </c>
      <c r="AC7" s="18" t="s">
        <v>29</v>
      </c>
      <c r="AD7" s="18"/>
      <c r="AI7" s="7" t="s">
        <v>51</v>
      </c>
      <c r="AJ7" s="18" t="s">
        <v>52</v>
      </c>
      <c r="AK7" s="18" t="s">
        <v>29</v>
      </c>
    </row>
    <row r="8" spans="23:37" x14ac:dyDescent="0.2">
      <c r="W8" s="193">
        <f>DATE(YEAR(X5+31),MONTH(X5+31),1)</f>
        <v>37196</v>
      </c>
      <c r="X8" s="196">
        <v>37196</v>
      </c>
      <c r="Y8">
        <v>2.7978025417024498E-2</v>
      </c>
      <c r="Z8" s="18"/>
      <c r="AA8" s="19">
        <f>YEAR(X8)</f>
        <v>2001</v>
      </c>
      <c r="AB8" s="18">
        <f>MONTH(X8)</f>
        <v>11</v>
      </c>
      <c r="AC8" s="20">
        <f>(1+Y8/2)^(-(DATE(AA9,AB9,5)-TradeSum!$B$2)/182.625)</f>
        <v>0.99688603656890984</v>
      </c>
      <c r="AD8" s="18"/>
      <c r="AE8" s="193">
        <f>DATE(YEAR(AF5+31),MONTH(AF5+31),1)</f>
        <v>37196</v>
      </c>
      <c r="AF8" s="196">
        <v>37196</v>
      </c>
      <c r="AG8">
        <v>2.6084496407824603E-2</v>
      </c>
      <c r="AI8" s="19">
        <f>YEAR(AF8)</f>
        <v>2001</v>
      </c>
      <c r="AJ8" s="18">
        <f>MONTH(AF8)</f>
        <v>11</v>
      </c>
      <c r="AK8" s="20">
        <f>(1+AG8/2)^(-(DATE(AI9,AJ9,5)-TradeSum!$B$2)/182.625)</f>
        <v>0.99709512318270321</v>
      </c>
    </row>
    <row r="9" spans="23:37" x14ac:dyDescent="0.2">
      <c r="X9" s="196">
        <v>37226</v>
      </c>
      <c r="Y9">
        <v>2.7839375401104201E-2</v>
      </c>
      <c r="Z9" s="18"/>
      <c r="AA9" s="19">
        <f t="shared" ref="AA9:AA72" si="0">YEAR(X9)</f>
        <v>2001</v>
      </c>
      <c r="AB9" s="18">
        <f t="shared" ref="AB9:AB72" si="1">MONTH(X9)</f>
        <v>12</v>
      </c>
      <c r="AC9" s="20">
        <f>(1+Y9/2)^(-(DATE(AA10,AB10,5)-TradeSum!$B$2)/182.625)</f>
        <v>0.99456482404641944</v>
      </c>
      <c r="AD9" s="21"/>
      <c r="AF9" s="196">
        <v>37226</v>
      </c>
      <c r="AG9">
        <v>2.4517243023560301E-2</v>
      </c>
      <c r="AI9" s="19">
        <f t="shared" ref="AI9:AI72" si="2">YEAR(AF9)</f>
        <v>2001</v>
      </c>
      <c r="AJ9" s="18">
        <f t="shared" ref="AJ9:AJ72" si="3">MONTH(AF9)</f>
        <v>12</v>
      </c>
      <c r="AK9" s="20">
        <f>(1+AG9/2)^(-(DATE(AI10,AJ10,5)-TradeSum!$B$2)/182.625)</f>
        <v>0.99520793381540129</v>
      </c>
    </row>
    <row r="10" spans="23:37" x14ac:dyDescent="0.2">
      <c r="X10" s="196">
        <v>37257</v>
      </c>
      <c r="Y10">
        <v>2.69459303033504E-2</v>
      </c>
      <c r="Z10" s="18"/>
      <c r="AA10" s="19">
        <f t="shared" si="0"/>
        <v>2002</v>
      </c>
      <c r="AB10" s="18">
        <f t="shared" si="1"/>
        <v>1</v>
      </c>
      <c r="AC10" s="20">
        <f>(1+Y10/2)^(-(DATE(AA11,AB11,5)-TradeSum!$B$2)/182.625)</f>
        <v>0.99248043245784456</v>
      </c>
      <c r="AD10" s="22"/>
      <c r="AF10" s="196">
        <v>37257</v>
      </c>
      <c r="AG10">
        <v>2.38992978137045E-2</v>
      </c>
      <c r="AI10" s="19">
        <f t="shared" si="2"/>
        <v>2002</v>
      </c>
      <c r="AJ10" s="18">
        <f t="shared" si="3"/>
        <v>1</v>
      </c>
      <c r="AK10" s="20">
        <f>(1+AG10/2)^(-(DATE(AI11,AJ11,5)-TradeSum!$B$2)/182.625)</f>
        <v>0.9933227729493781</v>
      </c>
    </row>
    <row r="11" spans="23:37" x14ac:dyDescent="0.2">
      <c r="X11" s="196">
        <v>37288</v>
      </c>
      <c r="Y11">
        <v>2.6252431269223799E-2</v>
      </c>
      <c r="Z11" s="18"/>
      <c r="AA11" s="19">
        <f t="shared" si="0"/>
        <v>2002</v>
      </c>
      <c r="AB11" s="18">
        <f t="shared" si="1"/>
        <v>2</v>
      </c>
      <c r="AC11" s="20">
        <f>(1+Y11/2)^(-(DATE(AA12,AB12,5)-TradeSum!$B$2)/182.625)</f>
        <v>0.99068922033639828</v>
      </c>
      <c r="AD11" s="22"/>
      <c r="AF11" s="196">
        <v>37288</v>
      </c>
      <c r="AG11">
        <v>2.36968871405265E-2</v>
      </c>
      <c r="AI11" s="19">
        <f t="shared" si="2"/>
        <v>2002</v>
      </c>
      <c r="AJ11" s="18">
        <f t="shared" si="3"/>
        <v>2</v>
      </c>
      <c r="AK11" s="20">
        <f>(1+AG11/2)^(-(DATE(AI12,AJ12,5)-TradeSum!$B$2)/182.625)</f>
        <v>0.99158646099193282</v>
      </c>
    </row>
    <row r="12" spans="23:37" x14ac:dyDescent="0.2">
      <c r="X12" s="196">
        <v>37316</v>
      </c>
      <c r="Y12">
        <v>2.5475384491933099E-2</v>
      </c>
      <c r="Z12" s="18"/>
      <c r="AA12" s="19">
        <f t="shared" si="0"/>
        <v>2002</v>
      </c>
      <c r="AB12" s="18">
        <f t="shared" si="1"/>
        <v>3</v>
      </c>
      <c r="AC12" s="20">
        <f>(1+Y12/2)^(-(DATE(AA13,AB13,5)-TradeSum!$B$2)/182.625)</f>
        <v>0.98883500971163563</v>
      </c>
      <c r="AD12" s="23"/>
      <c r="AF12" s="196">
        <v>37316</v>
      </c>
      <c r="AG12">
        <v>2.3291566028777098E-2</v>
      </c>
      <c r="AI12" s="19">
        <f t="shared" si="2"/>
        <v>2002</v>
      </c>
      <c r="AJ12" s="18">
        <f t="shared" si="3"/>
        <v>3</v>
      </c>
      <c r="AK12" s="20">
        <f>(1+AG12/2)^(-(DATE(AI13,AJ13,5)-TradeSum!$B$2)/182.625)</f>
        <v>0.98978170501446594</v>
      </c>
    </row>
    <row r="13" spans="23:37" x14ac:dyDescent="0.2">
      <c r="X13" s="196">
        <v>37347</v>
      </c>
      <c r="Y13">
        <v>2.4942521776382301E-2</v>
      </c>
      <c r="Z13" s="18"/>
      <c r="AA13" s="19">
        <f t="shared" si="0"/>
        <v>2002</v>
      </c>
      <c r="AB13" s="18">
        <f t="shared" si="1"/>
        <v>4</v>
      </c>
      <c r="AC13" s="20">
        <f>(1+Y13/2)^(-(DATE(AA14,AB14,5)-TradeSum!$B$2)/182.625)</f>
        <v>0.98705414338594299</v>
      </c>
      <c r="AD13" s="22"/>
      <c r="AF13" s="196">
        <v>37347</v>
      </c>
      <c r="AG13">
        <v>2.3047576380458498E-2</v>
      </c>
      <c r="AI13" s="19">
        <f t="shared" si="2"/>
        <v>2002</v>
      </c>
      <c r="AJ13" s="18">
        <f t="shared" si="3"/>
        <v>4</v>
      </c>
      <c r="AK13" s="20">
        <f>(1+AG13/2)^(-(DATE(AI14,AJ14,5)-TradeSum!$B$2)/182.625)</f>
        <v>0.98802618088084315</v>
      </c>
    </row>
    <row r="14" spans="23:37" x14ac:dyDescent="0.2">
      <c r="X14" s="196">
        <v>37377</v>
      </c>
      <c r="Y14">
        <v>2.4811626606495701E-2</v>
      </c>
      <c r="Z14" s="18"/>
      <c r="AA14" s="19">
        <f t="shared" si="0"/>
        <v>2002</v>
      </c>
      <c r="AB14" s="18">
        <f t="shared" si="1"/>
        <v>5</v>
      </c>
      <c r="AC14" s="20">
        <f>(1+Y14/2)^(-(DATE(AA15,AB15,5)-TradeSum!$B$2)/182.625)</f>
        <v>0.98505745091817609</v>
      </c>
      <c r="AD14" s="22"/>
      <c r="AF14" s="196">
        <v>37377</v>
      </c>
      <c r="AG14">
        <v>2.3083044360665099E-2</v>
      </c>
      <c r="AI14" s="19">
        <f t="shared" si="2"/>
        <v>2002</v>
      </c>
      <c r="AJ14" s="18">
        <f t="shared" si="3"/>
        <v>5</v>
      </c>
      <c r="AK14" s="20">
        <f>(1+AG14/2)^(-(DATE(AI15,AJ15,5)-TradeSum!$B$2)/182.625)</f>
        <v>0.98608528624425162</v>
      </c>
    </row>
    <row r="15" spans="23:37" x14ac:dyDescent="0.2">
      <c r="X15" s="196">
        <v>37408</v>
      </c>
      <c r="Y15">
        <v>2.4676368270364301E-2</v>
      </c>
      <c r="Z15" s="18"/>
      <c r="AA15" s="19">
        <f t="shared" si="0"/>
        <v>2002</v>
      </c>
      <c r="AB15" s="18">
        <f t="shared" si="1"/>
        <v>6</v>
      </c>
      <c r="AC15" s="20">
        <f>(1+Y15/2)^(-(DATE(AA16,AB16,5)-TradeSum!$B$2)/182.625)</f>
        <v>0.98315533794140342</v>
      </c>
      <c r="AD15" s="24"/>
      <c r="AF15" s="196">
        <v>37408</v>
      </c>
      <c r="AG15">
        <v>2.3119694607325301E-2</v>
      </c>
      <c r="AI15" s="19">
        <f t="shared" si="2"/>
        <v>2002</v>
      </c>
      <c r="AJ15" s="18">
        <f t="shared" si="3"/>
        <v>6</v>
      </c>
      <c r="AK15" s="20">
        <f>(1+AG15/2)^(-(DATE(AI16,AJ16,5)-TradeSum!$B$2)/182.625)</f>
        <v>0.98420348641036393</v>
      </c>
    </row>
    <row r="16" spans="23:37" x14ac:dyDescent="0.2">
      <c r="X16" s="196">
        <v>37438</v>
      </c>
      <c r="Y16">
        <v>2.4679994536411797E-2</v>
      </c>
      <c r="Z16" s="18"/>
      <c r="AA16" s="19">
        <f t="shared" si="0"/>
        <v>2002</v>
      </c>
      <c r="AB16" s="18">
        <f t="shared" si="1"/>
        <v>7</v>
      </c>
      <c r="AC16" s="20">
        <f>(1+Y16/2)^(-(DATE(AA17,AB17,5)-TradeSum!$B$2)/182.625)</f>
        <v>0.98110824520876327</v>
      </c>
      <c r="AD16" s="24"/>
      <c r="AF16" s="196">
        <v>37438</v>
      </c>
      <c r="AG16">
        <v>2.32560254041334E-2</v>
      </c>
      <c r="AI16" s="19">
        <f t="shared" si="2"/>
        <v>2002</v>
      </c>
      <c r="AJ16" s="18">
        <f t="shared" si="3"/>
        <v>7</v>
      </c>
      <c r="AK16" s="20">
        <f>(1+AG16/2)^(-(DATE(AI17,AJ17,5)-TradeSum!$B$2)/182.625)</f>
        <v>0.98218225832978834</v>
      </c>
    </row>
    <row r="17" spans="24:37" x14ac:dyDescent="0.2">
      <c r="X17" s="196">
        <v>37469</v>
      </c>
      <c r="Y17">
        <v>2.4849190981555601E-2</v>
      </c>
      <c r="Z17" s="18"/>
      <c r="AA17" s="19">
        <f t="shared" si="0"/>
        <v>2002</v>
      </c>
      <c r="AB17" s="18">
        <f t="shared" si="1"/>
        <v>8</v>
      </c>
      <c r="AC17" s="20">
        <f>(1+Y17/2)^(-(DATE(AA18,AB18,5)-TradeSum!$B$2)/182.625)</f>
        <v>0.97892673715113343</v>
      </c>
      <c r="AD17" s="24"/>
      <c r="AF17" s="196">
        <v>37469</v>
      </c>
      <c r="AG17">
        <v>2.3560030131535299E-2</v>
      </c>
      <c r="AI17" s="19">
        <f t="shared" si="2"/>
        <v>2002</v>
      </c>
      <c r="AJ17" s="18">
        <f t="shared" si="3"/>
        <v>8</v>
      </c>
      <c r="AK17" s="20">
        <f>(1+AG17/2)^(-(DATE(AI18,AJ18,5)-TradeSum!$B$2)/182.625)</f>
        <v>0.98000268640342925</v>
      </c>
    </row>
    <row r="18" spans="24:37" x14ac:dyDescent="0.2">
      <c r="X18" s="196">
        <v>37500</v>
      </c>
      <c r="Y18">
        <v>2.5018387436375199E-2</v>
      </c>
      <c r="Z18" s="18"/>
      <c r="AA18" s="19">
        <f t="shared" si="0"/>
        <v>2002</v>
      </c>
      <c r="AB18" s="18">
        <f t="shared" si="1"/>
        <v>9</v>
      </c>
      <c r="AC18" s="20">
        <f>(1+Y18/2)^(-(DATE(AA19,AB19,5)-TradeSum!$B$2)/182.625)</f>
        <v>0.97678887277378623</v>
      </c>
      <c r="AD18" s="24"/>
      <c r="AF18" s="196">
        <v>37500</v>
      </c>
      <c r="AG18">
        <v>2.3864034890197502E-2</v>
      </c>
      <c r="AI18" s="19">
        <f t="shared" si="2"/>
        <v>2002</v>
      </c>
      <c r="AJ18" s="18">
        <f t="shared" si="3"/>
        <v>9</v>
      </c>
      <c r="AK18" s="20">
        <f>(1+AG18/2)^(-(DATE(AI19,AJ19,5)-TradeSum!$B$2)/182.625)</f>
        <v>0.97784162654764262</v>
      </c>
    </row>
    <row r="19" spans="24:37" x14ac:dyDescent="0.2">
      <c r="X19" s="196">
        <v>37530</v>
      </c>
      <c r="Y19">
        <v>2.5292859074564703E-2</v>
      </c>
      <c r="Z19" s="18"/>
      <c r="AA19" s="19">
        <f t="shared" si="0"/>
        <v>2002</v>
      </c>
      <c r="AB19" s="18">
        <f t="shared" si="1"/>
        <v>10</v>
      </c>
      <c r="AC19" s="20">
        <f>(1+Y19/2)^(-(DATE(AA20,AB20,5)-TradeSum!$B$2)/182.625)</f>
        <v>0.97445785224490389</v>
      </c>
      <c r="AD19" s="24"/>
      <c r="AF19" s="196">
        <v>37530</v>
      </c>
      <c r="AG19">
        <v>2.4236772016891003E-2</v>
      </c>
      <c r="AI19" s="19">
        <f t="shared" si="2"/>
        <v>2002</v>
      </c>
      <c r="AJ19" s="18">
        <f t="shared" si="3"/>
        <v>10</v>
      </c>
      <c r="AK19" s="20">
        <f>(1+AG19/2)^(-(DATE(AI20,AJ20,5)-TradeSum!$B$2)/182.625)</f>
        <v>0.97550485790537467</v>
      </c>
    </row>
    <row r="20" spans="24:37" x14ac:dyDescent="0.2">
      <c r="X20" s="196">
        <v>37561</v>
      </c>
      <c r="Y20">
        <v>2.5696565420700899E-2</v>
      </c>
      <c r="Z20" s="18"/>
      <c r="AA20" s="19">
        <f t="shared" si="0"/>
        <v>2002</v>
      </c>
      <c r="AB20" s="18">
        <f t="shared" si="1"/>
        <v>11</v>
      </c>
      <c r="AC20" s="20">
        <f>(1+Y20/2)^(-(DATE(AA21,AB21,5)-TradeSum!$B$2)/182.625)</f>
        <v>0.97201744619197827</v>
      </c>
      <c r="AD20" s="24"/>
      <c r="AF20" s="196">
        <v>37561</v>
      </c>
      <c r="AG20">
        <v>2.47334438910678E-2</v>
      </c>
      <c r="AI20" s="19">
        <f t="shared" si="2"/>
        <v>2002</v>
      </c>
      <c r="AJ20" s="18">
        <f t="shared" si="3"/>
        <v>11</v>
      </c>
      <c r="AK20" s="20">
        <f>(1+AG20/2)^(-(DATE(AI21,AJ21,5)-TradeSum!$B$2)/182.625)</f>
        <v>0.97304565051539404</v>
      </c>
    </row>
    <row r="21" spans="24:37" x14ac:dyDescent="0.2">
      <c r="X21" s="196">
        <v>37591</v>
      </c>
      <c r="Y21">
        <v>2.60872490339112E-2</v>
      </c>
      <c r="Z21" s="18"/>
      <c r="AA21" s="19">
        <f t="shared" si="0"/>
        <v>2002</v>
      </c>
      <c r="AB21" s="18">
        <f t="shared" si="1"/>
        <v>12</v>
      </c>
      <c r="AC21" s="20">
        <f>(1+Y21/2)^(-(DATE(AA22,AB22,5)-TradeSum!$B$2)/182.625)</f>
        <v>0.96946583563660405</v>
      </c>
      <c r="AD21" s="24"/>
      <c r="AF21" s="196">
        <v>37591</v>
      </c>
      <c r="AG21">
        <v>2.5214094171284201E-2</v>
      </c>
      <c r="AI21" s="19">
        <f t="shared" si="2"/>
        <v>2002</v>
      </c>
      <c r="AJ21" s="18">
        <f t="shared" si="3"/>
        <v>12</v>
      </c>
      <c r="AK21" s="20">
        <f>(1+AG21/2)^(-(DATE(AI22,AJ22,5)-TradeSum!$B$2)/182.625)</f>
        <v>0.97046630649709131</v>
      </c>
    </row>
    <row r="22" spans="24:37" x14ac:dyDescent="0.2">
      <c r="X22" s="196">
        <v>37622</v>
      </c>
      <c r="Y22">
        <v>2.65889584990853E-2</v>
      </c>
      <c r="Z22" s="18"/>
      <c r="AA22" s="19">
        <f t="shared" si="0"/>
        <v>2003</v>
      </c>
      <c r="AB22" s="18">
        <f t="shared" si="1"/>
        <v>1</v>
      </c>
      <c r="AC22" s="20">
        <f>(1+Y22/2)^(-(DATE(AA23,AB23,5)-TradeSum!$B$2)/182.625)</f>
        <v>0.96672197958797379</v>
      </c>
      <c r="AD22" s="24"/>
      <c r="AF22" s="196">
        <v>37622</v>
      </c>
      <c r="AG22">
        <v>2.5770200087329401E-2</v>
      </c>
      <c r="AI22" s="19">
        <f t="shared" si="2"/>
        <v>2003</v>
      </c>
      <c r="AJ22" s="18">
        <f t="shared" si="3"/>
        <v>1</v>
      </c>
      <c r="AK22" s="20">
        <f>(1+AG22/2)^(-(DATE(AI23,AJ23,5)-TradeSum!$B$2)/182.625)</f>
        <v>0.96772356951013916</v>
      </c>
    </row>
    <row r="23" spans="24:37" x14ac:dyDescent="0.2">
      <c r="X23" s="196">
        <v>37653</v>
      </c>
      <c r="Y23">
        <v>2.7182545890303403E-2</v>
      </c>
      <c r="Z23" s="18"/>
      <c r="AA23" s="19">
        <f t="shared" si="0"/>
        <v>2003</v>
      </c>
      <c r="AB23" s="18">
        <f t="shared" si="1"/>
        <v>2</v>
      </c>
      <c r="AC23" s="20">
        <f>(1+Y23/2)^(-(DATE(AA24,AB24,5)-TradeSum!$B$2)/182.625)</f>
        <v>0.96399941456284444</v>
      </c>
      <c r="AD23" s="24"/>
      <c r="AF23" s="196">
        <v>37653</v>
      </c>
      <c r="AG23">
        <v>2.6398475831777499E-2</v>
      </c>
      <c r="AI23" s="19">
        <f t="shared" si="2"/>
        <v>2003</v>
      </c>
      <c r="AJ23" s="18">
        <f t="shared" si="3"/>
        <v>2</v>
      </c>
      <c r="AK23" s="20">
        <f>(1+AG23/2)^(-(DATE(AI24,AJ24,5)-TradeSum!$B$2)/182.625)</f>
        <v>0.96501279473153012</v>
      </c>
    </row>
    <row r="24" spans="24:37" x14ac:dyDescent="0.2">
      <c r="X24" s="196">
        <v>37681</v>
      </c>
      <c r="Y24">
        <v>2.7718689442692398E-2</v>
      </c>
      <c r="Z24" s="18"/>
      <c r="AA24" s="19">
        <f t="shared" si="0"/>
        <v>2003</v>
      </c>
      <c r="AB24" s="18">
        <f t="shared" si="1"/>
        <v>3</v>
      </c>
      <c r="AC24" s="20">
        <f>(1+Y24/2)^(-(DATE(AA25,AB25,5)-TradeSum!$B$2)/182.625)</f>
        <v>0.96105923961601514</v>
      </c>
      <c r="AD24" s="24"/>
      <c r="AF24" s="196">
        <v>37681</v>
      </c>
      <c r="AG24">
        <v>2.6965950812331697E-2</v>
      </c>
      <c r="AI24" s="19">
        <f t="shared" si="2"/>
        <v>2003</v>
      </c>
      <c r="AJ24" s="18">
        <f t="shared" si="3"/>
        <v>3</v>
      </c>
      <c r="AK24" s="20">
        <f>(1+AG24/2)^(-(DATE(AI25,AJ25,5)-TradeSum!$B$2)/182.625)</f>
        <v>0.96208950794295822</v>
      </c>
    </row>
    <row r="25" spans="24:37" x14ac:dyDescent="0.2">
      <c r="X25" s="196">
        <v>37712</v>
      </c>
      <c r="Y25">
        <v>2.8312277060302399E-2</v>
      </c>
      <c r="Z25" s="18"/>
      <c r="AA25" s="19">
        <f t="shared" si="0"/>
        <v>2003</v>
      </c>
      <c r="AB25" s="18">
        <f t="shared" si="1"/>
        <v>4</v>
      </c>
      <c r="AC25" s="20">
        <f>(1+Y25/2)^(-(DATE(AA26,AB26,5)-TradeSum!$B$2)/182.625)</f>
        <v>0.95803306116837317</v>
      </c>
      <c r="AD25" s="24"/>
      <c r="AF25" s="196">
        <v>37712</v>
      </c>
      <c r="AG25">
        <v>2.7596119521779101E-2</v>
      </c>
      <c r="AI25" s="19">
        <f t="shared" si="2"/>
        <v>2003</v>
      </c>
      <c r="AJ25" s="18">
        <f t="shared" si="3"/>
        <v>4</v>
      </c>
      <c r="AK25" s="20">
        <f>(1+AG25/2)^(-(DATE(AI26,AJ26,5)-TradeSum!$B$2)/182.625)</f>
        <v>0.95906548922359669</v>
      </c>
    </row>
    <row r="26" spans="24:37" x14ac:dyDescent="0.2">
      <c r="X26" s="196">
        <v>37742</v>
      </c>
      <c r="Y26">
        <v>2.8886716803456999E-2</v>
      </c>
      <c r="Z26" s="18"/>
      <c r="AA26" s="19">
        <f t="shared" si="0"/>
        <v>2003</v>
      </c>
      <c r="AB26" s="18">
        <f t="shared" si="1"/>
        <v>5</v>
      </c>
      <c r="AC26" s="20">
        <f>(1+Y26/2)^(-(DATE(AA27,AB27,5)-TradeSum!$B$2)/182.625)</f>
        <v>0.95487882826390569</v>
      </c>
      <c r="AD26" s="24"/>
      <c r="AF26" s="196">
        <v>37742</v>
      </c>
      <c r="AG26">
        <v>2.8199627040574E-2</v>
      </c>
      <c r="AI26" s="19">
        <f t="shared" si="2"/>
        <v>2003</v>
      </c>
      <c r="AJ26" s="18">
        <f t="shared" si="3"/>
        <v>5</v>
      </c>
      <c r="AK26" s="20">
        <f>(1+AG26/2)^(-(DATE(AI27,AJ27,5)-TradeSum!$B$2)/182.625)</f>
        <v>0.95592074117655512</v>
      </c>
    </row>
    <row r="27" spans="24:37" x14ac:dyDescent="0.2">
      <c r="X27" s="196">
        <v>37773</v>
      </c>
      <c r="Y27">
        <v>2.9480304654999401E-2</v>
      </c>
      <c r="Z27" s="18"/>
      <c r="AA27" s="19">
        <f t="shared" si="0"/>
        <v>2003</v>
      </c>
      <c r="AB27" s="18">
        <f t="shared" si="1"/>
        <v>6</v>
      </c>
      <c r="AC27" s="20">
        <f>(1+Y27/2)^(-(DATE(AA28,AB28,5)-TradeSum!$B$2)/182.625)</f>
        <v>0.95168956570235319</v>
      </c>
      <c r="AD27" s="24"/>
      <c r="AF27" s="196">
        <v>37773</v>
      </c>
      <c r="AG27">
        <v>2.8823251605791401E-2</v>
      </c>
      <c r="AI27" s="19">
        <f t="shared" si="2"/>
        <v>2003</v>
      </c>
      <c r="AJ27" s="18">
        <f t="shared" si="3"/>
        <v>6</v>
      </c>
      <c r="AK27" s="20">
        <f>(1+AG27/2)^(-(DATE(AI28,AJ28,5)-TradeSum!$B$2)/182.625)</f>
        <v>0.95273295750909415</v>
      </c>
    </row>
    <row r="28" spans="24:37" x14ac:dyDescent="0.2">
      <c r="X28" s="196">
        <v>37803</v>
      </c>
      <c r="Y28">
        <v>3.0054744624475702E-2</v>
      </c>
      <c r="Z28" s="18"/>
      <c r="AA28" s="19">
        <f t="shared" si="0"/>
        <v>2003</v>
      </c>
      <c r="AB28" s="18">
        <f t="shared" si="1"/>
        <v>7</v>
      </c>
      <c r="AC28" s="20">
        <f>(1+Y28/2)^(-(DATE(AA29,AB29,5)-TradeSum!$B$2)/182.625)</f>
        <v>0.94837437092142907</v>
      </c>
      <c r="AD28" s="24"/>
      <c r="AF28" s="196">
        <v>37803</v>
      </c>
      <c r="AG28">
        <v>2.9429178016152E-2</v>
      </c>
      <c r="AI28" s="19">
        <f t="shared" si="2"/>
        <v>2003</v>
      </c>
      <c r="AJ28" s="18">
        <f t="shared" si="3"/>
        <v>7</v>
      </c>
      <c r="AK28" s="20">
        <f>(1+AG28/2)^(-(DATE(AI29,AJ29,5)-TradeSum!$B$2)/182.625)</f>
        <v>0.94941365641009356</v>
      </c>
    </row>
    <row r="29" spans="24:37" x14ac:dyDescent="0.2">
      <c r="X29" s="196">
        <v>37834</v>
      </c>
      <c r="Y29">
        <v>3.0648332709817303E-2</v>
      </c>
      <c r="Z29" s="18"/>
      <c r="AA29" s="19">
        <f t="shared" si="0"/>
        <v>2003</v>
      </c>
      <c r="AB29" s="18">
        <f t="shared" si="1"/>
        <v>8</v>
      </c>
      <c r="AC29" s="20">
        <f>(1+Y29/2)^(-(DATE(AA30,AB30,5)-TradeSum!$B$2)/182.625)</f>
        <v>0.94494703040528838</v>
      </c>
      <c r="AD29" s="24"/>
      <c r="AF29" s="196">
        <v>37834</v>
      </c>
      <c r="AG29">
        <v>3.0058774246276301E-2</v>
      </c>
      <c r="AI29" s="19">
        <f t="shared" si="2"/>
        <v>2003</v>
      </c>
      <c r="AJ29" s="18">
        <f t="shared" si="3"/>
        <v>8</v>
      </c>
      <c r="AK29" s="20">
        <f>(1+AG29/2)^(-(DATE(AI30,AJ30,5)-TradeSum!$B$2)/182.625)</f>
        <v>0.94596925460818626</v>
      </c>
    </row>
    <row r="30" spans="24:37" x14ac:dyDescent="0.2">
      <c r="X30" s="196">
        <v>37865</v>
      </c>
      <c r="Y30">
        <v>3.12419209139225E-2</v>
      </c>
      <c r="Z30" s="18"/>
      <c r="AA30" s="19">
        <f t="shared" si="0"/>
        <v>2003</v>
      </c>
      <c r="AB30" s="18">
        <f t="shared" si="1"/>
        <v>9</v>
      </c>
      <c r="AC30" s="20">
        <f>(1+Y30/2)^(-(DATE(AA31,AB31,5)-TradeSum!$B$2)/182.625)</f>
        <v>0.94151885090949605</v>
      </c>
      <c r="AD30" s="24"/>
      <c r="AF30" s="196">
        <v>37865</v>
      </c>
      <c r="AG30">
        <v>3.0688370610049798E-2</v>
      </c>
      <c r="AI30" s="19">
        <f t="shared" si="2"/>
        <v>2003</v>
      </c>
      <c r="AJ30" s="18">
        <f t="shared" si="3"/>
        <v>9</v>
      </c>
      <c r="AK30" s="20">
        <f>(1+AG30/2)^(-(DATE(AI31,AJ31,5)-TradeSum!$B$2)/182.625)</f>
        <v>0.94251703784326879</v>
      </c>
    </row>
    <row r="31" spans="24:37" x14ac:dyDescent="0.2">
      <c r="X31" s="196">
        <v>37895</v>
      </c>
      <c r="Y31">
        <v>3.1816361224490802E-2</v>
      </c>
      <c r="Z31" s="18"/>
      <c r="AA31" s="19">
        <f t="shared" si="0"/>
        <v>2003</v>
      </c>
      <c r="AB31" s="18">
        <f t="shared" si="1"/>
        <v>10</v>
      </c>
      <c r="AC31" s="20">
        <f>(1+Y31/2)^(-(DATE(AA32,AB32,5)-TradeSum!$B$2)/182.625)</f>
        <v>0.93796811181569517</v>
      </c>
      <c r="AD31" s="24"/>
      <c r="AF31" s="196">
        <v>37895</v>
      </c>
      <c r="AG31">
        <v>3.12888650705756E-2</v>
      </c>
      <c r="AI31" s="19">
        <f t="shared" si="2"/>
        <v>2003</v>
      </c>
      <c r="AJ31" s="18">
        <f t="shared" si="3"/>
        <v>10</v>
      </c>
      <c r="AK31" s="20">
        <f>(1+AG31/2)^(-(DATE(AI32,AJ32,5)-TradeSum!$B$2)/182.625)</f>
        <v>0.93895681531458863</v>
      </c>
    </row>
    <row r="32" spans="24:37" x14ac:dyDescent="0.2">
      <c r="X32" s="196">
        <v>37926</v>
      </c>
      <c r="Y32">
        <v>3.2381912269056699E-2</v>
      </c>
      <c r="Z32" s="18"/>
      <c r="AA32" s="19">
        <f t="shared" si="0"/>
        <v>2003</v>
      </c>
      <c r="AB32" s="18">
        <f t="shared" si="1"/>
        <v>11</v>
      </c>
      <c r="AC32" s="20">
        <f>(1+Y32/2)^(-(DATE(AA33,AB33,5)-TradeSum!$B$2)/182.625)</f>
        <v>0.9344408347179447</v>
      </c>
      <c r="AD32" s="24"/>
      <c r="AF32" s="196">
        <v>37926</v>
      </c>
      <c r="AG32">
        <v>3.1898370684632305E-2</v>
      </c>
      <c r="AI32" s="19">
        <f t="shared" si="2"/>
        <v>2003</v>
      </c>
      <c r="AJ32" s="18">
        <f t="shared" si="3"/>
        <v>11</v>
      </c>
      <c r="AK32" s="20">
        <f>(1+AG32/2)^(-(DATE(AI33,AJ33,5)-TradeSum!$B$2)/182.625)</f>
        <v>0.93538000488636297</v>
      </c>
    </row>
    <row r="33" spans="24:37" x14ac:dyDescent="0.2">
      <c r="X33" s="196">
        <v>37956</v>
      </c>
      <c r="Y33">
        <v>3.2851212557956998E-2</v>
      </c>
      <c r="Z33" s="18"/>
      <c r="AA33" s="19">
        <f t="shared" si="0"/>
        <v>2003</v>
      </c>
      <c r="AB33" s="18">
        <f t="shared" si="1"/>
        <v>12</v>
      </c>
      <c r="AC33" s="20">
        <f>(1+Y33/2)^(-(DATE(AA34,AB34,5)-TradeSum!$B$2)/182.625)</f>
        <v>0.93095228902916383</v>
      </c>
      <c r="AD33" s="24"/>
      <c r="AF33" s="196">
        <v>37956</v>
      </c>
      <c r="AG33">
        <v>3.2488214946420506E-2</v>
      </c>
      <c r="AI33" s="19">
        <f t="shared" si="2"/>
        <v>2003</v>
      </c>
      <c r="AJ33" s="18">
        <f t="shared" si="3"/>
        <v>12</v>
      </c>
      <c r="AK33" s="20">
        <f>(1+AG33/2)^(-(DATE(AI34,AJ34,5)-TradeSum!$B$2)/182.625)</f>
        <v>0.93168266894648055</v>
      </c>
    </row>
    <row r="34" spans="24:37" x14ac:dyDescent="0.2">
      <c r="X34" s="196">
        <v>37987</v>
      </c>
      <c r="Y34">
        <v>3.3336156267725202E-2</v>
      </c>
      <c r="Z34" s="18"/>
      <c r="AA34" s="19">
        <f t="shared" si="0"/>
        <v>2004</v>
      </c>
      <c r="AB34" s="18">
        <f t="shared" si="1"/>
        <v>1</v>
      </c>
      <c r="AC34" s="20">
        <f>(1+Y34/2)^(-(DATE(AA35,AB35,5)-TradeSum!$B$2)/182.625)</f>
        <v>0.92737175221111368</v>
      </c>
      <c r="AD34" s="24"/>
      <c r="AF34" s="196">
        <v>37987</v>
      </c>
      <c r="AG34">
        <v>3.3092545306099307E-2</v>
      </c>
      <c r="AI34" s="19">
        <f t="shared" si="2"/>
        <v>2004</v>
      </c>
      <c r="AJ34" s="18">
        <f t="shared" si="3"/>
        <v>1</v>
      </c>
      <c r="AK34" s="20">
        <f>(1+AG34/2)^(-(DATE(AI35,AJ35,5)-TradeSum!$B$2)/182.625)</f>
        <v>0.92787870903644309</v>
      </c>
    </row>
    <row r="35" spans="24:37" x14ac:dyDescent="0.2">
      <c r="X35" s="196">
        <v>38018</v>
      </c>
      <c r="Y35">
        <v>3.3821100056656797E-2</v>
      </c>
      <c r="Z35" s="18"/>
      <c r="AA35" s="19">
        <f t="shared" si="0"/>
        <v>2004</v>
      </c>
      <c r="AB35" s="18">
        <f t="shared" si="1"/>
        <v>2</v>
      </c>
      <c r="AC35" s="20">
        <f>(1+Y35/2)^(-(DATE(AA36,AB36,5)-TradeSum!$B$2)/182.625)</f>
        <v>0.92390008514554756</v>
      </c>
      <c r="AD35" s="24"/>
      <c r="AF35" s="196">
        <v>38018</v>
      </c>
      <c r="AG35">
        <v>3.3691355253656401E-2</v>
      </c>
      <c r="AI35" s="19">
        <f t="shared" si="2"/>
        <v>2004</v>
      </c>
      <c r="AJ35" s="18">
        <f t="shared" si="3"/>
        <v>2</v>
      </c>
      <c r="AK35" s="20">
        <f>(1+AG35/2)^(-(DATE(AI36,AJ36,5)-TradeSum!$B$2)/182.625)</f>
        <v>0.92417833087541357</v>
      </c>
    </row>
    <row r="36" spans="24:37" x14ac:dyDescent="0.2">
      <c r="X36" s="196">
        <v>38047</v>
      </c>
      <c r="Y36">
        <v>3.4274757221179002E-2</v>
      </c>
      <c r="Z36" s="18"/>
      <c r="AA36" s="19">
        <f t="shared" si="0"/>
        <v>2004</v>
      </c>
      <c r="AB36" s="18">
        <f t="shared" si="1"/>
        <v>3</v>
      </c>
      <c r="AC36" s="20">
        <f>(1+Y36/2)^(-(DATE(AA37,AB37,5)-TradeSum!$B$2)/182.625)</f>
        <v>0.92026975771094099</v>
      </c>
      <c r="AD36" s="24"/>
      <c r="AF36" s="196">
        <v>38047</v>
      </c>
      <c r="AG36">
        <v>3.4251532410626499E-2</v>
      </c>
      <c r="AI36" s="19">
        <f t="shared" si="2"/>
        <v>2004</v>
      </c>
      <c r="AJ36" s="18">
        <f t="shared" si="3"/>
        <v>3</v>
      </c>
      <c r="AK36" s="20">
        <f>(1+AG36/2)^(-(DATE(AI37,AJ37,5)-TradeSum!$B$2)/182.625)</f>
        <v>0.92032113409702609</v>
      </c>
    </row>
    <row r="37" spans="24:37" x14ac:dyDescent="0.2">
      <c r="X37" s="196">
        <v>38078</v>
      </c>
      <c r="Y37">
        <v>3.4759701163276098E-2</v>
      </c>
      <c r="Z37" s="18"/>
      <c r="AA37" s="19">
        <f t="shared" si="0"/>
        <v>2004</v>
      </c>
      <c r="AB37" s="18">
        <f t="shared" si="1"/>
        <v>4</v>
      </c>
      <c r="AC37" s="20">
        <f>(1+Y37/2)^(-(DATE(AA38,AB38,5)-TradeSum!$B$2)/182.625)</f>
        <v>0.91659969310941369</v>
      </c>
      <c r="AD37" s="24"/>
      <c r="AF37" s="196">
        <v>38078</v>
      </c>
      <c r="AG37">
        <v>3.48167991092274E-2</v>
      </c>
      <c r="AI37" s="19">
        <f t="shared" si="2"/>
        <v>2004</v>
      </c>
      <c r="AJ37" s="18">
        <f t="shared" si="3"/>
        <v>4</v>
      </c>
      <c r="AK37" s="20">
        <f>(1+AG37/2)^(-(DATE(AI38,AJ38,5)-TradeSum!$B$2)/182.625)</f>
        <v>0.91646970858551369</v>
      </c>
    </row>
    <row r="38" spans="24:37" x14ac:dyDescent="0.2">
      <c r="X38" s="196">
        <v>38108</v>
      </c>
      <c r="Y38">
        <v>3.5229001827723906E-2</v>
      </c>
      <c r="Z38" s="18"/>
      <c r="AA38" s="19">
        <f t="shared" si="0"/>
        <v>2004</v>
      </c>
      <c r="AB38" s="18">
        <f t="shared" si="1"/>
        <v>5</v>
      </c>
      <c r="AC38" s="20">
        <f>(1+Y38/2)^(-(DATE(AA39,AB39,5)-TradeSum!$B$2)/182.625)</f>
        <v>0.91282237931371313</v>
      </c>
      <c r="AD38" s="24"/>
      <c r="AF38" s="196">
        <v>38108</v>
      </c>
      <c r="AG38">
        <v>3.53292059642345E-2</v>
      </c>
      <c r="AI38" s="19">
        <f t="shared" si="2"/>
        <v>2004</v>
      </c>
      <c r="AJ38" s="18">
        <f t="shared" si="3"/>
        <v>5</v>
      </c>
      <c r="AK38" s="20">
        <f>(1+AG38/2)^(-(DATE(AI39,AJ39,5)-TradeSum!$B$2)/182.625)</f>
        <v>0.91258764301378226</v>
      </c>
    </row>
    <row r="39" spans="24:37" x14ac:dyDescent="0.2">
      <c r="X39" s="196">
        <v>38139</v>
      </c>
      <c r="Y39">
        <v>3.57139459254672E-2</v>
      </c>
      <c r="Z39" s="18"/>
      <c r="AA39" s="19">
        <f t="shared" si="0"/>
        <v>2004</v>
      </c>
      <c r="AB39" s="18">
        <f t="shared" si="1"/>
        <v>6</v>
      </c>
      <c r="AC39" s="20">
        <f>(1+Y39/2)^(-(DATE(AA40,AB40,5)-TradeSum!$B$2)/182.625)</f>
        <v>0.90904014559832624</v>
      </c>
      <c r="AD39" s="24"/>
      <c r="AF39" s="196">
        <v>38139</v>
      </c>
      <c r="AG39">
        <v>3.5858693140501996E-2</v>
      </c>
      <c r="AI39" s="19">
        <f t="shared" si="2"/>
        <v>2004</v>
      </c>
      <c r="AJ39" s="18">
        <f t="shared" si="3"/>
        <v>6</v>
      </c>
      <c r="AK39" s="20">
        <f>(1+AG39/2)^(-(DATE(AI40,AJ40,5)-TradeSum!$B$2)/182.625)</f>
        <v>0.90869195842263595</v>
      </c>
    </row>
    <row r="40" spans="24:37" x14ac:dyDescent="0.2">
      <c r="X40" s="196">
        <v>38169</v>
      </c>
      <c r="Y40">
        <v>3.6183246740505201E-2</v>
      </c>
      <c r="Z40" s="18"/>
      <c r="AA40" s="19">
        <f t="shared" si="0"/>
        <v>2004</v>
      </c>
      <c r="AB40" s="18">
        <f t="shared" si="1"/>
        <v>7</v>
      </c>
      <c r="AC40" s="20">
        <f>(1+Y40/2)^(-(DATE(AA41,AB41,5)-TradeSum!$B$2)/182.625)</f>
        <v>0.90515275449698618</v>
      </c>
      <c r="AD40" s="24"/>
      <c r="AF40" s="196">
        <v>38169</v>
      </c>
      <c r="AG40">
        <v>3.6352681660231298E-2</v>
      </c>
      <c r="AI40" s="19">
        <f t="shared" si="2"/>
        <v>2004</v>
      </c>
      <c r="AJ40" s="18">
        <f t="shared" si="3"/>
        <v>7</v>
      </c>
      <c r="AK40" s="20">
        <f>(1+AG40/2)^(-(DATE(AI41,AJ41,5)-TradeSum!$B$2)/182.625)</f>
        <v>0.90473425468668633</v>
      </c>
    </row>
    <row r="41" spans="24:37" x14ac:dyDescent="0.2">
      <c r="X41" s="196">
        <v>38200</v>
      </c>
      <c r="Y41">
        <v>3.6668190993821403E-2</v>
      </c>
      <c r="Z41" s="18"/>
      <c r="AA41" s="19">
        <f t="shared" si="0"/>
        <v>2004</v>
      </c>
      <c r="AB41" s="18">
        <f t="shared" si="1"/>
        <v>8</v>
      </c>
      <c r="AC41" s="20">
        <f>(1+Y41/2)^(-(DATE(AA42,AB42,5)-TradeSum!$B$2)/182.625)</f>
        <v>0.90117208755348432</v>
      </c>
      <c r="AD41" s="24"/>
      <c r="AF41" s="196">
        <v>38200</v>
      </c>
      <c r="AG41">
        <v>3.6842928387217401E-2</v>
      </c>
      <c r="AI41" s="19">
        <f t="shared" si="2"/>
        <v>2004</v>
      </c>
      <c r="AJ41" s="18">
        <f t="shared" si="3"/>
        <v>8</v>
      </c>
      <c r="AK41" s="20">
        <f>(1+AG41/2)^(-(DATE(AI42,AJ42,5)-TradeSum!$B$2)/182.625)</f>
        <v>0.90072937745124015</v>
      </c>
    </row>
    <row r="42" spans="24:37" x14ac:dyDescent="0.2">
      <c r="X42" s="196">
        <v>38231</v>
      </c>
      <c r="Y42">
        <v>3.71531353261716E-2</v>
      </c>
      <c r="Z42" s="18"/>
      <c r="AA42" s="19">
        <f t="shared" si="0"/>
        <v>2004</v>
      </c>
      <c r="AB42" s="18">
        <f t="shared" si="1"/>
        <v>9</v>
      </c>
      <c r="AC42" s="20">
        <f>(1+Y42/2)^(-(DATE(AA43,AB43,5)-TradeSum!$B$2)/182.625)</f>
        <v>0.89722711810091071</v>
      </c>
      <c r="AD42" s="24"/>
      <c r="AF42" s="196">
        <v>38231</v>
      </c>
      <c r="AG42">
        <v>3.7333175194967698E-2</v>
      </c>
      <c r="AI42" s="19">
        <f t="shared" si="2"/>
        <v>2004</v>
      </c>
      <c r="AJ42" s="18">
        <f t="shared" si="3"/>
        <v>9</v>
      </c>
      <c r="AK42" s="20">
        <f>(1+AG42/2)^(-(DATE(AI43,AJ43,5)-TradeSum!$B$2)/182.625)</f>
        <v>0.89676006399607244</v>
      </c>
    </row>
    <row r="43" spans="24:37" x14ac:dyDescent="0.2">
      <c r="X43" s="196">
        <v>38261</v>
      </c>
      <c r="Y43">
        <v>3.7622436368195199E-2</v>
      </c>
      <c r="Z43" s="18"/>
      <c r="AA43" s="19">
        <f t="shared" si="0"/>
        <v>2004</v>
      </c>
      <c r="AB43" s="18">
        <f t="shared" si="1"/>
        <v>10</v>
      </c>
      <c r="AC43" s="20">
        <f>(1+Y43/2)^(-(DATE(AA44,AB44,5)-TradeSum!$B$2)/182.625)</f>
        <v>0.89318023379901668</v>
      </c>
      <c r="AD43" s="24"/>
      <c r="AF43" s="196">
        <v>38261</v>
      </c>
      <c r="AG43">
        <v>3.7788543939788699E-2</v>
      </c>
      <c r="AI43" s="19">
        <f t="shared" si="2"/>
        <v>2004</v>
      </c>
      <c r="AJ43" s="18">
        <f t="shared" si="3"/>
        <v>10</v>
      </c>
      <c r="AK43" s="20">
        <f>(1+AG43/2)^(-(DATE(AI44,AJ44,5)-TradeSum!$B$2)/182.625)</f>
        <v>0.89273900158123831</v>
      </c>
    </row>
    <row r="44" spans="24:37" x14ac:dyDescent="0.2">
      <c r="X44" s="196">
        <v>38292</v>
      </c>
      <c r="Y44">
        <v>3.8077211221387804E-2</v>
      </c>
      <c r="Z44" s="18"/>
      <c r="AA44" s="19">
        <f t="shared" si="0"/>
        <v>2004</v>
      </c>
      <c r="AB44" s="18">
        <f t="shared" si="1"/>
        <v>11</v>
      </c>
      <c r="AC44" s="20">
        <f>(1+Y44/2)^(-(DATE(AA45,AB45,5)-TradeSum!$B$2)/182.625)</f>
        <v>0.88921367920989125</v>
      </c>
      <c r="AD44" s="24"/>
      <c r="AF44" s="196">
        <v>38292</v>
      </c>
      <c r="AG44">
        <v>3.8240768461345297E-2</v>
      </c>
      <c r="AI44" s="19">
        <f t="shared" si="2"/>
        <v>2004</v>
      </c>
      <c r="AJ44" s="18">
        <f t="shared" si="3"/>
        <v>11</v>
      </c>
      <c r="AK44" s="20">
        <f>(1+AG44/2)^(-(DATE(AI45,AJ45,5)-TradeSum!$B$2)/182.625)</f>
        <v>0.88876952927706621</v>
      </c>
    </row>
    <row r="45" spans="24:37" x14ac:dyDescent="0.2">
      <c r="X45" s="196">
        <v>38322</v>
      </c>
      <c r="Y45">
        <v>3.8417213958065001E-2</v>
      </c>
      <c r="Z45" s="18"/>
      <c r="AA45" s="19">
        <f t="shared" si="0"/>
        <v>2004</v>
      </c>
      <c r="AB45" s="18">
        <f t="shared" si="1"/>
        <v>12</v>
      </c>
      <c r="AC45" s="20">
        <f>(1+Y45/2)^(-(DATE(AA46,AB46,5)-TradeSum!$B$2)/182.625)</f>
        <v>0.88542640402388217</v>
      </c>
      <c r="AD45" s="24"/>
      <c r="AF45" s="196">
        <v>38322</v>
      </c>
      <c r="AG45">
        <v>3.8678405160498502E-2</v>
      </c>
      <c r="AI45" s="19">
        <f t="shared" si="2"/>
        <v>2004</v>
      </c>
      <c r="AJ45" s="18">
        <f t="shared" si="3"/>
        <v>12</v>
      </c>
      <c r="AK45" s="20">
        <f>(1+AG45/2)^(-(DATE(AI46,AJ46,5)-TradeSum!$B$2)/182.625)</f>
        <v>0.88470114223239971</v>
      </c>
    </row>
    <row r="46" spans="24:37" x14ac:dyDescent="0.2">
      <c r="X46" s="196">
        <v>38353</v>
      </c>
      <c r="Y46">
        <v>3.8768550160077596E-2</v>
      </c>
      <c r="Z46" s="18"/>
      <c r="AA46" s="19">
        <f t="shared" si="0"/>
        <v>2005</v>
      </c>
      <c r="AB46" s="18">
        <f t="shared" si="1"/>
        <v>1</v>
      </c>
      <c r="AC46" s="20">
        <f>(1+Y46/2)^(-(DATE(AA47,AB47,5)-TradeSum!$B$2)/182.625)</f>
        <v>0.88157331723056809</v>
      </c>
      <c r="AD46" s="24"/>
      <c r="AF46" s="196">
        <v>38353</v>
      </c>
      <c r="AG46">
        <v>3.91187609391941E-2</v>
      </c>
      <c r="AI46" s="19">
        <f t="shared" si="2"/>
        <v>2005</v>
      </c>
      <c r="AJ46" s="18">
        <f t="shared" si="3"/>
        <v>1</v>
      </c>
      <c r="AK46" s="20">
        <f>(1+AG46/2)^(-(DATE(AI47,AJ47,5)-TradeSum!$B$2)/182.625)</f>
        <v>0.88057975098583097</v>
      </c>
    </row>
    <row r="47" spans="24:37" x14ac:dyDescent="0.2">
      <c r="X47" s="196">
        <v>38384</v>
      </c>
      <c r="Y47">
        <v>3.9119886403530903E-2</v>
      </c>
      <c r="Z47" s="18"/>
      <c r="AA47" s="19">
        <f t="shared" si="0"/>
        <v>2005</v>
      </c>
      <c r="AB47" s="18">
        <f t="shared" si="1"/>
        <v>2</v>
      </c>
      <c r="AC47" s="20">
        <f>(1+Y47/2)^(-(DATE(AA48,AB48,5)-TradeSum!$B$2)/182.625)</f>
        <v>0.87796515297598865</v>
      </c>
      <c r="AD47" s="24"/>
      <c r="AF47" s="196">
        <v>38384</v>
      </c>
      <c r="AG47">
        <v>3.9549342411467701E-2</v>
      </c>
      <c r="AI47" s="19">
        <f t="shared" si="2"/>
        <v>2005</v>
      </c>
      <c r="AJ47" s="18">
        <f t="shared" si="3"/>
        <v>2</v>
      </c>
      <c r="AK47" s="20">
        <f>(1+AG47/2)^(-(DATE(AI48,AJ48,5)-TradeSum!$B$2)/182.625)</f>
        <v>0.87672383052938008</v>
      </c>
    </row>
    <row r="48" spans="24:37" x14ac:dyDescent="0.2">
      <c r="X48" s="196">
        <v>38412</v>
      </c>
      <c r="Y48">
        <v>3.9437222400973103E-2</v>
      </c>
      <c r="Z48" s="18"/>
      <c r="AA48" s="19">
        <f t="shared" si="0"/>
        <v>2005</v>
      </c>
      <c r="AB48" s="18">
        <f t="shared" si="1"/>
        <v>3</v>
      </c>
      <c r="AC48" s="20">
        <f>(1+Y48/2)^(-(DATE(AA49,AB49,5)-TradeSum!$B$2)/182.625)</f>
        <v>0.87414546650482305</v>
      </c>
      <c r="AD48" s="24"/>
      <c r="AF48" s="196">
        <v>38412</v>
      </c>
      <c r="AG48">
        <v>3.99382547624842E-2</v>
      </c>
      <c r="AI48" s="19">
        <f t="shared" si="2"/>
        <v>2005</v>
      </c>
      <c r="AJ48" s="18">
        <f t="shared" si="3"/>
        <v>3</v>
      </c>
      <c r="AK48" s="20">
        <f>(1+AG48/2)^(-(DATE(AI49,AJ49,5)-TradeSum!$B$2)/182.625)</f>
        <v>0.87266758764656482</v>
      </c>
    </row>
    <row r="49" spans="24:37" x14ac:dyDescent="0.2">
      <c r="X49" s="196">
        <v>38443</v>
      </c>
      <c r="Y49">
        <v>3.9788558723278002E-2</v>
      </c>
      <c r="Z49" s="18"/>
      <c r="AA49" s="19">
        <f t="shared" si="0"/>
        <v>2005</v>
      </c>
      <c r="AB49" s="18">
        <f t="shared" si="1"/>
        <v>4</v>
      </c>
      <c r="AC49" s="20">
        <f>(1+Y49/2)^(-(DATE(AA50,AB50,5)-TradeSum!$B$2)/182.625)</f>
        <v>0.87028805269513487</v>
      </c>
      <c r="AD49" s="24"/>
      <c r="AF49" s="196">
        <v>38443</v>
      </c>
      <c r="AG49">
        <v>4.0339596483500703E-2</v>
      </c>
      <c r="AI49" s="19">
        <f t="shared" si="2"/>
        <v>2005</v>
      </c>
      <c r="AJ49" s="18">
        <f t="shared" si="3"/>
        <v>4</v>
      </c>
      <c r="AK49" s="20">
        <f>(1+AG49/2)^(-(DATE(AI50,AJ50,5)-TradeSum!$B$2)/182.625)</f>
        <v>0.8686317389279562</v>
      </c>
    </row>
    <row r="50" spans="24:37" x14ac:dyDescent="0.2">
      <c r="X50" s="196">
        <v>38473</v>
      </c>
      <c r="Y50">
        <v>4.0128561655268201E-2</v>
      </c>
      <c r="Z50" s="18"/>
      <c r="AA50" s="19">
        <f t="shared" si="0"/>
        <v>2005</v>
      </c>
      <c r="AB50" s="18">
        <f t="shared" si="1"/>
        <v>5</v>
      </c>
      <c r="AC50" s="20">
        <f>(1+Y50/2)^(-(DATE(AA51,AB51,5)-TradeSum!$B$2)/182.625)</f>
        <v>0.866339304582045</v>
      </c>
      <c r="AD50" s="24"/>
      <c r="AF50" s="196">
        <v>38473</v>
      </c>
      <c r="AG50">
        <v>4.0702553580247401E-2</v>
      </c>
      <c r="AI50" s="19">
        <f t="shared" si="2"/>
        <v>2005</v>
      </c>
      <c r="AJ50" s="18">
        <f t="shared" si="3"/>
        <v>5</v>
      </c>
      <c r="AK50" s="20">
        <f>(1+AG50/2)^(-(DATE(AI51,AJ51,5)-TradeSum!$B$2)/182.625)</f>
        <v>0.86458090072214322</v>
      </c>
    </row>
    <row r="51" spans="24:37" x14ac:dyDescent="0.2">
      <c r="X51" s="196">
        <v>38504</v>
      </c>
      <c r="Y51">
        <v>4.0479898059070596E-2</v>
      </c>
      <c r="Z51" s="18"/>
      <c r="AA51" s="19">
        <f t="shared" si="0"/>
        <v>2005</v>
      </c>
      <c r="AB51" s="18">
        <f t="shared" si="1"/>
        <v>6</v>
      </c>
      <c r="AC51" s="20">
        <f>(1+Y51/2)^(-(DATE(AA52,AB52,5)-TradeSum!$B$2)/182.625)</f>
        <v>0.86241906693806214</v>
      </c>
      <c r="AD51" s="24"/>
      <c r="AF51" s="196">
        <v>38504</v>
      </c>
      <c r="AG51">
        <v>4.1077609293304299E-2</v>
      </c>
      <c r="AI51" s="19">
        <f t="shared" si="2"/>
        <v>2005</v>
      </c>
      <c r="AJ51" s="18">
        <f t="shared" si="3"/>
        <v>6</v>
      </c>
      <c r="AK51" s="20">
        <f>(1+AG51/2)^(-(DATE(AI52,AJ52,5)-TradeSum!$B$2)/182.625)</f>
        <v>0.86055528171127715</v>
      </c>
    </row>
    <row r="52" spans="24:37" x14ac:dyDescent="0.2">
      <c r="X52" s="196">
        <v>38534</v>
      </c>
      <c r="Y52">
        <v>4.0819901069916002E-2</v>
      </c>
      <c r="Z52" s="18"/>
      <c r="AA52" s="19">
        <f t="shared" si="0"/>
        <v>2005</v>
      </c>
      <c r="AB52" s="18">
        <f t="shared" si="1"/>
        <v>7</v>
      </c>
      <c r="AC52" s="20">
        <f>(1+Y52/2)^(-(DATE(AA53,AB53,5)-TradeSum!$B$2)/182.625)</f>
        <v>0.85840921711696649</v>
      </c>
      <c r="AD52" s="24"/>
      <c r="AF52" s="196">
        <v>38534</v>
      </c>
      <c r="AG52">
        <v>4.14266027638397E-2</v>
      </c>
      <c r="AI52" s="19">
        <f t="shared" si="2"/>
        <v>2005</v>
      </c>
      <c r="AJ52" s="18">
        <f t="shared" si="3"/>
        <v>7</v>
      </c>
      <c r="AK52" s="20">
        <f>(1+AG52/2)^(-(DATE(AI53,AJ53,5)-TradeSum!$B$2)/182.625)</f>
        <v>0.85648332670118255</v>
      </c>
    </row>
    <row r="53" spans="24:37" x14ac:dyDescent="0.2">
      <c r="X53" s="196">
        <v>38565</v>
      </c>
      <c r="Y53">
        <v>4.1171237555187805E-2</v>
      </c>
      <c r="Z53" s="18"/>
      <c r="AA53" s="19">
        <f t="shared" si="0"/>
        <v>2005</v>
      </c>
      <c r="AB53" s="18">
        <f t="shared" si="1"/>
        <v>8</v>
      </c>
      <c r="AC53" s="20">
        <f>(1+Y53/2)^(-(DATE(AA54,AB54,5)-TradeSum!$B$2)/182.625)</f>
        <v>0.8543332147013879</v>
      </c>
      <c r="AD53" s="24"/>
      <c r="AF53" s="196">
        <v>38565</v>
      </c>
      <c r="AG53">
        <v>4.1773792900167396E-2</v>
      </c>
      <c r="AI53" s="19">
        <f t="shared" si="2"/>
        <v>2005</v>
      </c>
      <c r="AJ53" s="18">
        <f t="shared" si="3"/>
        <v>8</v>
      </c>
      <c r="AK53" s="20">
        <f>(1+AG53/2)^(-(DATE(AI54,AJ54,5)-TradeSum!$B$2)/182.625)</f>
        <v>0.85238717190807134</v>
      </c>
    </row>
    <row r="54" spans="24:37" x14ac:dyDescent="0.2">
      <c r="X54" s="196">
        <v>38596</v>
      </c>
      <c r="Y54">
        <v>4.15225740818514E-2</v>
      </c>
      <c r="Z54" s="18"/>
      <c r="AA54" s="19">
        <f t="shared" si="0"/>
        <v>2005</v>
      </c>
      <c r="AB54" s="18">
        <f t="shared" si="1"/>
        <v>9</v>
      </c>
      <c r="AC54" s="20">
        <f>(1+Y54/2)^(-(DATE(AA55,AB55,5)-TradeSum!$B$2)/182.625)</f>
        <v>0.85032274796341167</v>
      </c>
      <c r="AD54" s="24"/>
      <c r="AF54" s="196">
        <v>38596</v>
      </c>
      <c r="AG54">
        <v>4.2120983076904005E-2</v>
      </c>
      <c r="AI54" s="19">
        <f t="shared" si="2"/>
        <v>2005</v>
      </c>
      <c r="AJ54" s="18">
        <f t="shared" si="3"/>
        <v>9</v>
      </c>
      <c r="AK54" s="20">
        <f>(1+AG54/2)^(-(DATE(AI55,AJ55,5)-TradeSum!$B$2)/182.625)</f>
        <v>0.84835863810766987</v>
      </c>
    </row>
    <row r="55" spans="24:37" x14ac:dyDescent="0.2">
      <c r="X55" s="196">
        <v>38626</v>
      </c>
      <c r="Y55">
        <v>4.1862577211574999E-2</v>
      </c>
      <c r="Z55" s="18"/>
      <c r="AA55" s="19">
        <f t="shared" si="0"/>
        <v>2005</v>
      </c>
      <c r="AB55" s="18">
        <f t="shared" si="1"/>
        <v>10</v>
      </c>
      <c r="AC55" s="20">
        <f>(1+Y55/2)^(-(DATE(AA56,AB56,5)-TradeSum!$B$2)/182.625)</f>
        <v>0.84622529777959388</v>
      </c>
      <c r="AD55" s="24"/>
      <c r="AF55" s="196">
        <v>38626</v>
      </c>
      <c r="AG55">
        <v>4.2448176469481499E-2</v>
      </c>
      <c r="AI55" s="19">
        <f t="shared" si="2"/>
        <v>2005</v>
      </c>
      <c r="AJ55" s="18">
        <f t="shared" si="3"/>
        <v>10</v>
      </c>
      <c r="AK55" s="20">
        <f>(1+AG55/2)^(-(DATE(AI56,AJ56,5)-TradeSum!$B$2)/182.625)</f>
        <v>0.84427166234103423</v>
      </c>
    </row>
    <row r="56" spans="24:37" x14ac:dyDescent="0.2">
      <c r="X56" s="196">
        <v>38657</v>
      </c>
      <c r="Y56">
        <v>4.2213913819667298E-2</v>
      </c>
      <c r="Z56" s="18"/>
      <c r="AA56" s="19">
        <f t="shared" si="0"/>
        <v>2005</v>
      </c>
      <c r="AB56" s="18">
        <f t="shared" si="1"/>
        <v>11</v>
      </c>
      <c r="AC56" s="20">
        <f>(1+Y56/2)^(-(DATE(AA57,AB57,5)-TradeSum!$B$2)/182.625)</f>
        <v>0.84215802764350467</v>
      </c>
      <c r="AD56" s="24"/>
      <c r="AF56" s="196">
        <v>38657</v>
      </c>
      <c r="AG56">
        <v>4.2767006737037601E-2</v>
      </c>
      <c r="AI56" s="19">
        <f t="shared" si="2"/>
        <v>2005</v>
      </c>
      <c r="AJ56" s="18">
        <f t="shared" si="3"/>
        <v>11</v>
      </c>
      <c r="AK56" s="20">
        <f>(1+AG56/2)^(-(DATE(AI57,AJ57,5)-TradeSum!$B$2)/182.625)</f>
        <v>0.84028450980852853</v>
      </c>
    </row>
    <row r="57" spans="24:37" x14ac:dyDescent="0.2">
      <c r="X57" s="196">
        <v>38687</v>
      </c>
      <c r="Y57">
        <v>4.2553917028178602E-2</v>
      </c>
      <c r="Z57" s="18"/>
      <c r="AA57" s="19">
        <f t="shared" si="0"/>
        <v>2005</v>
      </c>
      <c r="AB57" s="18">
        <f t="shared" si="1"/>
        <v>12</v>
      </c>
      <c r="AC57" s="20">
        <f>(1+Y57/2)^(-(DATE(AA58,AB58,5)-TradeSum!$B$2)/182.625)</f>
        <v>0.83800553567690306</v>
      </c>
      <c r="AD57" s="24"/>
      <c r="AF57" s="196">
        <v>38687</v>
      </c>
      <c r="AG57">
        <v>4.3075552189683307E-2</v>
      </c>
      <c r="AI57" s="19">
        <f t="shared" si="2"/>
        <v>2005</v>
      </c>
      <c r="AJ57" s="18">
        <f t="shared" si="3"/>
        <v>12</v>
      </c>
      <c r="AK57" s="20">
        <f>(1+AG57/2)^(-(DATE(AI58,AJ58,5)-TradeSum!$B$2)/182.625)</f>
        <v>0.83621120978527286</v>
      </c>
    </row>
    <row r="58" spans="24:37" x14ac:dyDescent="0.2">
      <c r="X58" s="196">
        <v>38718</v>
      </c>
      <c r="Y58">
        <v>4.29052537176711E-2</v>
      </c>
      <c r="Z58" s="18"/>
      <c r="AA58" s="19">
        <f t="shared" si="0"/>
        <v>2006</v>
      </c>
      <c r="AB58" s="18">
        <f t="shared" si="1"/>
        <v>1</v>
      </c>
      <c r="AC58" s="20">
        <f>(1+Y58/2)^(-(DATE(AA59,AB59,5)-TradeSum!$B$2)/182.625)</f>
        <v>0.83378697522994927</v>
      </c>
      <c r="AD58" s="24"/>
      <c r="AF58" s="196">
        <v>38718</v>
      </c>
      <c r="AG58">
        <v>4.3373925626047201E-2</v>
      </c>
      <c r="AI58" s="19">
        <f t="shared" si="2"/>
        <v>2006</v>
      </c>
      <c r="AJ58" s="18">
        <f t="shared" si="3"/>
        <v>1</v>
      </c>
      <c r="AK58" s="20">
        <f>(1+AG58/2)^(-(DATE(AI59,AJ59,5)-TradeSum!$B$2)/182.625)</f>
        <v>0.83215062598275424</v>
      </c>
    </row>
    <row r="59" spans="24:37" x14ac:dyDescent="0.2">
      <c r="X59" s="196">
        <v>38749</v>
      </c>
      <c r="Y59">
        <v>4.3256590448520697E-2</v>
      </c>
      <c r="Z59" s="18"/>
      <c r="AA59" s="19">
        <f t="shared" si="0"/>
        <v>2006</v>
      </c>
      <c r="AB59" s="18">
        <f t="shared" si="1"/>
        <v>2</v>
      </c>
      <c r="AC59" s="20">
        <f>(1+Y59/2)^(-(DATE(AA60,AB60,5)-TradeSum!$B$2)/182.625)</f>
        <v>0.82983306364797982</v>
      </c>
      <c r="AD59" s="24"/>
      <c r="AF59" s="196">
        <v>38749</v>
      </c>
      <c r="AG59">
        <v>4.3635104728495702E-2</v>
      </c>
      <c r="AI59" s="19">
        <f t="shared" si="2"/>
        <v>2006</v>
      </c>
      <c r="AJ59" s="18">
        <f t="shared" si="3"/>
        <v>2</v>
      </c>
      <c r="AK59" s="20">
        <f>(1+AG59/2)^(-(DATE(AI60,AJ60,5)-TradeSum!$B$2)/182.625)</f>
        <v>0.82849418222068738</v>
      </c>
    </row>
    <row r="60" spans="24:37" x14ac:dyDescent="0.2">
      <c r="X60" s="196">
        <v>38777</v>
      </c>
      <c r="Y60">
        <v>4.3573926886119302E-2</v>
      </c>
      <c r="Z60" s="18"/>
      <c r="AA60" s="19">
        <f t="shared" si="0"/>
        <v>2006</v>
      </c>
      <c r="AB60" s="18">
        <f t="shared" si="1"/>
        <v>3</v>
      </c>
      <c r="AC60" s="20">
        <f>(1+Y60/2)^(-(DATE(AA61,AB61,5)-TradeSum!$B$2)/182.625)</f>
        <v>0.82568407413887113</v>
      </c>
      <c r="AD60" s="24"/>
      <c r="AF60" s="196">
        <v>38777</v>
      </c>
      <c r="AG60">
        <v>4.3871008453569602E-2</v>
      </c>
      <c r="AI60" s="19">
        <f t="shared" si="2"/>
        <v>2006</v>
      </c>
      <c r="AJ60" s="18">
        <f t="shared" si="3"/>
        <v>3</v>
      </c>
      <c r="AK60" s="20">
        <f>(1+AG60/2)^(-(DATE(AI61,AJ61,5)-TradeSum!$B$2)/182.625)</f>
        <v>0.82461810287948745</v>
      </c>
    </row>
    <row r="61" spans="24:37" x14ac:dyDescent="0.2">
      <c r="X61" s="196">
        <v>38808</v>
      </c>
      <c r="Y61">
        <v>4.3925263695660598E-2</v>
      </c>
      <c r="Z61" s="18"/>
      <c r="AA61" s="19">
        <f t="shared" si="0"/>
        <v>2006</v>
      </c>
      <c r="AB61" s="18">
        <f t="shared" si="1"/>
        <v>4</v>
      </c>
      <c r="AC61" s="20">
        <f>(1+Y61/2)^(-(DATE(AA62,AB62,5)-TradeSum!$B$2)/182.625)</f>
        <v>0.82148665283378441</v>
      </c>
      <c r="AD61" s="24"/>
      <c r="AF61" s="196">
        <v>38808</v>
      </c>
      <c r="AG61">
        <v>4.4132187599497601E-2</v>
      </c>
      <c r="AI61" s="19">
        <f t="shared" si="2"/>
        <v>2006</v>
      </c>
      <c r="AJ61" s="18">
        <f t="shared" si="3"/>
        <v>4</v>
      </c>
      <c r="AK61" s="20">
        <f>(1+AG61/2)^(-(DATE(AI62,AJ62,5)-TradeSum!$B$2)/182.625)</f>
        <v>0.82073427178337155</v>
      </c>
    </row>
    <row r="62" spans="24:37" x14ac:dyDescent="0.2">
      <c r="X62" s="196">
        <v>38838</v>
      </c>
      <c r="Y62">
        <v>4.4265267099090601E-2</v>
      </c>
      <c r="Z62" s="18"/>
      <c r="AA62" s="19">
        <f t="shared" si="0"/>
        <v>2006</v>
      </c>
      <c r="AB62" s="18">
        <f t="shared" si="1"/>
        <v>5</v>
      </c>
      <c r="AC62" s="20">
        <f>(1+Y62/2)^(-(DATE(AA63,AB63,5)-TradeSum!$B$2)/182.625)</f>
        <v>0.8172084237823084</v>
      </c>
      <c r="AD62" s="24"/>
      <c r="AF62" s="196">
        <v>38838</v>
      </c>
      <c r="AG62">
        <v>4.43849416334334E-2</v>
      </c>
      <c r="AI62" s="19">
        <f t="shared" si="2"/>
        <v>2006</v>
      </c>
      <c r="AJ62" s="18">
        <f t="shared" si="3"/>
        <v>5</v>
      </c>
      <c r="AK62" s="20">
        <f>(1+AG62/2)^(-(DATE(AI63,AJ63,5)-TradeSum!$B$2)/182.625)</f>
        <v>0.81676741294028066</v>
      </c>
    </row>
    <row r="63" spans="24:37" x14ac:dyDescent="0.2">
      <c r="X63" s="196">
        <v>38869</v>
      </c>
      <c r="Y63">
        <v>4.4616603989964698E-2</v>
      </c>
      <c r="Z63" s="18"/>
      <c r="AA63" s="19">
        <f t="shared" si="0"/>
        <v>2006</v>
      </c>
      <c r="AB63" s="18">
        <f t="shared" si="1"/>
        <v>6</v>
      </c>
      <c r="AC63" s="20">
        <f>(1+Y63/2)^(-(DATE(AA64,AB64,5)-TradeSum!$B$2)/182.625)</f>
        <v>0.81296267555531798</v>
      </c>
      <c r="AD63" s="24"/>
      <c r="AF63" s="196">
        <v>38869</v>
      </c>
      <c r="AG63">
        <v>4.4646120824304095E-2</v>
      </c>
      <c r="AI63" s="19">
        <f t="shared" si="2"/>
        <v>2006</v>
      </c>
      <c r="AJ63" s="18">
        <f t="shared" si="3"/>
        <v>6</v>
      </c>
      <c r="AK63" s="20">
        <f>(1+AG63/2)^(-(DATE(AI64,AJ64,5)-TradeSum!$B$2)/182.625)</f>
        <v>0.81285253518446399</v>
      </c>
    </row>
    <row r="64" spans="24:37" x14ac:dyDescent="0.2">
      <c r="X64" s="196">
        <v>38899</v>
      </c>
      <c r="Y64">
        <v>4.4956607472090397E-2</v>
      </c>
      <c r="Z64" s="18"/>
      <c r="AA64" s="19">
        <f t="shared" si="0"/>
        <v>2006</v>
      </c>
      <c r="AB64" s="18">
        <f t="shared" si="1"/>
        <v>7</v>
      </c>
      <c r="AC64" s="20">
        <f>(1+Y64/2)^(-(DATE(AA65,AB65,5)-TradeSum!$B$2)/182.625)</f>
        <v>0.80863792048430683</v>
      </c>
      <c r="AD64" s="24"/>
      <c r="AF64" s="196">
        <v>38899</v>
      </c>
      <c r="AG64">
        <v>4.4898874901727802E-2</v>
      </c>
      <c r="AI64" s="19">
        <f t="shared" si="2"/>
        <v>2006</v>
      </c>
      <c r="AJ64" s="18">
        <f t="shared" si="3"/>
        <v>7</v>
      </c>
      <c r="AK64" s="20">
        <f>(1+AG64/2)^(-(DATE(AI65,AJ65,5)-TradeSum!$B$2)/182.625)</f>
        <v>0.80885608836446599</v>
      </c>
    </row>
    <row r="65" spans="24:37" x14ac:dyDescent="0.2">
      <c r="X65" s="196">
        <v>38930</v>
      </c>
      <c r="Y65">
        <v>4.5307944444269201E-2</v>
      </c>
      <c r="Z65" s="18"/>
      <c r="AA65" s="19">
        <f t="shared" si="0"/>
        <v>2006</v>
      </c>
      <c r="AB65" s="18">
        <f t="shared" si="1"/>
        <v>8</v>
      </c>
      <c r="AC65" s="20">
        <f>(1+Y65/2)^(-(DATE(AA66,AB66,5)-TradeSum!$B$2)/182.625)</f>
        <v>0.80424764428566475</v>
      </c>
      <c r="AD65" s="24"/>
      <c r="AF65" s="196">
        <v>38930</v>
      </c>
      <c r="AG65">
        <v>4.5160054137529701E-2</v>
      </c>
      <c r="AI65" s="19">
        <f t="shared" si="2"/>
        <v>2006</v>
      </c>
      <c r="AJ65" s="18">
        <f t="shared" si="3"/>
        <v>8</v>
      </c>
      <c r="AK65" s="20">
        <f>(1+AG65/2)^(-(DATE(AI66,AJ66,5)-TradeSum!$B$2)/182.625)</f>
        <v>0.80481339087351089</v>
      </c>
    </row>
    <row r="66" spans="24:37" x14ac:dyDescent="0.2">
      <c r="X66" s="196">
        <v>38961</v>
      </c>
      <c r="Y66">
        <v>4.5659281457756801E-2</v>
      </c>
      <c r="Z66" s="18"/>
      <c r="AA66" s="19">
        <f t="shared" si="0"/>
        <v>2006</v>
      </c>
      <c r="AB66" s="18">
        <f t="shared" si="1"/>
        <v>9</v>
      </c>
      <c r="AC66" s="20">
        <f>(1+Y66/2)^(-(DATE(AA67,AB67,5)-TradeSum!$B$2)/182.625)</f>
        <v>0.79993365562188079</v>
      </c>
      <c r="AD66" s="24"/>
      <c r="AF66" s="196">
        <v>38961</v>
      </c>
      <c r="AG66">
        <v>4.5421233396161199E-2</v>
      </c>
      <c r="AI66" s="19">
        <f t="shared" si="2"/>
        <v>2006</v>
      </c>
      <c r="AJ66" s="18">
        <f t="shared" si="3"/>
        <v>9</v>
      </c>
      <c r="AK66" s="20">
        <f>(1+AG66/2)^(-(DATE(AI67,AJ67,5)-TradeSum!$B$2)/182.625)</f>
        <v>0.80085477947823691</v>
      </c>
    </row>
    <row r="67" spans="24:37" x14ac:dyDescent="0.2">
      <c r="X67" s="196">
        <v>38991</v>
      </c>
      <c r="Y67">
        <v>4.5999285058520502E-2</v>
      </c>
      <c r="Z67" s="18"/>
      <c r="AA67" s="19">
        <f t="shared" si="0"/>
        <v>2006</v>
      </c>
      <c r="AB67" s="18">
        <f t="shared" si="1"/>
        <v>10</v>
      </c>
      <c r="AC67" s="20">
        <f>(1+Y67/2)^(-(DATE(AA68,AB68,5)-TradeSum!$B$2)/182.625)</f>
        <v>0.79554339092518644</v>
      </c>
      <c r="AD67" s="24"/>
      <c r="AF67" s="196">
        <v>38991</v>
      </c>
      <c r="AG67">
        <v>4.5673987539151202E-2</v>
      </c>
      <c r="AI67" s="19">
        <f t="shared" si="2"/>
        <v>2006</v>
      </c>
      <c r="AJ67" s="18">
        <f t="shared" si="3"/>
        <v>10</v>
      </c>
      <c r="AK67" s="20">
        <f>(1+AG67/2)^(-(DATE(AI68,AJ68,5)-TradeSum!$B$2)/182.625)</f>
        <v>0.79681680590159942</v>
      </c>
    </row>
    <row r="68" spans="24:37" x14ac:dyDescent="0.2">
      <c r="X68" s="196">
        <v>39022</v>
      </c>
      <c r="Y68">
        <v>4.6307808571850503E-2</v>
      </c>
      <c r="Z68" s="18"/>
      <c r="AA68" s="19">
        <f t="shared" si="0"/>
        <v>2006</v>
      </c>
      <c r="AB68" s="18">
        <f t="shared" si="1"/>
        <v>11</v>
      </c>
      <c r="AC68" s="20">
        <f>(1+Y68/2)^(-(DATE(AA69,AB69,5)-TradeSum!$B$2)/182.625)</f>
        <v>0.79135648544431958</v>
      </c>
      <c r="AD68" s="24"/>
      <c r="AF68" s="196">
        <v>39022</v>
      </c>
      <c r="AG68">
        <v>4.5921674442991597E-2</v>
      </c>
      <c r="AI68" s="19">
        <f t="shared" si="2"/>
        <v>2006</v>
      </c>
      <c r="AJ68" s="18">
        <f t="shared" si="3"/>
        <v>11</v>
      </c>
      <c r="AK68" s="20">
        <f>(1+AG68/2)^(-(DATE(AI69,AJ69,5)-TradeSum!$B$2)/182.625)</f>
        <v>0.79288469694292008</v>
      </c>
    </row>
    <row r="69" spans="24:37" x14ac:dyDescent="0.2">
      <c r="X69" s="196">
        <v>39052</v>
      </c>
      <c r="Y69">
        <v>4.6487261303249205E-2</v>
      </c>
      <c r="Z69" s="18"/>
      <c r="AA69" s="19">
        <f t="shared" si="0"/>
        <v>2006</v>
      </c>
      <c r="AB69" s="18">
        <f t="shared" si="1"/>
        <v>12</v>
      </c>
      <c r="AC69" s="20">
        <f>(1+Y69/2)^(-(DATE(AA70,AB70,5)-TradeSum!$B$2)/182.625)</f>
        <v>0.78756954738542073</v>
      </c>
      <c r="AD69" s="24"/>
      <c r="AF69" s="196">
        <v>39052</v>
      </c>
      <c r="AG69">
        <v>4.6106966624980504E-2</v>
      </c>
      <c r="AI69" s="19">
        <f t="shared" si="2"/>
        <v>2006</v>
      </c>
      <c r="AJ69" s="18">
        <f t="shared" si="3"/>
        <v>12</v>
      </c>
      <c r="AK69" s="20">
        <f>(1+AG69/2)^(-(DATE(AI70,AJ70,5)-TradeSum!$B$2)/182.625)</f>
        <v>0.78909218281962379</v>
      </c>
    </row>
    <row r="70" spans="24:37" x14ac:dyDescent="0.2">
      <c r="X70" s="196">
        <v>39083</v>
      </c>
      <c r="Y70">
        <v>4.6672695803676105E-2</v>
      </c>
      <c r="Z70" s="18"/>
      <c r="AA70" s="19">
        <f t="shared" si="0"/>
        <v>2007</v>
      </c>
      <c r="AB70" s="18">
        <f t="shared" si="1"/>
        <v>1</v>
      </c>
      <c r="AC70" s="20">
        <f>(1+Y70/2)^(-(DATE(AA71,AB71,5)-TradeSum!$B$2)/182.625)</f>
        <v>0.78375326502461895</v>
      </c>
      <c r="AD70" s="24"/>
      <c r="AF70" s="196">
        <v>39083</v>
      </c>
      <c r="AG70">
        <v>4.6298435225101901E-2</v>
      </c>
      <c r="AI70" s="19">
        <f t="shared" si="2"/>
        <v>2007</v>
      </c>
      <c r="AJ70" s="18">
        <f t="shared" si="3"/>
        <v>1</v>
      </c>
      <c r="AK70" s="20">
        <f>(1+AG70/2)^(-(DATE(AI71,AJ71,5)-TradeSum!$B$2)/182.625)</f>
        <v>0.78526869645536734</v>
      </c>
    </row>
    <row r="71" spans="24:37" x14ac:dyDescent="0.2">
      <c r="X71" s="196">
        <v>39114</v>
      </c>
      <c r="Y71">
        <v>4.6858130315602195E-2</v>
      </c>
      <c r="Z71" s="18"/>
      <c r="AA71" s="19">
        <f t="shared" si="0"/>
        <v>2007</v>
      </c>
      <c r="AB71" s="18">
        <f t="shared" si="1"/>
        <v>2</v>
      </c>
      <c r="AC71" s="20">
        <f>(1+Y71/2)^(-(DATE(AA72,AB72,5)-TradeSum!$B$2)/182.625)</f>
        <v>0.78022831985081376</v>
      </c>
      <c r="AD71" s="24"/>
      <c r="AF71" s="196">
        <v>39114</v>
      </c>
      <c r="AG71">
        <v>4.6489903837485101E-2</v>
      </c>
      <c r="AI71" s="19">
        <f t="shared" si="2"/>
        <v>2007</v>
      </c>
      <c r="AJ71" s="18">
        <f t="shared" si="3"/>
        <v>2</v>
      </c>
      <c r="AK71" s="20">
        <f>(1+AG71/2)^(-(DATE(AI72,AJ72,5)-TradeSum!$B$2)/182.625)</f>
        <v>0.78173401608120174</v>
      </c>
    </row>
    <row r="72" spans="24:37" x14ac:dyDescent="0.2">
      <c r="X72" s="196">
        <v>39142</v>
      </c>
      <c r="Y72">
        <v>4.7025619562064004E-2</v>
      </c>
      <c r="Z72" s="18"/>
      <c r="AA72" s="19">
        <f t="shared" si="0"/>
        <v>2007</v>
      </c>
      <c r="AB72" s="18">
        <f t="shared" si="1"/>
        <v>3</v>
      </c>
      <c r="AC72" s="20">
        <f>(1+Y72/2)^(-(DATE(AA73,AB73,5)-TradeSum!$B$2)/182.625)</f>
        <v>0.77647523430367849</v>
      </c>
      <c r="AD72" s="24"/>
      <c r="AF72" s="196">
        <v>39142</v>
      </c>
      <c r="AG72">
        <v>4.6662843239854403E-2</v>
      </c>
      <c r="AI72" s="19">
        <f t="shared" si="2"/>
        <v>2007</v>
      </c>
      <c r="AJ72" s="18">
        <f t="shared" si="3"/>
        <v>3</v>
      </c>
      <c r="AK72" s="20">
        <f>(1+AG72/2)^(-(DATE(AI73,AJ73,5)-TradeSum!$B$2)/182.625)</f>
        <v>0.777974770387315</v>
      </c>
    </row>
    <row r="73" spans="24:37" x14ac:dyDescent="0.2">
      <c r="X73" s="196">
        <v>39173</v>
      </c>
      <c r="Y73">
        <v>4.7211054095873901E-2</v>
      </c>
      <c r="Z73" s="18"/>
      <c r="AA73" s="19">
        <f t="shared" ref="AA73:AA136" si="4">YEAR(X73)</f>
        <v>2007</v>
      </c>
      <c r="AB73" s="18">
        <f t="shared" ref="AB73:AB136" si="5">MONTH(X73)</f>
        <v>4</v>
      </c>
      <c r="AC73" s="20">
        <f>(1+Y73/2)^(-(DATE(AA74,AB74,5)-TradeSum!$B$2)/182.625)</f>
        <v>0.77274262894864909</v>
      </c>
      <c r="AD73" s="24"/>
      <c r="AF73" s="196">
        <v>39173</v>
      </c>
      <c r="AG73">
        <v>4.6854311875573103E-2</v>
      </c>
      <c r="AI73" s="19">
        <f t="shared" ref="AI73:AI136" si="6">YEAR(AF73)</f>
        <v>2007</v>
      </c>
      <c r="AJ73" s="18">
        <f t="shared" ref="AJ73:AJ136" si="7">MONTH(AF73)</f>
        <v>4</v>
      </c>
      <c r="AK73" s="20">
        <f>(1+AG73/2)^(-(DATE(AI74,AJ74,5)-TradeSum!$B$2)/182.625)</f>
        <v>0.77423214013431108</v>
      </c>
    </row>
    <row r="74" spans="24:37" x14ac:dyDescent="0.2">
      <c r="X74" s="196">
        <v>39203</v>
      </c>
      <c r="Y74">
        <v>4.73905068814751E-2</v>
      </c>
      <c r="Z74" s="18"/>
      <c r="AA74" s="19">
        <f t="shared" si="4"/>
        <v>2007</v>
      </c>
      <c r="AB74" s="18">
        <f t="shared" si="5"/>
        <v>5</v>
      </c>
      <c r="AC74" s="20">
        <f>(1+Y74/2)^(-(DATE(AA75,AB75,5)-TradeSum!$B$2)/182.625)</f>
        <v>0.76893173712808283</v>
      </c>
      <c r="AD74" s="24"/>
      <c r="AF74" s="196">
        <v>39203</v>
      </c>
      <c r="AG74">
        <v>4.7039604115360199E-2</v>
      </c>
      <c r="AI74" s="19">
        <f t="shared" si="6"/>
        <v>2007</v>
      </c>
      <c r="AJ74" s="18">
        <f t="shared" si="7"/>
        <v>5</v>
      </c>
      <c r="AK74" s="20">
        <f>(1+AG74/2)^(-(DATE(AI75,AJ75,5)-TradeSum!$B$2)/182.625)</f>
        <v>0.77041190341346999</v>
      </c>
    </row>
    <row r="75" spans="24:37" x14ac:dyDescent="0.2">
      <c r="X75" s="196">
        <v>39234</v>
      </c>
      <c r="Y75">
        <v>4.7575941437906402E-2</v>
      </c>
      <c r="Z75" s="18"/>
      <c r="AA75" s="19">
        <f t="shared" si="4"/>
        <v>2007</v>
      </c>
      <c r="AB75" s="18">
        <f t="shared" si="5"/>
        <v>6</v>
      </c>
      <c r="AC75" s="20">
        <f>(1+Y75/2)^(-(DATE(AA76,AB76,5)-TradeSum!$B$2)/182.625)</f>
        <v>0.76518997743071171</v>
      </c>
      <c r="AD75" s="24"/>
      <c r="AF75" s="196">
        <v>39234</v>
      </c>
      <c r="AG75">
        <v>4.7231072775200098E-2</v>
      </c>
      <c r="AI75" s="19">
        <f t="shared" si="6"/>
        <v>2007</v>
      </c>
      <c r="AJ75" s="18">
        <f t="shared" si="7"/>
        <v>6</v>
      </c>
      <c r="AK75" s="20">
        <f>(1+AG75/2)^(-(DATE(AI76,AJ76,5)-TradeSum!$B$2)/182.625)</f>
        <v>0.76665866791014758</v>
      </c>
    </row>
    <row r="76" spans="24:37" x14ac:dyDescent="0.2">
      <c r="X76" s="196">
        <v>39264</v>
      </c>
      <c r="Y76">
        <v>4.77553942453968E-2</v>
      </c>
      <c r="Z76" s="18"/>
      <c r="AA76" s="19">
        <f t="shared" si="4"/>
        <v>2007</v>
      </c>
      <c r="AB76" s="18">
        <f t="shared" si="5"/>
        <v>7</v>
      </c>
      <c r="AC76" s="20">
        <f>(1+Y76/2)^(-(DATE(AA77,AB77,5)-TradeSum!$B$2)/182.625)</f>
        <v>0.76137114405156536</v>
      </c>
      <c r="AD76" s="24"/>
      <c r="AF76" s="196">
        <v>39264</v>
      </c>
      <c r="AG76">
        <v>4.7416365038328599E-2</v>
      </c>
      <c r="AI76" s="19">
        <f t="shared" si="6"/>
        <v>2007</v>
      </c>
      <c r="AJ76" s="18">
        <f t="shared" si="7"/>
        <v>7</v>
      </c>
      <c r="AK76" s="20">
        <f>(1+AG76/2)^(-(DATE(AI77,AJ77,5)-TradeSum!$B$2)/182.625)</f>
        <v>0.76282904862850043</v>
      </c>
    </row>
    <row r="77" spans="24:37" x14ac:dyDescent="0.2">
      <c r="X77" s="196">
        <v>39295</v>
      </c>
      <c r="Y77">
        <v>4.7940828824445204E-2</v>
      </c>
      <c r="Z77" s="18"/>
      <c r="AA77" s="19">
        <f t="shared" si="4"/>
        <v>2007</v>
      </c>
      <c r="AB77" s="18">
        <f t="shared" si="5"/>
        <v>8</v>
      </c>
      <c r="AC77" s="20">
        <f>(1+Y77/2)^(-(DATE(AA78,AB78,5)-TradeSum!$B$2)/182.625)</f>
        <v>0.7575229580970283</v>
      </c>
      <c r="AD77" s="24"/>
      <c r="AF77" s="196">
        <v>39295</v>
      </c>
      <c r="AG77">
        <v>4.7607833722286004E-2</v>
      </c>
      <c r="AI77" s="19">
        <f t="shared" si="6"/>
        <v>2007</v>
      </c>
      <c r="AJ77" s="18">
        <f t="shared" si="7"/>
        <v>8</v>
      </c>
      <c r="AK77" s="20">
        <f>(1+AG77/2)^(-(DATE(AI78,AJ78,5)-TradeSum!$B$2)/182.625)</f>
        <v>0.75896847116825872</v>
      </c>
    </row>
    <row r="78" spans="24:37" x14ac:dyDescent="0.2">
      <c r="X78" s="196">
        <v>39326</v>
      </c>
      <c r="Y78">
        <v>4.8126263414986201E-2</v>
      </c>
      <c r="Z78" s="18"/>
      <c r="AA78" s="19">
        <f t="shared" si="4"/>
        <v>2007</v>
      </c>
      <c r="AB78" s="18">
        <f t="shared" si="5"/>
        <v>9</v>
      </c>
      <c r="AC78" s="20">
        <f>(1+Y78/2)^(-(DATE(AA79,AB79,5)-TradeSum!$B$2)/182.625)</f>
        <v>0.7537692621319102</v>
      </c>
      <c r="AD78" s="24"/>
      <c r="AF78" s="196">
        <v>39326</v>
      </c>
      <c r="AG78">
        <v>4.7799302418497704E-2</v>
      </c>
      <c r="AI78" s="19">
        <f t="shared" si="6"/>
        <v>2007</v>
      </c>
      <c r="AJ78" s="18">
        <f t="shared" si="7"/>
        <v>9</v>
      </c>
      <c r="AK78" s="20">
        <f>(1+AG78/2)^(-(DATE(AI79,AJ79,5)-TradeSum!$B$2)/182.625)</f>
        <v>0.75520119974249211</v>
      </c>
    </row>
    <row r="79" spans="24:37" x14ac:dyDescent="0.2">
      <c r="X79" s="196">
        <v>39356</v>
      </c>
      <c r="Y79">
        <v>4.8305716255483404E-2</v>
      </c>
      <c r="Z79" s="18"/>
      <c r="AA79" s="19">
        <f t="shared" si="4"/>
        <v>2007</v>
      </c>
      <c r="AB79" s="18">
        <f t="shared" si="5"/>
        <v>10</v>
      </c>
      <c r="AC79" s="20">
        <f>(1+Y79/2)^(-(DATE(AA80,AB80,5)-TradeSum!$B$2)/182.625)</f>
        <v>0.74994031743297151</v>
      </c>
      <c r="AD79" s="24"/>
      <c r="AF79" s="196">
        <v>39356</v>
      </c>
      <c r="AG79">
        <v>4.7984594716821601E-2</v>
      </c>
      <c r="AI79" s="19">
        <f t="shared" si="6"/>
        <v>2007</v>
      </c>
      <c r="AJ79" s="18">
        <f t="shared" si="7"/>
        <v>10</v>
      </c>
      <c r="AK79" s="20">
        <f>(1+AG79/2)^(-(DATE(AI80,AJ80,5)-TradeSum!$B$2)/182.625)</f>
        <v>0.75135938496499521</v>
      </c>
    </row>
    <row r="80" spans="24:37" x14ac:dyDescent="0.2">
      <c r="X80" s="196">
        <v>39387</v>
      </c>
      <c r="Y80">
        <v>4.8491150868635202E-2</v>
      </c>
      <c r="Z80" s="18"/>
      <c r="AA80" s="19">
        <f t="shared" si="4"/>
        <v>2007</v>
      </c>
      <c r="AB80" s="18">
        <f t="shared" si="5"/>
        <v>11</v>
      </c>
      <c r="AC80" s="20">
        <f>(1+Y80/2)^(-(DATE(AA81,AB81,5)-TradeSum!$B$2)/182.625)</f>
        <v>0.74617993646196279</v>
      </c>
      <c r="AD80" s="24"/>
      <c r="AF80" s="196">
        <v>39387</v>
      </c>
      <c r="AG80">
        <v>4.8176063437144201E-2</v>
      </c>
      <c r="AI80" s="19">
        <f t="shared" si="6"/>
        <v>2007</v>
      </c>
      <c r="AJ80" s="18">
        <f t="shared" si="7"/>
        <v>11</v>
      </c>
      <c r="AK80" s="20">
        <f>(1+AG80/2)^(-(DATE(AI81,AJ81,5)-TradeSum!$B$2)/182.625)</f>
        <v>0.74758409526132508</v>
      </c>
    </row>
    <row r="81" spans="24:37" x14ac:dyDescent="0.2">
      <c r="X81" s="196">
        <v>39417</v>
      </c>
      <c r="Y81">
        <v>4.8670603731012299E-2</v>
      </c>
      <c r="Z81" s="18"/>
      <c r="AA81" s="19">
        <f t="shared" si="4"/>
        <v>2007</v>
      </c>
      <c r="AB81" s="18">
        <f t="shared" si="5"/>
        <v>12</v>
      </c>
      <c r="AC81" s="20">
        <f>(1+Y81/2)^(-(DATE(AA82,AB82,5)-TradeSum!$B$2)/182.625)</f>
        <v>0.74234551345617128</v>
      </c>
      <c r="AD81" s="24"/>
      <c r="AF81" s="196">
        <v>39417</v>
      </c>
      <c r="AG81">
        <v>4.8361355758798304E-2</v>
      </c>
      <c r="AI81" s="19">
        <f t="shared" si="6"/>
        <v>2007</v>
      </c>
      <c r="AJ81" s="18">
        <f t="shared" si="7"/>
        <v>12</v>
      </c>
      <c r="AK81" s="20">
        <f>(1+AG81/2)^(-(DATE(AI82,AJ82,5)-TradeSum!$B$2)/182.625)</f>
        <v>0.74373547948976915</v>
      </c>
    </row>
    <row r="82" spans="24:37" x14ac:dyDescent="0.2">
      <c r="X82" s="196">
        <v>39448</v>
      </c>
      <c r="Y82">
        <v>4.8856038366771298E-2</v>
      </c>
      <c r="Z82" s="18"/>
      <c r="AA82" s="19">
        <f t="shared" si="4"/>
        <v>2008</v>
      </c>
      <c r="AB82" s="18">
        <f t="shared" si="5"/>
        <v>1</v>
      </c>
      <c r="AC82" s="20">
        <f>(1+Y82/2)^(-(DATE(AA83,AB83,5)-TradeSum!$B$2)/182.625)</f>
        <v>0.73848181955390158</v>
      </c>
      <c r="AD82" s="24"/>
      <c r="AF82" s="196">
        <v>39448</v>
      </c>
      <c r="AG82">
        <v>4.8552824503227406E-2</v>
      </c>
      <c r="AI82" s="19">
        <f t="shared" si="6"/>
        <v>2008</v>
      </c>
      <c r="AJ82" s="18">
        <f t="shared" si="7"/>
        <v>1</v>
      </c>
      <c r="AK82" s="20">
        <f>(1+AG82/2)^(-(DATE(AI83,AJ83,5)-TradeSum!$B$2)/182.625)</f>
        <v>0.73985600866200218</v>
      </c>
    </row>
    <row r="83" spans="24:37" x14ac:dyDescent="0.2">
      <c r="X83" s="196">
        <v>39479</v>
      </c>
      <c r="Y83">
        <v>4.9041473014018101E-2</v>
      </c>
      <c r="Z83" s="18"/>
      <c r="AA83" s="19">
        <f t="shared" si="4"/>
        <v>2008</v>
      </c>
      <c r="AB83" s="18">
        <f t="shared" si="5"/>
        <v>2</v>
      </c>
      <c r="AC83" s="20">
        <f>(1+Y83/2)^(-(DATE(AA84,AB84,5)-TradeSum!$B$2)/182.625)</f>
        <v>0.73481065537791979</v>
      </c>
      <c r="AD83" s="24"/>
      <c r="AF83" s="196">
        <v>39479</v>
      </c>
      <c r="AG83">
        <v>4.8744293259904502E-2</v>
      </c>
      <c r="AI83" s="19">
        <f t="shared" si="6"/>
        <v>2008</v>
      </c>
      <c r="AJ83" s="18">
        <f t="shared" si="7"/>
        <v>2</v>
      </c>
      <c r="AK83" s="20">
        <f>(1+AG83/2)^(-(DATE(AI84,AJ84,5)-TradeSum!$B$2)/182.625)</f>
        <v>0.73616760924634772</v>
      </c>
    </row>
    <row r="84" spans="24:37" x14ac:dyDescent="0.2">
      <c r="X84" s="196">
        <v>39508</v>
      </c>
      <c r="Y84">
        <v>4.9214944146034799E-2</v>
      </c>
      <c r="Z84" s="18"/>
      <c r="AA84" s="19">
        <f t="shared" si="4"/>
        <v>2008</v>
      </c>
      <c r="AB84" s="18">
        <f t="shared" si="5"/>
        <v>3</v>
      </c>
      <c r="AC84" s="20">
        <f>(1+Y84/2)^(-(DATE(AA85,AB85,5)-TradeSum!$B$2)/182.625)</f>
        <v>0.73099714304344998</v>
      </c>
      <c r="AD84" s="24"/>
      <c r="AF84" s="196">
        <v>39508</v>
      </c>
      <c r="AG84">
        <v>4.8923409204658395E-2</v>
      </c>
      <c r="AI84" s="19">
        <f t="shared" si="6"/>
        <v>2008</v>
      </c>
      <c r="AJ84" s="18">
        <f t="shared" si="7"/>
        <v>3</v>
      </c>
      <c r="AK84" s="20">
        <f>(1+AG84/2)^(-(DATE(AI85,AJ85,5)-TradeSum!$B$2)/182.625)</f>
        <v>0.73233896283891031</v>
      </c>
    </row>
    <row r="85" spans="24:37" x14ac:dyDescent="0.2">
      <c r="X85" s="196">
        <v>39539</v>
      </c>
      <c r="Y85">
        <v>4.9400378815512201E-2</v>
      </c>
      <c r="Z85" s="18"/>
      <c r="AA85" s="19">
        <f t="shared" si="4"/>
        <v>2008</v>
      </c>
      <c r="AB85" s="18">
        <f t="shared" si="5"/>
        <v>4</v>
      </c>
      <c r="AC85" s="20">
        <f>(1+Y85/2)^(-(DATE(AA86,AB86,5)-TradeSum!$B$2)/182.625)</f>
        <v>0.7272243109173584</v>
      </c>
      <c r="AD85" s="24"/>
      <c r="AF85" s="196">
        <v>39539</v>
      </c>
      <c r="AG85">
        <v>4.9114877985040599E-2</v>
      </c>
      <c r="AI85" s="19">
        <f t="shared" si="6"/>
        <v>2008</v>
      </c>
      <c r="AJ85" s="18">
        <f t="shared" si="7"/>
        <v>4</v>
      </c>
      <c r="AK85" s="20">
        <f>(1+AG85/2)^(-(DATE(AI86,AJ86,5)-TradeSum!$B$2)/182.625)</f>
        <v>0.72854810430901051</v>
      </c>
    </row>
    <row r="86" spans="24:37" x14ac:dyDescent="0.2">
      <c r="X86" s="196">
        <v>39569</v>
      </c>
      <c r="Y86">
        <v>4.9579831732392297E-2</v>
      </c>
      <c r="Z86" s="18"/>
      <c r="AA86" s="19">
        <f t="shared" si="4"/>
        <v>2008</v>
      </c>
      <c r="AB86" s="18">
        <f t="shared" si="5"/>
        <v>5</v>
      </c>
      <c r="AC86" s="20">
        <f>(1+Y86/2)^(-(DATE(AA87,AB87,5)-TradeSum!$B$2)/182.625)</f>
        <v>0.72338042940421998</v>
      </c>
      <c r="AD86" s="24"/>
      <c r="AF86" s="196">
        <v>39569</v>
      </c>
      <c r="AG86">
        <v>4.9300170364811303E-2</v>
      </c>
      <c r="AI86" s="19">
        <f t="shared" si="6"/>
        <v>2008</v>
      </c>
      <c r="AJ86" s="18">
        <f t="shared" si="7"/>
        <v>5</v>
      </c>
      <c r="AK86" s="20">
        <f>(1+AG86/2)^(-(DATE(AI87,AJ87,5)-TradeSum!$B$2)/182.625)</f>
        <v>0.72468693967770559</v>
      </c>
    </row>
    <row r="87" spans="24:37" x14ac:dyDescent="0.2">
      <c r="X87" s="196">
        <v>39600</v>
      </c>
      <c r="Y87">
        <v>4.9765266424466797E-2</v>
      </c>
      <c r="Z87" s="18"/>
      <c r="AA87" s="19">
        <f t="shared" si="4"/>
        <v>2008</v>
      </c>
      <c r="AB87" s="18">
        <f t="shared" si="5"/>
        <v>6</v>
      </c>
      <c r="AC87" s="20">
        <f>(1+Y87/2)^(-(DATE(AA88,AB88,5)-TradeSum!$B$2)/182.625)</f>
        <v>0.71960426631575014</v>
      </c>
      <c r="AD87" s="24"/>
      <c r="AF87" s="196">
        <v>39600</v>
      </c>
      <c r="AG87">
        <v>4.9491639169288303E-2</v>
      </c>
      <c r="AI87" s="19">
        <f t="shared" si="6"/>
        <v>2008</v>
      </c>
      <c r="AJ87" s="18">
        <f t="shared" si="7"/>
        <v>6</v>
      </c>
      <c r="AK87" s="20">
        <f>(1+AG87/2)^(-(DATE(AI88,AJ88,5)-TradeSum!$B$2)/182.625)</f>
        <v>0.72089158107105944</v>
      </c>
    </row>
    <row r="88" spans="24:37" x14ac:dyDescent="0.2">
      <c r="X88" s="196">
        <v>39630</v>
      </c>
      <c r="Y88">
        <v>4.9944719363213402E-2</v>
      </c>
      <c r="Z88" s="18"/>
      <c r="AA88" s="19">
        <f t="shared" si="4"/>
        <v>2008</v>
      </c>
      <c r="AB88" s="18">
        <f t="shared" si="5"/>
        <v>7</v>
      </c>
      <c r="AC88" s="20">
        <f>(1+Y88/2)^(-(DATE(AA89,AB89,5)-TradeSum!$B$2)/182.625)</f>
        <v>0.71575824818928691</v>
      </c>
      <c r="AD88" s="24"/>
      <c r="AF88" s="196">
        <v>39630</v>
      </c>
      <c r="AG88">
        <v>4.9676931572375099E-2</v>
      </c>
      <c r="AI88" s="19">
        <f t="shared" si="6"/>
        <v>2008</v>
      </c>
      <c r="AJ88" s="18">
        <f t="shared" si="7"/>
        <v>7</v>
      </c>
      <c r="AK88" s="20">
        <f>(1+AG88/2)^(-(DATE(AI89,AJ89,5)-TradeSum!$B$2)/182.625)</f>
        <v>0.7170271219928841</v>
      </c>
    </row>
    <row r="89" spans="24:37" x14ac:dyDescent="0.2">
      <c r="X89" s="196">
        <v>39661</v>
      </c>
      <c r="Y89">
        <v>5.0130154077880899E-2</v>
      </c>
      <c r="Z89" s="18"/>
      <c r="AA89" s="19">
        <f t="shared" si="4"/>
        <v>2008</v>
      </c>
      <c r="AB89" s="18">
        <f t="shared" si="5"/>
        <v>8</v>
      </c>
      <c r="AC89" s="20">
        <f>(1+Y89/2)^(-(DATE(AA90,AB90,5)-TradeSum!$B$2)/182.625)</f>
        <v>0.71188318749762858</v>
      </c>
      <c r="AD89" s="24"/>
      <c r="AF89" s="196">
        <v>39661</v>
      </c>
      <c r="AG89">
        <v>4.9868400400942203E-2</v>
      </c>
      <c r="AI89" s="19">
        <f t="shared" si="6"/>
        <v>2008</v>
      </c>
      <c r="AJ89" s="18">
        <f t="shared" si="7"/>
        <v>8</v>
      </c>
      <c r="AK89" s="20">
        <f>(1+AG89/2)^(-(DATE(AI90,AJ90,5)-TradeSum!$B$2)/182.625)</f>
        <v>0.71313207292218828</v>
      </c>
    </row>
    <row r="90" spans="24:37" x14ac:dyDescent="0.2">
      <c r="X90" s="196">
        <v>39692</v>
      </c>
      <c r="Y90">
        <v>5.0315588804028998E-2</v>
      </c>
      <c r="Z90" s="18"/>
      <c r="AA90" s="19">
        <f t="shared" si="4"/>
        <v>2008</v>
      </c>
      <c r="AB90" s="18">
        <f t="shared" si="5"/>
        <v>9</v>
      </c>
      <c r="AC90" s="20">
        <f>(1+Y90/2)^(-(DATE(AA91,AB91,5)-TradeSum!$B$2)/182.625)</f>
        <v>0.70810377682544201</v>
      </c>
      <c r="AD90" s="24"/>
      <c r="AF90" s="196">
        <v>39692</v>
      </c>
      <c r="AG90">
        <v>5.0059869241751098E-2</v>
      </c>
      <c r="AI90" s="19">
        <f t="shared" si="6"/>
        <v>2008</v>
      </c>
      <c r="AJ90" s="18">
        <f t="shared" si="7"/>
        <v>9</v>
      </c>
      <c r="AK90" s="20">
        <f>(1+AG90/2)^(-(DATE(AI91,AJ91,5)-TradeSum!$B$2)/182.625)</f>
        <v>0.70933179214243081</v>
      </c>
    </row>
    <row r="91" spans="24:37" x14ac:dyDescent="0.2">
      <c r="X91" s="196">
        <v>39722</v>
      </c>
      <c r="Y91">
        <v>5.0495041775747498E-2</v>
      </c>
      <c r="Z91" s="18"/>
      <c r="AA91" s="19">
        <f t="shared" si="4"/>
        <v>2008</v>
      </c>
      <c r="AB91" s="18">
        <f t="shared" si="5"/>
        <v>10</v>
      </c>
      <c r="AC91" s="20">
        <f>(1+Y91/2)^(-(DATE(AA92,AB92,5)-TradeSum!$B$2)/182.625)</f>
        <v>0.70425630411657181</v>
      </c>
      <c r="AD91" s="24"/>
      <c r="AF91" s="196">
        <v>39722</v>
      </c>
      <c r="AG91">
        <v>5.0245161679994203E-2</v>
      </c>
      <c r="AI91" s="19">
        <f t="shared" si="6"/>
        <v>2008</v>
      </c>
      <c r="AJ91" s="18">
        <f t="shared" si="7"/>
        <v>10</v>
      </c>
      <c r="AK91" s="20">
        <f>(1+AG91/2)^(-(DATE(AI92,AJ92,5)-TradeSum!$B$2)/182.625)</f>
        <v>0.70546422117749141</v>
      </c>
    </row>
    <row r="92" spans="24:37" x14ac:dyDescent="0.2">
      <c r="X92" s="196">
        <v>39753</v>
      </c>
      <c r="Y92">
        <v>5.0680476524482397E-2</v>
      </c>
      <c r="Z92" s="18"/>
      <c r="AA92" s="19">
        <f t="shared" si="4"/>
        <v>2008</v>
      </c>
      <c r="AB92" s="18">
        <f t="shared" si="5"/>
        <v>11</v>
      </c>
      <c r="AC92" s="20">
        <f>(1+Y92/2)^(-(DATE(AA93,AB93,5)-TradeSum!$B$2)/182.625)</f>
        <v>0.70047590376789082</v>
      </c>
      <c r="AD92" s="24"/>
      <c r="AF92" s="196">
        <v>39753</v>
      </c>
      <c r="AG92">
        <v>5.04232352176439E-2</v>
      </c>
      <c r="AI92" s="19">
        <f t="shared" si="6"/>
        <v>2008</v>
      </c>
      <c r="AJ92" s="18">
        <f t="shared" si="7"/>
        <v>11</v>
      </c>
      <c r="AK92" s="20">
        <f>(1+AG92/2)^(-(DATE(AI93,AJ93,5)-TradeSum!$B$2)/182.625)</f>
        <v>0.70172711217841266</v>
      </c>
    </row>
    <row r="93" spans="24:37" x14ac:dyDescent="0.2">
      <c r="X93" s="196">
        <v>39783</v>
      </c>
      <c r="Y93">
        <v>5.08599295180567E-2</v>
      </c>
      <c r="Z93" s="18"/>
      <c r="AA93" s="19">
        <f t="shared" si="4"/>
        <v>2008</v>
      </c>
      <c r="AB93" s="18">
        <f t="shared" si="5"/>
        <v>12</v>
      </c>
      <c r="AC93" s="20">
        <f>(1+Y93/2)^(-(DATE(AA94,AB94,5)-TradeSum!$B$2)/182.625)</f>
        <v>0.69662862420702909</v>
      </c>
      <c r="AD93" s="24"/>
      <c r="AF93" s="196">
        <v>39783</v>
      </c>
      <c r="AG93">
        <v>5.05281557111932E-2</v>
      </c>
      <c r="AI93" s="19">
        <f t="shared" si="6"/>
        <v>2008</v>
      </c>
      <c r="AJ93" s="18">
        <f t="shared" si="7"/>
        <v>12</v>
      </c>
      <c r="AK93" s="20">
        <f>(1+AG93/2)^(-(DATE(AI94,AJ94,5)-TradeSum!$B$2)/182.625)</f>
        <v>0.69825297092911909</v>
      </c>
    </row>
    <row r="94" spans="24:37" x14ac:dyDescent="0.2">
      <c r="X94" s="196">
        <v>39814</v>
      </c>
      <c r="Y94">
        <v>5.1045364289374395E-2</v>
      </c>
      <c r="Z94" s="18"/>
      <c r="AA94" s="19">
        <f t="shared" si="4"/>
        <v>2009</v>
      </c>
      <c r="AB94" s="18">
        <f t="shared" si="5"/>
        <v>1</v>
      </c>
      <c r="AC94" s="20">
        <f>(1+Y94/2)^(-(DATE(AA95,AB95,5)-TradeSum!$B$2)/182.625)</f>
        <v>0.69275254329760849</v>
      </c>
      <c r="AD94" s="24"/>
      <c r="AF94" s="196">
        <v>39814</v>
      </c>
      <c r="AG94">
        <v>5.0636573558387798E-2</v>
      </c>
      <c r="AI94" s="19">
        <f t="shared" si="6"/>
        <v>2009</v>
      </c>
      <c r="AJ94" s="18">
        <f t="shared" si="7"/>
        <v>1</v>
      </c>
      <c r="AK94" s="20">
        <f>(1+AG94/2)^(-(DATE(AI95,AJ95,5)-TradeSum!$B$2)/182.625)</f>
        <v>0.6947667275091165</v>
      </c>
    </row>
    <row r="95" spans="24:37" x14ac:dyDescent="0.2">
      <c r="X95" s="196">
        <v>39845</v>
      </c>
      <c r="Y95">
        <v>5.1230799072167897E-2</v>
      </c>
      <c r="Z95" s="18"/>
      <c r="AA95" s="19">
        <f t="shared" si="4"/>
        <v>2009</v>
      </c>
      <c r="AB95" s="18">
        <f t="shared" si="5"/>
        <v>2</v>
      </c>
      <c r="AC95" s="20">
        <f>(1+Y95/2)^(-(DATE(AA96,AB96,5)-TradeSum!$B$2)/182.625)</f>
        <v>0.68916324613675295</v>
      </c>
      <c r="AD95" s="24"/>
      <c r="AF95" s="196">
        <v>39845</v>
      </c>
      <c r="AG95">
        <v>5.0744991409505905E-2</v>
      </c>
      <c r="AI95" s="19">
        <f t="shared" si="6"/>
        <v>2009</v>
      </c>
      <c r="AJ95" s="18">
        <f t="shared" si="7"/>
        <v>2</v>
      </c>
      <c r="AK95" s="20">
        <f>(1+AG95/2)^(-(DATE(AI96,AJ96,5)-TradeSum!$B$2)/182.625)</f>
        <v>0.69157009976106687</v>
      </c>
    </row>
    <row r="96" spans="24:37" x14ac:dyDescent="0.2">
      <c r="X96" s="196">
        <v>39873</v>
      </c>
      <c r="Y96">
        <v>5.1398288563262007E-2</v>
      </c>
      <c r="Z96" s="18"/>
      <c r="AA96" s="19">
        <f t="shared" si="4"/>
        <v>2009</v>
      </c>
      <c r="AB96" s="18">
        <f t="shared" si="5"/>
        <v>3</v>
      </c>
      <c r="AC96" s="20">
        <f>(1+Y96/2)^(-(DATE(AA97,AB97,5)-TradeSum!$B$2)/182.625)</f>
        <v>0.68537707588503749</v>
      </c>
      <c r="AD96" s="24"/>
      <c r="AF96" s="196">
        <v>39873</v>
      </c>
      <c r="AG96">
        <v>5.0842917213887298E-2</v>
      </c>
      <c r="AI96" s="19">
        <f t="shared" si="6"/>
        <v>2009</v>
      </c>
      <c r="AJ96" s="18">
        <f t="shared" si="7"/>
        <v>3</v>
      </c>
      <c r="AK96" s="20">
        <f>(1+AG96/2)^(-(DATE(AI97,AJ97,5)-TradeSum!$B$2)/182.625)</f>
        <v>0.6881455884701001</v>
      </c>
    </row>
    <row r="97" spans="24:37" x14ac:dyDescent="0.2">
      <c r="X97" s="196">
        <v>39904</v>
      </c>
      <c r="Y97">
        <v>5.1583723367892201E-2</v>
      </c>
      <c r="Z97" s="18"/>
      <c r="AA97" s="19">
        <f t="shared" si="4"/>
        <v>2009</v>
      </c>
      <c r="AB97" s="18">
        <f t="shared" si="5"/>
        <v>4</v>
      </c>
      <c r="AC97" s="20">
        <f>(1+Y97/2)^(-(DATE(AA98,AB98,5)-TradeSum!$B$2)/182.625)</f>
        <v>0.68159814478865921</v>
      </c>
      <c r="AD97" s="24"/>
      <c r="AF97" s="196">
        <v>39904</v>
      </c>
      <c r="AG97">
        <v>5.0951335072472001E-2</v>
      </c>
      <c r="AI97" s="19">
        <f t="shared" si="6"/>
        <v>2009</v>
      </c>
      <c r="AJ97" s="18">
        <f t="shared" si="7"/>
        <v>4</v>
      </c>
      <c r="AK97" s="20">
        <f>(1+AG97/2)^(-(DATE(AI98,AJ98,5)-TradeSum!$B$2)/182.625)</f>
        <v>0.68476853354713207</v>
      </c>
    </row>
    <row r="98" spans="24:37" x14ac:dyDescent="0.2">
      <c r="X98" s="196">
        <v>39934</v>
      </c>
      <c r="Y98">
        <v>5.1763176415554404E-2</v>
      </c>
      <c r="Z98" s="18"/>
      <c r="AA98" s="19">
        <f t="shared" si="4"/>
        <v>2009</v>
      </c>
      <c r="AB98" s="18">
        <f t="shared" si="5"/>
        <v>5</v>
      </c>
      <c r="AC98" s="20">
        <f>(1+Y98/2)^(-(DATE(AA99,AB99,5)-TradeSum!$B$2)/182.625)</f>
        <v>0.67775523945564209</v>
      </c>
      <c r="AD98" s="24"/>
      <c r="AF98" s="196">
        <v>39934</v>
      </c>
      <c r="AG98">
        <v>5.1056255584514904E-2</v>
      </c>
      <c r="AI98" s="19">
        <f t="shared" si="6"/>
        <v>2009</v>
      </c>
      <c r="AJ98" s="18">
        <f t="shared" si="7"/>
        <v>5</v>
      </c>
      <c r="AK98" s="20">
        <f>(1+AG98/2)^(-(DATE(AI99,AJ99,5)-TradeSum!$B$2)/182.625)</f>
        <v>0.68131987728758214</v>
      </c>
    </row>
    <row r="99" spans="24:37" x14ac:dyDescent="0.2">
      <c r="X99" s="196">
        <v>39965</v>
      </c>
      <c r="Y99">
        <v>5.1948611242757202E-2</v>
      </c>
      <c r="Z99" s="18"/>
      <c r="AA99" s="19">
        <f t="shared" si="4"/>
        <v>2009</v>
      </c>
      <c r="AB99" s="18">
        <f t="shared" si="5"/>
        <v>6</v>
      </c>
      <c r="AC99" s="20">
        <f>(1+Y99/2)^(-(DATE(AA100,AB100,5)-TradeSum!$B$2)/182.625)</f>
        <v>0.67397845773656107</v>
      </c>
      <c r="AD99" s="24"/>
      <c r="AF99" s="196">
        <v>39965</v>
      </c>
      <c r="AG99">
        <v>5.1164673450817801E-2</v>
      </c>
      <c r="AI99" s="19">
        <f t="shared" si="6"/>
        <v>2009</v>
      </c>
      <c r="AJ99" s="18">
        <f t="shared" si="7"/>
        <v>6</v>
      </c>
      <c r="AK99" s="20">
        <f>(1+AG99/2)^(-(DATE(AI100,AJ100,5)-TradeSum!$B$2)/182.625)</f>
        <v>0.67795282095455944</v>
      </c>
    </row>
    <row r="100" spans="24:37" x14ac:dyDescent="0.2">
      <c r="X100" s="196">
        <v>39995</v>
      </c>
      <c r="Y100">
        <v>5.2128064312261906E-2</v>
      </c>
      <c r="Z100" s="18"/>
      <c r="AA100" s="19">
        <f t="shared" si="4"/>
        <v>2009</v>
      </c>
      <c r="AB100" s="18">
        <f t="shared" si="5"/>
        <v>7</v>
      </c>
      <c r="AC100" s="20">
        <f>(1+Y100/2)^(-(DATE(AA101,AB101,5)-TradeSum!$B$2)/182.625)</f>
        <v>0.67013886518815824</v>
      </c>
      <c r="AD100" s="24"/>
      <c r="AF100" s="196">
        <v>39995</v>
      </c>
      <c r="AG100">
        <v>5.1269593970330304E-2</v>
      </c>
      <c r="AI100" s="19">
        <f t="shared" si="6"/>
        <v>2009</v>
      </c>
      <c r="AJ100" s="18">
        <f t="shared" si="7"/>
        <v>7</v>
      </c>
      <c r="AK100" s="20">
        <f>(1+AG100/2)^(-(DATE(AI101,AJ101,5)-TradeSum!$B$2)/182.625)</f>
        <v>0.67451511099680994</v>
      </c>
    </row>
    <row r="101" spans="24:37" x14ac:dyDescent="0.2">
      <c r="X101" s="196">
        <v>40026</v>
      </c>
      <c r="Y101">
        <v>5.2313499162034205E-2</v>
      </c>
      <c r="Z101" s="18"/>
      <c r="AA101" s="19">
        <f t="shared" si="4"/>
        <v>2009</v>
      </c>
      <c r="AB101" s="18">
        <f t="shared" si="5"/>
        <v>8</v>
      </c>
      <c r="AC101" s="20">
        <f>(1+Y101/2)^(-(DATE(AA102,AB102,5)-TradeSum!$B$2)/182.625)</f>
        <v>0.66627090415874302</v>
      </c>
      <c r="AD101" s="24"/>
      <c r="AF101" s="196">
        <v>40026</v>
      </c>
      <c r="AG101">
        <v>5.1378011844351403E-2</v>
      </c>
      <c r="AI101" s="19">
        <f t="shared" si="6"/>
        <v>2009</v>
      </c>
      <c r="AJ101" s="18">
        <f t="shared" si="7"/>
        <v>8</v>
      </c>
      <c r="AK101" s="20">
        <f>(1+AG101/2)^(-(DATE(AI102,AJ102,5)-TradeSum!$B$2)/182.625)</f>
        <v>0.67106521431262189</v>
      </c>
    </row>
    <row r="102" spans="24:37" x14ac:dyDescent="0.2">
      <c r="X102" s="196">
        <v>40057</v>
      </c>
      <c r="Y102">
        <v>5.2498934023274699E-2</v>
      </c>
      <c r="Z102" s="18"/>
      <c r="AA102" s="19">
        <f t="shared" si="4"/>
        <v>2009</v>
      </c>
      <c r="AB102" s="18">
        <f t="shared" si="5"/>
        <v>9</v>
      </c>
      <c r="AC102" s="20">
        <f>(1+Y102/2)^(-(DATE(AA103,AB103,5)-TradeSum!$B$2)/182.625)</f>
        <v>0.66249902298570518</v>
      </c>
      <c r="AD102" s="24"/>
      <c r="AF102" s="196">
        <v>40057</v>
      </c>
      <c r="AG102">
        <v>5.1486429722294801E-2</v>
      </c>
      <c r="AI102" s="19">
        <f t="shared" si="6"/>
        <v>2009</v>
      </c>
      <c r="AJ102" s="18">
        <f t="shared" si="7"/>
        <v>9</v>
      </c>
      <c r="AK102" s="20">
        <f>(1+AG102/2)^(-(DATE(AI103,AJ103,5)-TradeSum!$B$2)/182.625)</f>
        <v>0.66771393771431842</v>
      </c>
    </row>
    <row r="103" spans="24:37" x14ac:dyDescent="0.2">
      <c r="X103" s="196">
        <v>40087</v>
      </c>
      <c r="Y103">
        <v>5.2678387125715702E-2</v>
      </c>
      <c r="Z103" s="18"/>
      <c r="AA103" s="19">
        <f t="shared" si="4"/>
        <v>2009</v>
      </c>
      <c r="AB103" s="18">
        <f t="shared" si="5"/>
        <v>10</v>
      </c>
      <c r="AC103" s="20">
        <f>(1+Y103/2)^(-(DATE(AA104,AB104,5)-TradeSum!$B$2)/182.625)</f>
        <v>0.65866607363062224</v>
      </c>
      <c r="AD103" s="24"/>
      <c r="AF103" s="196">
        <v>40087</v>
      </c>
      <c r="AG103">
        <v>5.1591350253070704E-2</v>
      </c>
      <c r="AI103" s="19">
        <f t="shared" si="6"/>
        <v>2009</v>
      </c>
      <c r="AJ103" s="18">
        <f t="shared" si="7"/>
        <v>10</v>
      </c>
      <c r="AK103" s="20">
        <f>(1+AG103/2)^(-(DATE(AI104,AJ104,5)-TradeSum!$B$2)/182.625)</f>
        <v>0.6642934265736008</v>
      </c>
    </row>
    <row r="104" spans="24:37" x14ac:dyDescent="0.2">
      <c r="X104" s="196">
        <v>40118</v>
      </c>
      <c r="Y104">
        <v>5.2863822009519001E-2</v>
      </c>
      <c r="Z104" s="18"/>
      <c r="AA104" s="19">
        <f t="shared" si="4"/>
        <v>2009</v>
      </c>
      <c r="AB104" s="18">
        <f t="shared" si="5"/>
        <v>11</v>
      </c>
      <c r="AC104" s="20">
        <f>(1+Y104/2)^(-(DATE(AA105,AB105,5)-TradeSum!$B$2)/182.625)</f>
        <v>0.65489852484146061</v>
      </c>
      <c r="AD104" s="24"/>
      <c r="AF104" s="196">
        <v>40118</v>
      </c>
      <c r="AG104">
        <v>5.1699768138731006E-2</v>
      </c>
      <c r="AI104" s="19">
        <f t="shared" si="6"/>
        <v>2009</v>
      </c>
      <c r="AJ104" s="18">
        <f t="shared" si="7"/>
        <v>11</v>
      </c>
      <c r="AK104" s="20">
        <f>(1+AG104/2)^(-(DATE(AI105,AJ105,5)-TradeSum!$B$2)/182.625)</f>
        <v>0.6609530678798945</v>
      </c>
    </row>
    <row r="105" spans="24:37" x14ac:dyDescent="0.2">
      <c r="X105" s="196">
        <v>40148</v>
      </c>
      <c r="Y105">
        <v>5.3043275133793304E-2</v>
      </c>
      <c r="Z105" s="18"/>
      <c r="AA105" s="19">
        <f t="shared" si="4"/>
        <v>2009</v>
      </c>
      <c r="AB105" s="18">
        <f t="shared" si="5"/>
        <v>12</v>
      </c>
      <c r="AC105" s="20">
        <f>(1+Y105/2)^(-(DATE(AA106,AB106,5)-TradeSum!$B$2)/182.625)</f>
        <v>0.65107105492400519</v>
      </c>
      <c r="AD105" s="24"/>
      <c r="AF105" s="196">
        <v>40148</v>
      </c>
      <c r="AG105">
        <v>5.18046886769747E-2</v>
      </c>
      <c r="AI105" s="19">
        <f t="shared" si="6"/>
        <v>2009</v>
      </c>
      <c r="AJ105" s="18">
        <f t="shared" si="7"/>
        <v>12</v>
      </c>
      <c r="AK105" s="20">
        <f>(1+AG105/2)^(-(DATE(AI106,AJ106,5)-TradeSum!$B$2)/182.625)</f>
        <v>0.65754440861175778</v>
      </c>
    </row>
    <row r="106" spans="24:37" x14ac:dyDescent="0.2">
      <c r="X106" s="196">
        <v>40179</v>
      </c>
      <c r="Y106">
        <v>5.3228710040155801E-2</v>
      </c>
      <c r="Z106" s="18"/>
      <c r="AA106" s="19">
        <f t="shared" si="4"/>
        <v>2010</v>
      </c>
      <c r="AB106" s="18">
        <f t="shared" si="5"/>
        <v>1</v>
      </c>
      <c r="AC106" s="20">
        <f>(1+Y106/2)^(-(DATE(AA107,AB107,5)-TradeSum!$B$2)/182.625)</f>
        <v>0.64721559483564195</v>
      </c>
      <c r="AD106" s="24"/>
      <c r="AF106" s="196">
        <v>40179</v>
      </c>
      <c r="AG106">
        <v>5.1913106570350601E-2</v>
      </c>
      <c r="AI106" s="19">
        <f t="shared" si="6"/>
        <v>2010</v>
      </c>
      <c r="AJ106" s="18">
        <f t="shared" si="7"/>
        <v>1</v>
      </c>
      <c r="AK106" s="20">
        <f>(1+AG106/2)^(-(DATE(AI107,AJ107,5)-TradeSum!$B$2)/182.625)</f>
        <v>0.65412353264283984</v>
      </c>
    </row>
    <row r="107" spans="24:37" x14ac:dyDescent="0.2">
      <c r="X107" s="196">
        <v>40210</v>
      </c>
      <c r="Y107">
        <v>5.3414144957981198E-2</v>
      </c>
      <c r="Z107" s="18"/>
      <c r="AA107" s="19">
        <f t="shared" si="4"/>
        <v>2010</v>
      </c>
      <c r="AB107" s="18">
        <f t="shared" si="5"/>
        <v>2</v>
      </c>
      <c r="AC107" s="20">
        <f>(1+Y107/2)^(-(DATE(AA108,AB108,5)-TradeSum!$B$2)/182.625)</f>
        <v>0.64364193939255421</v>
      </c>
      <c r="AD107" s="24"/>
      <c r="AF107" s="196">
        <v>40210</v>
      </c>
      <c r="AG107">
        <v>5.2021524467647802E-2</v>
      </c>
      <c r="AI107" s="19">
        <f t="shared" si="6"/>
        <v>2010</v>
      </c>
      <c r="AJ107" s="18">
        <f t="shared" si="7"/>
        <v>2</v>
      </c>
      <c r="AK107" s="20">
        <f>(1+AG107/2)^(-(DATE(AI108,AJ108,5)-TradeSum!$B$2)/182.625)</f>
        <v>0.65098335064156532</v>
      </c>
    </row>
    <row r="108" spans="24:37" x14ac:dyDescent="0.2">
      <c r="X108" s="196">
        <v>40238</v>
      </c>
      <c r="Y108">
        <v>5.3581634571030295E-2</v>
      </c>
      <c r="Z108" s="18"/>
      <c r="AA108" s="19">
        <f t="shared" si="4"/>
        <v>2010</v>
      </c>
      <c r="AB108" s="18">
        <f t="shared" si="5"/>
        <v>3</v>
      </c>
      <c r="AC108" s="20">
        <f>(1+Y108/2)^(-(DATE(AA109,AB109,5)-TradeSum!$B$2)/182.625)</f>
        <v>0.63988678215623862</v>
      </c>
      <c r="AD108" s="24"/>
      <c r="AF108" s="196">
        <v>40238</v>
      </c>
      <c r="AG108">
        <v>5.2119450313738096E-2</v>
      </c>
      <c r="AI108" s="19">
        <f t="shared" si="6"/>
        <v>2010</v>
      </c>
      <c r="AJ108" s="18">
        <f t="shared" si="7"/>
        <v>3</v>
      </c>
      <c r="AK108" s="20">
        <f>(1+AG108/2)^(-(DATE(AI109,AJ109,5)-TradeSum!$B$2)/182.625)</f>
        <v>0.6476299124673337</v>
      </c>
    </row>
    <row r="109" spans="24:37" x14ac:dyDescent="0.2">
      <c r="X109" s="196">
        <v>40269</v>
      </c>
      <c r="Y109">
        <v>5.3767069510669299E-2</v>
      </c>
      <c r="Z109" s="18"/>
      <c r="AA109" s="19">
        <f t="shared" si="4"/>
        <v>2010</v>
      </c>
      <c r="AB109" s="18">
        <f t="shared" si="5"/>
        <v>4</v>
      </c>
      <c r="AC109" s="20">
        <f>(1+Y109/2)^(-(DATE(AA110,AB110,5)-TradeSum!$B$2)/182.625)</f>
        <v>0.63613358812049925</v>
      </c>
      <c r="AD109" s="24"/>
      <c r="AF109" s="196">
        <v>40269</v>
      </c>
      <c r="AG109">
        <v>5.22278682184973E-2</v>
      </c>
      <c r="AI109" s="19">
        <f t="shared" si="6"/>
        <v>2010</v>
      </c>
      <c r="AJ109" s="18">
        <f t="shared" si="7"/>
        <v>4</v>
      </c>
      <c r="AK109" s="20">
        <f>(1+AG109/2)^(-(DATE(AI110,AJ110,5)-TradeSum!$B$2)/182.625)</f>
        <v>0.64431809826080089</v>
      </c>
    </row>
    <row r="110" spans="24:37" x14ac:dyDescent="0.2">
      <c r="X110" s="196">
        <v>40299</v>
      </c>
      <c r="Y110">
        <v>5.3946522688973701E-2</v>
      </c>
      <c r="Z110" s="18"/>
      <c r="AA110" s="19">
        <f t="shared" si="4"/>
        <v>2010</v>
      </c>
      <c r="AB110" s="18">
        <f t="shared" si="5"/>
        <v>5</v>
      </c>
      <c r="AC110" s="20">
        <f>(1+Y110/2)^(-(DATE(AA111,AB111,5)-TradeSum!$B$2)/182.625)</f>
        <v>0.63232328151368067</v>
      </c>
      <c r="AD110" s="24"/>
      <c r="AF110" s="196">
        <v>40299</v>
      </c>
      <c r="AG110">
        <v>5.2332788775222301E-2</v>
      </c>
      <c r="AI110" s="19">
        <f t="shared" si="6"/>
        <v>2010</v>
      </c>
      <c r="AJ110" s="18">
        <f t="shared" si="7"/>
        <v>5</v>
      </c>
      <c r="AK110" s="20">
        <f>(1+AG110/2)^(-(DATE(AI111,AJ111,5)-TradeSum!$B$2)/182.625)</f>
        <v>0.64094027092430039</v>
      </c>
    </row>
    <row r="111" spans="24:37" x14ac:dyDescent="0.2">
      <c r="X111" s="196">
        <v>40330</v>
      </c>
      <c r="Y111">
        <v>5.4131957651161897E-2</v>
      </c>
      <c r="Z111" s="18"/>
      <c r="AA111" s="19">
        <f t="shared" si="4"/>
        <v>2010</v>
      </c>
      <c r="AB111" s="18">
        <f t="shared" si="5"/>
        <v>6</v>
      </c>
      <c r="AC111" s="20">
        <f>(1+Y111/2)^(-(DATE(AA112,AB112,5)-TradeSum!$B$2)/182.625)</f>
        <v>0.62857732124291044</v>
      </c>
      <c r="AD111" s="24"/>
      <c r="AF111" s="196">
        <v>40330</v>
      </c>
      <c r="AG111">
        <v>5.24412066876958E-2</v>
      </c>
      <c r="AI111" s="19">
        <f t="shared" si="6"/>
        <v>2010</v>
      </c>
      <c r="AJ111" s="18">
        <f t="shared" si="7"/>
        <v>6</v>
      </c>
      <c r="AK111" s="20">
        <f>(1+AG111/2)^(-(DATE(AI112,AJ112,5)-TradeSum!$B$2)/182.625)</f>
        <v>0.63764058539844393</v>
      </c>
    </row>
    <row r="112" spans="24:37" x14ac:dyDescent="0.2">
      <c r="X112" s="196">
        <v>40360</v>
      </c>
      <c r="Y112">
        <v>5.4311410851286102E-2</v>
      </c>
      <c r="Z112" s="18"/>
      <c r="AA112" s="19">
        <f t="shared" si="4"/>
        <v>2010</v>
      </c>
      <c r="AB112" s="18">
        <f t="shared" si="5"/>
        <v>7</v>
      </c>
      <c r="AC112" s="20">
        <f>(1+Y112/2)^(-(DATE(AA113,AB113,5)-TradeSum!$B$2)/182.625)</f>
        <v>0.62477536979118453</v>
      </c>
      <c r="AD112" s="24"/>
      <c r="AF112" s="196">
        <v>40360</v>
      </c>
      <c r="AG112">
        <v>5.2546127251886302E-2</v>
      </c>
      <c r="AI112" s="19">
        <f t="shared" si="6"/>
        <v>2010</v>
      </c>
      <c r="AJ112" s="18">
        <f t="shared" si="7"/>
        <v>7</v>
      </c>
      <c r="AK112" s="20">
        <f>(1+AG112/2)^(-(DATE(AI113,AJ113,5)-TradeSum!$B$2)/182.625)</f>
        <v>0.63427580066950007</v>
      </c>
    </row>
    <row r="113" spans="24:37" x14ac:dyDescent="0.2">
      <c r="X113" s="196">
        <v>40391</v>
      </c>
      <c r="Y113">
        <v>5.4496845836019797E-2</v>
      </c>
      <c r="Z113" s="18"/>
      <c r="AA113" s="19">
        <f t="shared" si="4"/>
        <v>2010</v>
      </c>
      <c r="AB113" s="18">
        <f t="shared" si="5"/>
        <v>8</v>
      </c>
      <c r="AC113" s="20">
        <f>(1+Y113/2)^(-(DATE(AA114,AB114,5)-TradeSum!$B$2)/182.625)</f>
        <v>0.62094603550659078</v>
      </c>
      <c r="AD113" s="24"/>
      <c r="AF113" s="196">
        <v>40391</v>
      </c>
      <c r="AG113">
        <v>5.2654545172072797E-2</v>
      </c>
      <c r="AI113" s="19">
        <f t="shared" si="6"/>
        <v>2010</v>
      </c>
      <c r="AJ113" s="18">
        <f t="shared" si="7"/>
        <v>8</v>
      </c>
      <c r="AK113" s="20">
        <f>(1+AG113/2)^(-(DATE(AI114,AJ114,5)-TradeSum!$B$2)/182.625)</f>
        <v>0.63089879815721861</v>
      </c>
    </row>
    <row r="114" spans="24:37" x14ac:dyDescent="0.2">
      <c r="X114" s="196">
        <v>40422</v>
      </c>
      <c r="Y114">
        <v>5.4682280832209197E-2</v>
      </c>
      <c r="Z114" s="18"/>
      <c r="AA114" s="19">
        <f t="shared" si="4"/>
        <v>2010</v>
      </c>
      <c r="AB114" s="18">
        <f t="shared" si="5"/>
        <v>9</v>
      </c>
      <c r="AC114" s="20">
        <f>(1+Y114/2)^(-(DATE(AA115,AB115,5)-TradeSum!$B$2)/182.625)</f>
        <v>0.61721250733173572</v>
      </c>
      <c r="AD114" s="24"/>
      <c r="AF114" s="196">
        <v>40422</v>
      </c>
      <c r="AG114">
        <v>5.2762963096178297E-2</v>
      </c>
      <c r="AI114" s="19">
        <f t="shared" si="6"/>
        <v>2010</v>
      </c>
      <c r="AJ114" s="18">
        <f t="shared" si="7"/>
        <v>9</v>
      </c>
      <c r="AK114" s="20">
        <f>(1+AG114/2)^(-(DATE(AI115,AJ115,5)-TradeSum!$B$2)/182.625)</f>
        <v>0.62761803603086896</v>
      </c>
    </row>
    <row r="115" spans="24:37" x14ac:dyDescent="0.2">
      <c r="X115" s="196">
        <v>40452</v>
      </c>
      <c r="Y115">
        <v>5.4861734065234202E-2</v>
      </c>
      <c r="Z115" s="18"/>
      <c r="AA115" s="19">
        <f t="shared" si="4"/>
        <v>2010</v>
      </c>
      <c r="AB115" s="18">
        <f t="shared" si="5"/>
        <v>10</v>
      </c>
      <c r="AC115" s="20">
        <f>(1+Y115/2)^(-(DATE(AA116,AB116,5)-TradeSum!$B$2)/182.625)</f>
        <v>0.61342466405422291</v>
      </c>
      <c r="AD115" s="24"/>
      <c r="AF115" s="196">
        <v>40452</v>
      </c>
      <c r="AG115">
        <v>5.28678836716256E-2</v>
      </c>
      <c r="AI115" s="19">
        <f t="shared" si="6"/>
        <v>2010</v>
      </c>
      <c r="AJ115" s="18">
        <f t="shared" si="7"/>
        <v>10</v>
      </c>
      <c r="AK115" s="20">
        <f>(1+AG115/2)^(-(DATE(AI116,AJ116,5)-TradeSum!$B$2)/182.625)</f>
        <v>0.62427354176836236</v>
      </c>
    </row>
    <row r="116" spans="24:37" x14ac:dyDescent="0.2">
      <c r="X116" s="196">
        <v>40483</v>
      </c>
      <c r="Y116">
        <v>5.5047169083962497E-2</v>
      </c>
      <c r="Z116" s="18"/>
      <c r="AA116" s="19">
        <f t="shared" si="4"/>
        <v>2010</v>
      </c>
      <c r="AB116" s="18">
        <f t="shared" si="5"/>
        <v>11</v>
      </c>
      <c r="AC116" s="20">
        <f>(1+Y116/2)^(-(DATE(AA117,AB117,5)-TradeSum!$B$2)/182.625)</f>
        <v>0.60970036917348081</v>
      </c>
      <c r="AD116" s="24"/>
      <c r="AF116" s="196">
        <v>40483</v>
      </c>
      <c r="AG116">
        <v>5.2976301603444104E-2</v>
      </c>
      <c r="AI116" s="19">
        <f t="shared" si="6"/>
        <v>2010</v>
      </c>
      <c r="AJ116" s="18">
        <f t="shared" si="7"/>
        <v>11</v>
      </c>
      <c r="AK116" s="20">
        <f>(1+AG116/2)^(-(DATE(AI117,AJ117,5)-TradeSum!$B$2)/182.625)</f>
        <v>0.6210057359407597</v>
      </c>
    </row>
    <row r="117" spans="24:37" x14ac:dyDescent="0.2">
      <c r="X117" s="196">
        <v>40513</v>
      </c>
      <c r="Y117">
        <v>5.5226622338798007E-2</v>
      </c>
      <c r="Z117" s="18"/>
      <c r="AA117" s="19">
        <f t="shared" si="4"/>
        <v>2010</v>
      </c>
      <c r="AB117" s="18">
        <f t="shared" si="5"/>
        <v>12</v>
      </c>
      <c r="AC117" s="20">
        <f>(1+Y117/2)^(-(DATE(AA118,AB118,5)-TradeSum!$B$2)/182.625)</f>
        <v>0.60592286005072538</v>
      </c>
      <c r="AD117" s="24"/>
      <c r="AF117" s="196">
        <v>40513</v>
      </c>
      <c r="AG117">
        <v>5.3081222186354401E-2</v>
      </c>
      <c r="AI117" s="19">
        <f t="shared" si="6"/>
        <v>2010</v>
      </c>
      <c r="AJ117" s="18">
        <f t="shared" si="7"/>
        <v>12</v>
      </c>
      <c r="AK117" s="20">
        <f>(1+AG117/2)^(-(DATE(AI118,AJ118,5)-TradeSum!$B$2)/182.625)</f>
        <v>0.61767509677595422</v>
      </c>
    </row>
    <row r="118" spans="24:37" x14ac:dyDescent="0.2">
      <c r="X118" s="196">
        <v>40544</v>
      </c>
      <c r="Y118">
        <v>5.5412057380061601E-2</v>
      </c>
      <c r="Z118" s="18"/>
      <c r="AA118" s="19">
        <f t="shared" si="4"/>
        <v>2011</v>
      </c>
      <c r="AB118" s="18">
        <f t="shared" si="5"/>
        <v>1</v>
      </c>
      <c r="AC118" s="20">
        <f>(1+Y118/2)^(-(DATE(AA119,AB119,5)-TradeSum!$B$2)/182.625)</f>
        <v>0.60211846111584943</v>
      </c>
      <c r="AD118" s="24"/>
      <c r="AF118" s="196">
        <v>40544</v>
      </c>
      <c r="AG118">
        <v>5.3189640125883605E-2</v>
      </c>
      <c r="AI118" s="19">
        <f t="shared" si="6"/>
        <v>2011</v>
      </c>
      <c r="AJ118" s="18">
        <f t="shared" si="7"/>
        <v>1</v>
      </c>
      <c r="AK118" s="20">
        <f>(1+AG118/2)^(-(DATE(AI119,AJ119,5)-TradeSum!$B$2)/182.625)</f>
        <v>0.6143322665765536</v>
      </c>
    </row>
    <row r="119" spans="24:37" x14ac:dyDescent="0.2">
      <c r="X119" s="196">
        <v>40575</v>
      </c>
      <c r="Y119">
        <v>5.5597492432776001E-2</v>
      </c>
      <c r="Z119" s="18"/>
      <c r="AA119" s="19">
        <f t="shared" si="4"/>
        <v>2011</v>
      </c>
      <c r="AB119" s="18">
        <f t="shared" si="5"/>
        <v>2</v>
      </c>
      <c r="AC119" s="20">
        <f>(1+Y119/2)^(-(DATE(AA120,AB120,5)-TradeSum!$B$2)/182.625)</f>
        <v>0.59858926972394777</v>
      </c>
      <c r="AD119" s="24"/>
      <c r="AF119" s="196">
        <v>40575</v>
      </c>
      <c r="AG119">
        <v>5.3298058069331002E-2</v>
      </c>
      <c r="AI119" s="19">
        <f t="shared" si="6"/>
        <v>2011</v>
      </c>
      <c r="AJ119" s="18">
        <f t="shared" si="7"/>
        <v>2</v>
      </c>
      <c r="AK119" s="20">
        <f>(1+AG119/2)^(-(DATE(AI120,AJ120,5)-TradeSum!$B$2)/182.625)</f>
        <v>0.61126063482693205</v>
      </c>
    </row>
    <row r="120" spans="24:37" x14ac:dyDescent="0.2">
      <c r="X120" s="196">
        <v>40603</v>
      </c>
      <c r="Y120">
        <v>5.5764982167650197E-2</v>
      </c>
      <c r="Z120" s="18"/>
      <c r="AA120" s="19">
        <f t="shared" si="4"/>
        <v>2011</v>
      </c>
      <c r="AB120" s="18">
        <f t="shared" si="5"/>
        <v>3</v>
      </c>
      <c r="AC120" s="20">
        <f>(1+Y120/2)^(-(DATE(AA121,AB121,5)-TradeSum!$B$2)/182.625)</f>
        <v>0.59489360786338374</v>
      </c>
      <c r="AD120" s="24"/>
      <c r="AF120" s="196">
        <v>40603</v>
      </c>
      <c r="AG120">
        <v>5.3395983957103405E-2</v>
      </c>
      <c r="AI120" s="19">
        <f t="shared" si="6"/>
        <v>2011</v>
      </c>
      <c r="AJ120" s="18">
        <f t="shared" si="7"/>
        <v>3</v>
      </c>
      <c r="AK120" s="20">
        <f>(1+AG120/2)^(-(DATE(AI121,AJ121,5)-TradeSum!$B$2)/182.625)</f>
        <v>0.60798998071829635</v>
      </c>
    </row>
    <row r="121" spans="24:37" x14ac:dyDescent="0.2">
      <c r="X121" s="196">
        <v>40634</v>
      </c>
      <c r="Y121">
        <v>5.5950417242155201E-2</v>
      </c>
      <c r="Z121" s="18"/>
      <c r="AA121" s="19">
        <f t="shared" si="4"/>
        <v>2011</v>
      </c>
      <c r="AB121" s="18">
        <f t="shared" si="5"/>
        <v>4</v>
      </c>
      <c r="AC121" s="20">
        <f>(1+Y121/2)^(-(DATE(AA122,AB122,5)-TradeSum!$B$2)/182.625)</f>
        <v>0.59119547106359105</v>
      </c>
      <c r="AD121" s="24"/>
      <c r="AF121" s="196">
        <v>40634</v>
      </c>
      <c r="AG121">
        <v>5.3504401908008398E-2</v>
      </c>
      <c r="AI121" s="19">
        <f t="shared" si="6"/>
        <v>2011</v>
      </c>
      <c r="AJ121" s="18">
        <f t="shared" si="7"/>
        <v>4</v>
      </c>
      <c r="AK121" s="20">
        <f>(1+AG121/2)^(-(DATE(AI122,AJ122,5)-TradeSum!$B$2)/182.625)</f>
        <v>0.60475560624180724</v>
      </c>
    </row>
    <row r="122" spans="24:37" x14ac:dyDescent="0.2">
      <c r="X122" s="196">
        <v>40664</v>
      </c>
      <c r="Y122">
        <v>5.6129870550962697E-2</v>
      </c>
      <c r="Z122" s="18"/>
      <c r="AA122" s="19">
        <f t="shared" si="4"/>
        <v>2011</v>
      </c>
      <c r="AB122" s="18">
        <f t="shared" si="5"/>
        <v>5</v>
      </c>
      <c r="AC122" s="20">
        <f>(1+Y122/2)^(-(DATE(AA123,AB123,5)-TradeSum!$B$2)/182.625)</f>
        <v>0.58744680750901013</v>
      </c>
      <c r="AD122" s="24"/>
      <c r="AF122" s="196">
        <v>40664</v>
      </c>
      <c r="AG122">
        <v>5.3609322509389205E-2</v>
      </c>
      <c r="AI122" s="19">
        <f t="shared" si="6"/>
        <v>2011</v>
      </c>
      <c r="AJ122" s="18">
        <f t="shared" si="7"/>
        <v>5</v>
      </c>
      <c r="AK122" s="20">
        <f>(1+AG122/2)^(-(DATE(AI123,AJ123,5)-TradeSum!$B$2)/182.625)</f>
        <v>0.60146059659194084</v>
      </c>
    </row>
    <row r="123" spans="24:37" x14ac:dyDescent="0.2">
      <c r="X123" s="196">
        <v>40695</v>
      </c>
      <c r="Y123">
        <v>5.6315305647993197E-2</v>
      </c>
      <c r="Z123" s="18"/>
      <c r="AA123" s="19">
        <f t="shared" si="4"/>
        <v>2011</v>
      </c>
      <c r="AB123" s="18">
        <f t="shared" si="5"/>
        <v>6</v>
      </c>
      <c r="AC123" s="20">
        <f>(1+Y123/2)^(-(DATE(AA124,AB124,5)-TradeSum!$B$2)/182.625)</f>
        <v>0.58376053663865157</v>
      </c>
      <c r="AD123" s="24"/>
      <c r="AF123" s="196">
        <v>40695</v>
      </c>
      <c r="AG123">
        <v>5.3717740468003997E-2</v>
      </c>
      <c r="AI123" s="19">
        <f t="shared" si="6"/>
        <v>2011</v>
      </c>
      <c r="AJ123" s="18">
        <f t="shared" si="7"/>
        <v>6</v>
      </c>
      <c r="AK123" s="20">
        <f>(1+AG123/2)^(-(DATE(AI124,AJ124,5)-TradeSum!$B$2)/182.625)</f>
        <v>0.59824026033477595</v>
      </c>
    </row>
    <row r="124" spans="24:37" x14ac:dyDescent="0.2">
      <c r="X124" s="196">
        <v>40725</v>
      </c>
      <c r="Y124">
        <v>5.6494758978597605E-2</v>
      </c>
      <c r="Z124" s="18"/>
      <c r="AA124" s="19">
        <f t="shared" si="4"/>
        <v>2011</v>
      </c>
      <c r="AB124" s="18">
        <f t="shared" si="5"/>
        <v>7</v>
      </c>
      <c r="AC124" s="20">
        <f>(1+Y124/2)^(-(DATE(AA125,AB125,5)-TradeSum!$B$2)/182.625)</f>
        <v>0.58002480889787866</v>
      </c>
      <c r="AD124" s="24"/>
      <c r="AF124" s="196">
        <v>40725</v>
      </c>
      <c r="AG124">
        <v>5.3822661076844198E-2</v>
      </c>
      <c r="AI124" s="19">
        <f t="shared" si="6"/>
        <v>2011</v>
      </c>
      <c r="AJ124" s="18">
        <f t="shared" si="7"/>
        <v>7</v>
      </c>
      <c r="AK124" s="20">
        <f>(1+AG124/2)^(-(DATE(AI125,AJ125,5)-TradeSum!$B$2)/182.625)</f>
        <v>0.59496016590654466</v>
      </c>
    </row>
    <row r="125" spans="24:37" x14ac:dyDescent="0.2">
      <c r="X125" s="196">
        <v>40756</v>
      </c>
      <c r="Y125">
        <v>5.66801940981492E-2</v>
      </c>
      <c r="Z125" s="18"/>
      <c r="AA125" s="19">
        <f t="shared" si="4"/>
        <v>2011</v>
      </c>
      <c r="AB125" s="18">
        <f t="shared" si="5"/>
        <v>8</v>
      </c>
      <c r="AC125" s="20">
        <f>(1+Y125/2)^(-(DATE(AA126,AB126,5)-TradeSum!$B$2)/182.625)</f>
        <v>0.57626294216473062</v>
      </c>
      <c r="AD125" s="24"/>
      <c r="AF125" s="196">
        <v>40756</v>
      </c>
      <c r="AG125">
        <v>5.3931079043167504E-2</v>
      </c>
      <c r="AI125" s="19">
        <f t="shared" si="6"/>
        <v>2011</v>
      </c>
      <c r="AJ125" s="18">
        <f t="shared" si="7"/>
        <v>8</v>
      </c>
      <c r="AK125" s="20">
        <f>(1+AG125/2)^(-(DATE(AI126,AJ126,5)-TradeSum!$B$2)/182.625)</f>
        <v>0.59166795310107467</v>
      </c>
    </row>
    <row r="126" spans="24:37" x14ac:dyDescent="0.2">
      <c r="X126" s="196">
        <v>40787</v>
      </c>
      <c r="Y126">
        <v>5.6865629229144496E-2</v>
      </c>
      <c r="Z126" s="18"/>
      <c r="AA126" s="19">
        <f t="shared" si="4"/>
        <v>2011</v>
      </c>
      <c r="AB126" s="18">
        <f t="shared" si="5"/>
        <v>9</v>
      </c>
      <c r="AC126" s="20">
        <f>(1+Y126/2)^(-(DATE(AA127,AB127,5)-TradeSum!$B$2)/182.625)</f>
        <v>0.57259593769059502</v>
      </c>
      <c r="AD126" s="24"/>
      <c r="AF126" s="196">
        <v>40787</v>
      </c>
      <c r="AG126">
        <v>5.4039497013407302E-2</v>
      </c>
      <c r="AI126" s="19">
        <f t="shared" si="6"/>
        <v>2011</v>
      </c>
      <c r="AJ126" s="18">
        <f t="shared" si="7"/>
        <v>9</v>
      </c>
      <c r="AK126" s="20">
        <f>(1+AG126/2)^(-(DATE(AI127,AJ127,5)-TradeSum!$B$2)/182.625)</f>
        <v>0.58846934945207607</v>
      </c>
    </row>
    <row r="127" spans="24:37" x14ac:dyDescent="0.2">
      <c r="X127" s="196">
        <v>40817</v>
      </c>
      <c r="Y127">
        <v>5.7045082592615398E-2</v>
      </c>
      <c r="Z127" s="18"/>
      <c r="AA127" s="19">
        <f t="shared" si="4"/>
        <v>2011</v>
      </c>
      <c r="AB127" s="18">
        <f t="shared" si="5"/>
        <v>10</v>
      </c>
      <c r="AC127" s="20">
        <f>(1+Y127/2)^(-(DATE(AA128,AB128,5)-TradeSum!$B$2)/182.625)</f>
        <v>0.56888107206295579</v>
      </c>
      <c r="AD127" s="24"/>
      <c r="AF127" s="196">
        <v>40817</v>
      </c>
      <c r="AG127">
        <v>5.4144417633498004E-2</v>
      </c>
      <c r="AI127" s="19">
        <f t="shared" si="6"/>
        <v>2011</v>
      </c>
      <c r="AJ127" s="18">
        <f t="shared" si="7"/>
        <v>10</v>
      </c>
      <c r="AK127" s="20">
        <f>(1+AG127/2)^(-(DATE(AI128,AJ128,5)-TradeSum!$B$2)/182.625)</f>
        <v>0.58521229812483322</v>
      </c>
    </row>
    <row r="128" spans="24:37" x14ac:dyDescent="0.2">
      <c r="X128" s="196">
        <v>40848</v>
      </c>
      <c r="Y128">
        <v>5.7202225004842996E-2</v>
      </c>
      <c r="Z128" s="18"/>
      <c r="AA128" s="19">
        <f t="shared" si="4"/>
        <v>2011</v>
      </c>
      <c r="AB128" s="18">
        <f t="shared" si="5"/>
        <v>11</v>
      </c>
      <c r="AC128" s="20">
        <f>(1+Y128/2)^(-(DATE(AA129,AB129,5)-TradeSum!$B$2)/182.625)</f>
        <v>0.56538494640527204</v>
      </c>
      <c r="AD128" s="24"/>
      <c r="AF128" s="196">
        <v>40848</v>
      </c>
      <c r="AG128">
        <v>5.4243084641518696E-2</v>
      </c>
      <c r="AI128" s="19">
        <f t="shared" si="6"/>
        <v>2011</v>
      </c>
      <c r="AJ128" s="18">
        <f t="shared" si="7"/>
        <v>11</v>
      </c>
      <c r="AK128" s="20">
        <f>(1+AG128/2)^(-(DATE(AI129,AJ129,5)-TradeSum!$B$2)/182.625)</f>
        <v>0.58208433638670865</v>
      </c>
    </row>
    <row r="129" spans="24:37" x14ac:dyDescent="0.2">
      <c r="X129" s="196">
        <v>40878</v>
      </c>
      <c r="Y129">
        <v>5.7275580604636597E-2</v>
      </c>
      <c r="Z129" s="18"/>
      <c r="AA129" s="19">
        <f t="shared" si="4"/>
        <v>2011</v>
      </c>
      <c r="AB129" s="18">
        <f t="shared" si="5"/>
        <v>12</v>
      </c>
      <c r="AC129" s="20">
        <f>(1+Y129/2)^(-(DATE(AA130,AB130,5)-TradeSum!$B$2)/182.625)</f>
        <v>0.56227603809667592</v>
      </c>
      <c r="AD129" s="24"/>
      <c r="AF129" s="196">
        <v>40878</v>
      </c>
      <c r="AG129">
        <v>5.4299250417865E-2</v>
      </c>
      <c r="AI129" s="19">
        <f t="shared" si="6"/>
        <v>2011</v>
      </c>
      <c r="AJ129" s="18">
        <f t="shared" si="7"/>
        <v>12</v>
      </c>
      <c r="AK129" s="20">
        <f>(1+AG129/2)^(-(DATE(AI130,AJ130,5)-TradeSum!$B$2)/182.625)</f>
        <v>0.57912326758519783</v>
      </c>
    </row>
    <row r="130" spans="24:37" x14ac:dyDescent="0.2">
      <c r="X130" s="196">
        <v>40909</v>
      </c>
      <c r="Y130">
        <v>5.73513813929711E-2</v>
      </c>
      <c r="Z130" s="18"/>
      <c r="AA130" s="19">
        <f t="shared" si="4"/>
        <v>2012</v>
      </c>
      <c r="AB130" s="18">
        <f t="shared" si="5"/>
        <v>1</v>
      </c>
      <c r="AC130" s="20">
        <f>(1+Y130/2)^(-(DATE(AA131,AB131,5)-TradeSum!$B$2)/182.625)</f>
        <v>0.55916380574190927</v>
      </c>
      <c r="AD130" s="24"/>
      <c r="AF130" s="196">
        <v>40909</v>
      </c>
      <c r="AG130">
        <v>5.4357288387860699E-2</v>
      </c>
      <c r="AI130" s="19">
        <f t="shared" si="6"/>
        <v>2012</v>
      </c>
      <c r="AJ130" s="18">
        <f t="shared" si="7"/>
        <v>1</v>
      </c>
      <c r="AK130" s="20">
        <f>(1+AG130/2)^(-(DATE(AI131,AJ131,5)-TradeSum!$B$2)/182.625)</f>
        <v>0.5761611262804579</v>
      </c>
    </row>
    <row r="131" spans="24:37" x14ac:dyDescent="0.2">
      <c r="X131" s="196">
        <v>40940</v>
      </c>
      <c r="Y131">
        <v>5.7427182183217504E-2</v>
      </c>
      <c r="Z131" s="18"/>
      <c r="AA131" s="19">
        <f t="shared" si="4"/>
        <v>2012</v>
      </c>
      <c r="AB131" s="18">
        <f t="shared" si="5"/>
        <v>2</v>
      </c>
      <c r="AC131" s="20">
        <f>(1+Y131/2)^(-(DATE(AA132,AB132,5)-TradeSum!$B$2)/182.625)</f>
        <v>0.55623427922311852</v>
      </c>
      <c r="AD131" s="24"/>
      <c r="AF131" s="196">
        <v>40940</v>
      </c>
      <c r="AG131">
        <v>5.4415326358978201E-2</v>
      </c>
      <c r="AI131" s="19">
        <f t="shared" si="6"/>
        <v>2012</v>
      </c>
      <c r="AJ131" s="18">
        <f t="shared" si="7"/>
        <v>2</v>
      </c>
      <c r="AK131" s="20">
        <f>(1+AG131/2)^(-(DATE(AI132,AJ132,5)-TradeSum!$B$2)/182.625)</f>
        <v>0.57337718469159815</v>
      </c>
    </row>
    <row r="132" spans="24:37" x14ac:dyDescent="0.2">
      <c r="X132" s="196">
        <v>40969</v>
      </c>
      <c r="Y132">
        <v>5.7498092601629802E-2</v>
      </c>
      <c r="Z132" s="18"/>
      <c r="AA132" s="19">
        <f t="shared" si="4"/>
        <v>2012</v>
      </c>
      <c r="AB132" s="18">
        <f t="shared" si="5"/>
        <v>3</v>
      </c>
      <c r="AC132" s="20">
        <f>(1+Y132/2)^(-(DATE(AA133,AB133,5)-TradeSum!$B$2)/182.625)</f>
        <v>0.55316937020375456</v>
      </c>
      <c r="AD132" s="24"/>
      <c r="AF132" s="196">
        <v>40969</v>
      </c>
      <c r="AG132">
        <v>5.4469619945878303E-2</v>
      </c>
      <c r="AI132" s="19">
        <f t="shared" si="6"/>
        <v>2012</v>
      </c>
      <c r="AJ132" s="18">
        <f t="shared" si="7"/>
        <v>3</v>
      </c>
      <c r="AK132" s="20">
        <f>(1+AG132/2)^(-(DATE(AI133,AJ133,5)-TradeSum!$B$2)/182.625)</f>
        <v>0.57045540544454487</v>
      </c>
    </row>
    <row r="133" spans="24:37" x14ac:dyDescent="0.2">
      <c r="X133" s="196">
        <v>41000</v>
      </c>
      <c r="Y133">
        <v>5.75738933955754E-2</v>
      </c>
      <c r="Z133" s="18"/>
      <c r="AA133" s="19">
        <f t="shared" si="4"/>
        <v>2012</v>
      </c>
      <c r="AB133" s="18">
        <f t="shared" si="5"/>
        <v>4</v>
      </c>
      <c r="AC133" s="20">
        <f>(1+Y133/2)^(-(DATE(AA134,AB134,5)-TradeSum!$B$2)/182.625)</f>
        <v>0.55017288318661972</v>
      </c>
      <c r="AD133" s="24"/>
      <c r="AF133" s="196">
        <v>41000</v>
      </c>
      <c r="AG133">
        <v>5.4527657919168207E-2</v>
      </c>
      <c r="AI133" s="19">
        <f t="shared" si="6"/>
        <v>2012</v>
      </c>
      <c r="AJ133" s="18">
        <f t="shared" si="7"/>
        <v>4</v>
      </c>
      <c r="AK133" s="20">
        <f>(1+AG133/2)^(-(DATE(AI134,AJ134,5)-TradeSum!$B$2)/182.625)</f>
        <v>0.56760524489935038</v>
      </c>
    </row>
    <row r="134" spans="24:37" x14ac:dyDescent="0.2">
      <c r="X134" s="196">
        <v>41030</v>
      </c>
      <c r="Y134">
        <v>5.7647249004439099E-2</v>
      </c>
      <c r="Z134" s="18"/>
      <c r="AA134" s="19">
        <f t="shared" si="4"/>
        <v>2012</v>
      </c>
      <c r="AB134" s="18">
        <f t="shared" si="5"/>
        <v>5</v>
      </c>
      <c r="AC134" s="20">
        <f>(1+Y134/2)^(-(DATE(AA135,AB135,5)-TradeSum!$B$2)/182.625)</f>
        <v>0.54711468154098986</v>
      </c>
      <c r="AD134" s="24"/>
      <c r="AF134" s="196">
        <v>41030</v>
      </c>
      <c r="AG134">
        <v>5.4583823700839598E-2</v>
      </c>
      <c r="AI134" s="19">
        <f t="shared" si="6"/>
        <v>2012</v>
      </c>
      <c r="AJ134" s="18">
        <f t="shared" si="7"/>
        <v>5</v>
      </c>
      <c r="AK134" s="20">
        <f>(1+AG134/2)^(-(DATE(AI135,AJ135,5)-TradeSum!$B$2)/182.625)</f>
        <v>0.56469174819624068</v>
      </c>
    </row>
    <row r="135" spans="24:37" x14ac:dyDescent="0.2">
      <c r="X135" s="196">
        <v>41061</v>
      </c>
      <c r="Y135">
        <v>5.7723049802146202E-2</v>
      </c>
      <c r="Z135" s="18"/>
      <c r="AA135" s="19">
        <f t="shared" si="4"/>
        <v>2012</v>
      </c>
      <c r="AB135" s="18">
        <f t="shared" si="5"/>
        <v>6</v>
      </c>
      <c r="AC135" s="20">
        <f>(1+Y135/2)^(-(DATE(AA136,AB136,5)-TradeSum!$B$2)/182.625)</f>
        <v>0.54413784776391705</v>
      </c>
      <c r="AD135" s="24"/>
      <c r="AF135" s="196">
        <v>41061</v>
      </c>
      <c r="AG135">
        <v>5.4641861676337604E-2</v>
      </c>
      <c r="AI135" s="19">
        <f t="shared" si="6"/>
        <v>2012</v>
      </c>
      <c r="AJ135" s="18">
        <f t="shared" si="7"/>
        <v>6</v>
      </c>
      <c r="AK135" s="20">
        <f>(1+AG135/2)^(-(DATE(AI136,AJ136,5)-TradeSum!$B$2)/182.625)</f>
        <v>0.56185997127169796</v>
      </c>
    </row>
    <row r="136" spans="24:37" x14ac:dyDescent="0.2">
      <c r="X136" s="196">
        <v>41091</v>
      </c>
      <c r="Y136">
        <v>5.7796405414649095E-2</v>
      </c>
      <c r="Z136" s="18"/>
      <c r="AA136" s="19">
        <f t="shared" si="4"/>
        <v>2012</v>
      </c>
      <c r="AB136" s="18">
        <f t="shared" si="5"/>
        <v>7</v>
      </c>
      <c r="AC136" s="20">
        <f>(1+Y136/2)^(-(DATE(AA137,AB137,5)-TradeSum!$B$2)/182.625)</f>
        <v>0.5411001210220554</v>
      </c>
      <c r="AD136" s="24"/>
      <c r="AF136" s="196">
        <v>41091</v>
      </c>
      <c r="AG136">
        <v>5.46980274601458E-2</v>
      </c>
      <c r="AI136" s="19">
        <f t="shared" si="6"/>
        <v>2012</v>
      </c>
      <c r="AJ136" s="18">
        <f t="shared" si="7"/>
        <v>7</v>
      </c>
      <c r="AK136" s="20">
        <f>(1+AG136/2)^(-(DATE(AI137,AJ137,5)-TradeSum!$B$2)/182.625)</f>
        <v>0.55896560503776105</v>
      </c>
    </row>
    <row r="137" spans="24:37" x14ac:dyDescent="0.2">
      <c r="X137" s="196">
        <v>41122</v>
      </c>
      <c r="Y137">
        <v>5.78722062161168E-2</v>
      </c>
      <c r="Z137" s="18"/>
      <c r="AA137" s="19">
        <f t="shared" ref="AA137:AA200" si="8">YEAR(X137)</f>
        <v>2012</v>
      </c>
      <c r="AB137" s="18">
        <f t="shared" ref="AB137:AB200" si="9">MONTH(X137)</f>
        <v>8</v>
      </c>
      <c r="AC137" s="20">
        <f>(1+Y137/2)^(-(DATE(AA138,AB138,5)-TradeSum!$B$2)/182.625)</f>
        <v>0.53805896443959644</v>
      </c>
      <c r="AD137" s="24"/>
      <c r="AF137" s="196">
        <v>41122</v>
      </c>
      <c r="AG137">
        <v>5.4756065437851401E-2</v>
      </c>
      <c r="AI137" s="19">
        <f t="shared" ref="AI137:AI200" si="10">YEAR(AF137)</f>
        <v>2012</v>
      </c>
      <c r="AJ137" s="18">
        <f t="shared" ref="AJ137:AJ200" si="11">MONTH(AF137)</f>
        <v>8</v>
      </c>
      <c r="AK137" s="20">
        <f>(1+AG137/2)^(-(DATE(AI138,AJ138,5)-TradeSum!$B$2)/182.625)</f>
        <v>0.55606998856372614</v>
      </c>
    </row>
    <row r="138" spans="24:37" x14ac:dyDescent="0.2">
      <c r="X138" s="196">
        <v>41153</v>
      </c>
      <c r="Y138">
        <v>5.7948007019495297E-2</v>
      </c>
      <c r="Z138" s="18"/>
      <c r="AA138" s="19">
        <f t="shared" si="8"/>
        <v>2012</v>
      </c>
      <c r="AB138" s="18">
        <f t="shared" si="9"/>
        <v>9</v>
      </c>
      <c r="AC138" s="20">
        <f>(1+Y138/2)^(-(DATE(AA139,AB139,5)-TradeSum!$B$2)/182.625)</f>
        <v>0.53511190918927387</v>
      </c>
      <c r="AD138" s="24"/>
      <c r="AF138" s="196">
        <v>41153</v>
      </c>
      <c r="AG138">
        <v>5.4814103416679603E-2</v>
      </c>
      <c r="AI138" s="19">
        <f t="shared" si="10"/>
        <v>2012</v>
      </c>
      <c r="AJ138" s="18">
        <f t="shared" si="11"/>
        <v>9</v>
      </c>
      <c r="AK138" s="20">
        <f>(1+AG138/2)^(-(DATE(AI139,AJ139,5)-TradeSum!$B$2)/182.625)</f>
        <v>0.55326598393565563</v>
      </c>
    </row>
    <row r="139" spans="24:37" x14ac:dyDescent="0.2">
      <c r="X139" s="196">
        <v>41183</v>
      </c>
      <c r="Y139">
        <v>5.8021362637487202E-2</v>
      </c>
      <c r="Z139" s="18"/>
      <c r="AA139" s="19">
        <f t="shared" si="8"/>
        <v>2012</v>
      </c>
      <c r="AB139" s="18">
        <f t="shared" si="9"/>
        <v>10</v>
      </c>
      <c r="AC139" s="20">
        <f>(1+Y139/2)^(-(DATE(AA140,AB140,5)-TradeSum!$B$2)/182.625)</f>
        <v>0.53210518677285323</v>
      </c>
      <c r="AD139" s="24"/>
      <c r="AF139" s="196">
        <v>41183</v>
      </c>
      <c r="AG139">
        <v>5.4870269203710201E-2</v>
      </c>
      <c r="AI139" s="19">
        <f t="shared" si="10"/>
        <v>2012</v>
      </c>
      <c r="AJ139" s="18">
        <f t="shared" si="11"/>
        <v>10</v>
      </c>
      <c r="AK139" s="20">
        <f>(1+AG139/2)^(-(DATE(AI140,AJ140,5)-TradeSum!$B$2)/182.625)</f>
        <v>0.55040050509553395</v>
      </c>
    </row>
    <row r="140" spans="24:37" x14ac:dyDescent="0.2">
      <c r="X140" s="196">
        <v>41214</v>
      </c>
      <c r="Y140">
        <v>5.8097163444626301E-2</v>
      </c>
      <c r="Z140" s="18"/>
      <c r="AA140" s="19">
        <f t="shared" si="8"/>
        <v>2012</v>
      </c>
      <c r="AB140" s="18">
        <f t="shared" si="9"/>
        <v>11</v>
      </c>
      <c r="AC140" s="20">
        <f>(1+Y140/2)^(-(DATE(AA141,AB141,5)-TradeSum!$B$2)/182.625)</f>
        <v>0.52917796175849297</v>
      </c>
      <c r="AD140" s="24"/>
      <c r="AF140" s="196">
        <v>41214</v>
      </c>
      <c r="AG140">
        <v>5.4928307184745999E-2</v>
      </c>
      <c r="AI140" s="19">
        <f t="shared" si="10"/>
        <v>2012</v>
      </c>
      <c r="AJ140" s="18">
        <f t="shared" si="11"/>
        <v>11</v>
      </c>
      <c r="AK140" s="20">
        <f>(1+AG140/2)^(-(DATE(AI141,AJ141,5)-TradeSum!$B$2)/182.625)</f>
        <v>0.54761494192025972</v>
      </c>
    </row>
    <row r="141" spans="24:37" x14ac:dyDescent="0.2">
      <c r="X141" s="196">
        <v>41244</v>
      </c>
      <c r="Y141">
        <v>5.8170519066257101E-2</v>
      </c>
      <c r="Z141" s="18"/>
      <c r="AA141" s="19">
        <f t="shared" si="8"/>
        <v>2012</v>
      </c>
      <c r="AB141" s="18">
        <f t="shared" si="9"/>
        <v>12</v>
      </c>
      <c r="AC141" s="20">
        <f>(1+Y141/2)^(-(DATE(AA142,AB142,5)-TradeSum!$B$2)/182.625)</f>
        <v>0.52619187342594798</v>
      </c>
      <c r="AD141" s="24"/>
      <c r="AF141" s="196">
        <v>41244</v>
      </c>
      <c r="AG141">
        <v>5.4984472973913498E-2</v>
      </c>
      <c r="AI141" s="19">
        <f t="shared" si="10"/>
        <v>2012</v>
      </c>
      <c r="AJ141" s="18">
        <f t="shared" si="11"/>
        <v>12</v>
      </c>
      <c r="AK141" s="20">
        <f>(1+AG141/2)^(-(DATE(AI142,AJ142,5)-TradeSum!$B$2)/182.625)</f>
        <v>0.54476863640861373</v>
      </c>
    </row>
    <row r="142" spans="24:37" x14ac:dyDescent="0.2">
      <c r="X142" s="196">
        <v>41275</v>
      </c>
      <c r="Y142">
        <v>5.8246319877156304E-2</v>
      </c>
      <c r="Z142" s="18"/>
      <c r="AA142" s="19">
        <f t="shared" si="8"/>
        <v>2013</v>
      </c>
      <c r="AB142" s="18">
        <f t="shared" si="9"/>
        <v>1</v>
      </c>
      <c r="AC142" s="20">
        <f>(1+Y142/2)^(-(DATE(AA143,AB143,5)-TradeSum!$B$2)/182.625)</f>
        <v>0.52320229321072109</v>
      </c>
      <c r="AD142" s="24"/>
      <c r="AF142" s="196">
        <v>41275</v>
      </c>
      <c r="AG142">
        <v>5.5042510957156801E-2</v>
      </c>
      <c r="AI142" s="19">
        <f t="shared" si="10"/>
        <v>2013</v>
      </c>
      <c r="AJ142" s="18">
        <f t="shared" si="11"/>
        <v>1</v>
      </c>
      <c r="AK142" s="20">
        <f>(1+AG142/2)^(-(DATE(AI143,AJ143,5)-TradeSum!$B$2)/182.625)</f>
        <v>0.54192096478368146</v>
      </c>
    </row>
    <row r="143" spans="24:37" x14ac:dyDescent="0.2">
      <c r="X143" s="196">
        <v>41306</v>
      </c>
      <c r="Y143">
        <v>5.8322120689965999E-2</v>
      </c>
      <c r="Z143" s="18"/>
      <c r="AA143" s="19">
        <f t="shared" si="8"/>
        <v>2013</v>
      </c>
      <c r="AB143" s="18">
        <f t="shared" si="9"/>
        <v>2</v>
      </c>
      <c r="AC143" s="20">
        <f>(1+Y143/2)^(-(DATE(AA144,AB144,5)-TradeSum!$B$2)/182.625)</f>
        <v>0.52046890709704252</v>
      </c>
      <c r="AD143" s="24"/>
      <c r="AF143" s="196">
        <v>41306</v>
      </c>
      <c r="AG143">
        <v>5.5100548941522401E-2</v>
      </c>
      <c r="AI143" s="19">
        <f t="shared" si="10"/>
        <v>2013</v>
      </c>
      <c r="AJ143" s="18">
        <f t="shared" si="11"/>
        <v>2</v>
      </c>
      <c r="AK143" s="20">
        <f>(1+AG143/2)^(-(DATE(AI144,AJ144,5)-TradeSum!$B$2)/182.625)</f>
        <v>0.53932374672487293</v>
      </c>
    </row>
    <row r="144" spans="24:37" x14ac:dyDescent="0.2">
      <c r="X144" s="196">
        <v>41334</v>
      </c>
      <c r="Y144">
        <v>5.8390585941887604E-2</v>
      </c>
      <c r="Z144" s="18"/>
      <c r="AA144" s="19">
        <f t="shared" si="8"/>
        <v>2013</v>
      </c>
      <c r="AB144" s="18">
        <f t="shared" si="9"/>
        <v>3</v>
      </c>
      <c r="AC144" s="20">
        <f>(1+Y144/2)^(-(DATE(AA145,AB145,5)-TradeSum!$B$2)/182.625)</f>
        <v>0.51754145986781708</v>
      </c>
      <c r="AD144" s="24"/>
      <c r="AF144" s="196">
        <v>41334</v>
      </c>
      <c r="AG144">
        <v>5.5152970347719606E-2</v>
      </c>
      <c r="AI144" s="19">
        <f t="shared" si="10"/>
        <v>2013</v>
      </c>
      <c r="AJ144" s="18">
        <f t="shared" si="11"/>
        <v>3</v>
      </c>
      <c r="AK144" s="20">
        <f>(1+AG144/2)^(-(DATE(AI145,AJ145,5)-TradeSum!$B$2)/182.625)</f>
        <v>0.53652807781484835</v>
      </c>
    </row>
    <row r="145" spans="24:37" x14ac:dyDescent="0.2">
      <c r="X145" s="196">
        <v>41365</v>
      </c>
      <c r="Y145">
        <v>5.8466386758333495E-2</v>
      </c>
      <c r="Z145" s="18"/>
      <c r="AA145" s="19">
        <f t="shared" si="8"/>
        <v>2013</v>
      </c>
      <c r="AB145" s="18">
        <f t="shared" si="9"/>
        <v>4</v>
      </c>
      <c r="AC145" s="20">
        <f>(1+Y145/2)^(-(DATE(AA146,AB146,5)-TradeSum!$B$2)/182.625)</f>
        <v>0.51466359083261337</v>
      </c>
      <c r="AD145" s="24"/>
      <c r="AF145" s="196">
        <v>41365</v>
      </c>
      <c r="AG145">
        <v>5.5211008334220303E-2</v>
      </c>
      <c r="AI145" s="19">
        <f t="shared" si="10"/>
        <v>2013</v>
      </c>
      <c r="AJ145" s="18">
        <f t="shared" si="11"/>
        <v>4</v>
      </c>
      <c r="AK145" s="20">
        <f>(1+AG145/2)^(-(DATE(AI146,AJ146,5)-TradeSum!$B$2)/182.625)</f>
        <v>0.53378824175707806</v>
      </c>
    </row>
    <row r="146" spans="24:37" x14ac:dyDescent="0.2">
      <c r="X146" s="196">
        <v>41395</v>
      </c>
      <c r="Y146">
        <v>5.8539742388970903E-2</v>
      </c>
      <c r="Z146" s="18"/>
      <c r="AA146" s="19">
        <f t="shared" si="8"/>
        <v>2013</v>
      </c>
      <c r="AB146" s="18">
        <f t="shared" si="9"/>
        <v>5</v>
      </c>
      <c r="AC146" s="20">
        <f>(1+Y146/2)^(-(DATE(AA147,AB147,5)-TradeSum!$B$2)/182.625)</f>
        <v>0.51172881776491908</v>
      </c>
      <c r="AD146" s="24"/>
      <c r="AF146" s="196">
        <v>41395</v>
      </c>
      <c r="AG146">
        <v>5.5267174128676107E-2</v>
      </c>
      <c r="AI146" s="19">
        <f t="shared" si="10"/>
        <v>2013</v>
      </c>
      <c r="AJ146" s="18">
        <f t="shared" si="11"/>
        <v>5</v>
      </c>
      <c r="AK146" s="20">
        <f>(1+AG146/2)^(-(DATE(AI147,AJ147,5)-TradeSum!$B$2)/182.625)</f>
        <v>0.530989449438108</v>
      </c>
    </row>
    <row r="147" spans="24:37" x14ac:dyDescent="0.2">
      <c r="X147" s="196">
        <v>41426</v>
      </c>
      <c r="Y147">
        <v>5.8615543209176398E-2</v>
      </c>
      <c r="Z147" s="18"/>
      <c r="AA147" s="19">
        <f t="shared" si="8"/>
        <v>2013</v>
      </c>
      <c r="AB147" s="18">
        <f t="shared" si="9"/>
        <v>6</v>
      </c>
      <c r="AC147" s="20">
        <f>(1+Y147/2)^(-(DATE(AA148,AB148,5)-TradeSum!$B$2)/182.625)</f>
        <v>0.50887098612004045</v>
      </c>
      <c r="AD147" s="24"/>
      <c r="AF147" s="196">
        <v>41426</v>
      </c>
      <c r="AG147">
        <v>5.5325212117383997E-2</v>
      </c>
      <c r="AI147" s="19">
        <f t="shared" si="10"/>
        <v>2013</v>
      </c>
      <c r="AJ147" s="18">
        <f t="shared" si="11"/>
        <v>6</v>
      </c>
      <c r="AK147" s="20">
        <f>(1+AG147/2)^(-(DATE(AI148,AJ148,5)-TradeSum!$B$2)/182.625)</f>
        <v>0.52826811115751326</v>
      </c>
    </row>
    <row r="148" spans="24:37" x14ac:dyDescent="0.2">
      <c r="X148" s="196">
        <v>41456</v>
      </c>
      <c r="Y148">
        <v>5.8688898843451701E-2</v>
      </c>
      <c r="Z148" s="18"/>
      <c r="AA148" s="19">
        <f t="shared" si="8"/>
        <v>2013</v>
      </c>
      <c r="AB148" s="18">
        <f t="shared" si="9"/>
        <v>7</v>
      </c>
      <c r="AC148" s="20">
        <f>(1+Y148/2)^(-(DATE(AA149,AB149,5)-TradeSum!$B$2)/182.625)</f>
        <v>0.50595702959615663</v>
      </c>
      <c r="AD148" s="24"/>
      <c r="AF148" s="196">
        <v>41456</v>
      </c>
      <c r="AG148">
        <v>5.5381377913975398E-2</v>
      </c>
      <c r="AI148" s="19">
        <f t="shared" si="10"/>
        <v>2013</v>
      </c>
      <c r="AJ148" s="18">
        <f t="shared" si="11"/>
        <v>7</v>
      </c>
      <c r="AK148" s="20">
        <f>(1+AG148/2)^(-(DATE(AI149,AJ149,5)-TradeSum!$B$2)/182.625)</f>
        <v>0.52548852781388833</v>
      </c>
    </row>
    <row r="149" spans="24:37" x14ac:dyDescent="0.2">
      <c r="X149" s="196">
        <v>41487</v>
      </c>
      <c r="Y149">
        <v>5.8764699667416501E-2</v>
      </c>
      <c r="Z149" s="18"/>
      <c r="AA149" s="19">
        <f t="shared" si="8"/>
        <v>2013</v>
      </c>
      <c r="AB149" s="18">
        <f t="shared" si="9"/>
        <v>8</v>
      </c>
      <c r="AC149" s="20">
        <f>(1+Y149/2)^(-(DATE(AA150,AB150,5)-TradeSum!$B$2)/182.625)</f>
        <v>0.50303951328441987</v>
      </c>
      <c r="AD149" s="24"/>
      <c r="AF149" s="196">
        <v>41487</v>
      </c>
      <c r="AG149">
        <v>5.54394159048908E-2</v>
      </c>
      <c r="AI149" s="19">
        <f t="shared" si="10"/>
        <v>2013</v>
      </c>
      <c r="AJ149" s="18">
        <f t="shared" si="11"/>
        <v>8</v>
      </c>
      <c r="AK149" s="20">
        <f>(1+AG149/2)^(-(DATE(AI150,AJ150,5)-TradeSum!$B$2)/182.625)</f>
        <v>0.52270743329691649</v>
      </c>
    </row>
    <row r="150" spans="24:37" x14ac:dyDescent="0.2">
      <c r="X150" s="196">
        <v>41518</v>
      </c>
      <c r="Y150">
        <v>5.8840500493290801E-2</v>
      </c>
      <c r="Z150" s="18"/>
      <c r="AA150" s="19">
        <f t="shared" si="8"/>
        <v>2013</v>
      </c>
      <c r="AB150" s="18">
        <f t="shared" si="9"/>
        <v>9</v>
      </c>
      <c r="AC150" s="20">
        <f>(1+Y150/2)^(-(DATE(AA151,AB151,5)-TradeSum!$B$2)/182.625)</f>
        <v>0.50021199835676999</v>
      </c>
      <c r="AD150" s="24"/>
      <c r="AF150" s="196">
        <v>41518</v>
      </c>
      <c r="AG150">
        <v>5.5497453896928006E-2</v>
      </c>
      <c r="AI150" s="19">
        <f t="shared" si="10"/>
        <v>2013</v>
      </c>
      <c r="AJ150" s="18">
        <f t="shared" si="11"/>
        <v>9</v>
      </c>
      <c r="AK150" s="20">
        <f>(1+AG150/2)^(-(DATE(AI151,AJ151,5)-TradeSum!$B$2)/182.625)</f>
        <v>0.52001401376883349</v>
      </c>
    </row>
    <row r="151" spans="24:37" x14ac:dyDescent="0.2">
      <c r="X151" s="196">
        <v>41548</v>
      </c>
      <c r="Y151">
        <v>5.8913856133052903E-2</v>
      </c>
      <c r="Z151" s="18"/>
      <c r="AA151" s="19">
        <f t="shared" si="8"/>
        <v>2013</v>
      </c>
      <c r="AB151" s="18">
        <f t="shared" si="9"/>
        <v>10</v>
      </c>
      <c r="AC151" s="20">
        <f>(1+Y151/2)^(-(DATE(AA152,AB152,5)-TradeSum!$B$2)/182.625)</f>
        <v>0.49732952023709898</v>
      </c>
      <c r="AD151" s="24"/>
      <c r="AF151" s="196">
        <v>41548</v>
      </c>
      <c r="AG151">
        <v>5.5553619696740802E-2</v>
      </c>
      <c r="AI151" s="19">
        <f t="shared" si="10"/>
        <v>2013</v>
      </c>
      <c r="AJ151" s="18">
        <f t="shared" si="11"/>
        <v>10</v>
      </c>
      <c r="AK151" s="20">
        <f>(1+AG151/2)^(-(DATE(AI152,AJ152,5)-TradeSum!$B$2)/182.625)</f>
        <v>0.5172634105889079</v>
      </c>
    </row>
    <row r="152" spans="24:37" x14ac:dyDescent="0.2">
      <c r="X152" s="196">
        <v>41579</v>
      </c>
      <c r="Y152">
        <v>5.8989656962686002E-2</v>
      </c>
      <c r="Z152" s="18"/>
      <c r="AA152" s="19">
        <f t="shared" si="8"/>
        <v>2013</v>
      </c>
      <c r="AB152" s="18">
        <f t="shared" si="9"/>
        <v>11</v>
      </c>
      <c r="AC152" s="20">
        <f>(1+Y152/2)^(-(DATE(AA153,AB153,5)-TradeSum!$B$2)/182.625)</f>
        <v>0.49452216534483728</v>
      </c>
      <c r="AD152" s="24"/>
      <c r="AF152" s="196">
        <v>41579</v>
      </c>
      <c r="AG152">
        <v>5.5611657690984598E-2</v>
      </c>
      <c r="AI152" s="19">
        <f t="shared" si="10"/>
        <v>2013</v>
      </c>
      <c r="AJ152" s="18">
        <f t="shared" si="11"/>
        <v>11</v>
      </c>
      <c r="AK152" s="20">
        <f>(1+AG152/2)^(-(DATE(AI153,AJ153,5)-TradeSum!$B$2)/182.625)</f>
        <v>0.5145885127579406</v>
      </c>
    </row>
    <row r="153" spans="24:37" x14ac:dyDescent="0.2">
      <c r="X153" s="196">
        <v>41609</v>
      </c>
      <c r="Y153">
        <v>5.9063012606085201E-2</v>
      </c>
      <c r="Z153" s="18"/>
      <c r="AA153" s="19">
        <f t="shared" si="8"/>
        <v>2013</v>
      </c>
      <c r="AB153" s="18">
        <f t="shared" si="9"/>
        <v>12</v>
      </c>
      <c r="AC153" s="20">
        <f>(1+Y153/2)^(-(DATE(AA154,AB154,5)-TradeSum!$B$2)/182.625)</f>
        <v>0.49166060861155236</v>
      </c>
      <c r="AD153" s="24"/>
      <c r="AF153" s="196">
        <v>41609</v>
      </c>
      <c r="AG153">
        <v>5.5667823492933997E-2</v>
      </c>
      <c r="AI153" s="19">
        <f t="shared" si="10"/>
        <v>2013</v>
      </c>
      <c r="AJ153" s="18">
        <f t="shared" si="11"/>
        <v>12</v>
      </c>
      <c r="AK153" s="20">
        <f>(1+AG153/2)^(-(DATE(AI154,AJ154,5)-TradeSum!$B$2)/182.625)</f>
        <v>0.51185712761453872</v>
      </c>
    </row>
    <row r="154" spans="24:37" x14ac:dyDescent="0.2">
      <c r="X154" s="196">
        <v>41640</v>
      </c>
      <c r="Y154">
        <v>5.9138813439477002E-2</v>
      </c>
      <c r="Z154" s="18"/>
      <c r="AA154" s="19">
        <f t="shared" si="8"/>
        <v>2014</v>
      </c>
      <c r="AB154" s="18">
        <f t="shared" si="9"/>
        <v>1</v>
      </c>
      <c r="AC154" s="20">
        <f>(1+Y154/2)^(-(DATE(AA155,AB155,5)-TradeSum!$B$2)/182.625)</f>
        <v>0.48879545535064906</v>
      </c>
      <c r="AD154" s="24"/>
      <c r="AF154" s="196">
        <v>41640</v>
      </c>
      <c r="AG154">
        <v>5.5725861489384999E-2</v>
      </c>
      <c r="AI154" s="19">
        <f t="shared" si="10"/>
        <v>2014</v>
      </c>
      <c r="AJ154" s="18">
        <f t="shared" si="11"/>
        <v>1</v>
      </c>
      <c r="AK154" s="20">
        <f>(1+AG154/2)^(-(DATE(AI155,AJ155,5)-TradeSum!$B$2)/182.625)</f>
        <v>0.50912413728153472</v>
      </c>
    </row>
    <row r="155" spans="24:37" x14ac:dyDescent="0.2">
      <c r="X155" s="196">
        <v>41671</v>
      </c>
      <c r="Y155">
        <v>5.9214614274778504E-2</v>
      </c>
      <c r="Z155" s="18"/>
      <c r="AA155" s="19">
        <f t="shared" si="8"/>
        <v>2014</v>
      </c>
      <c r="AB155" s="18">
        <f t="shared" si="9"/>
        <v>2</v>
      </c>
      <c r="AC155" s="20">
        <f>(1+Y155/2)^(-(DATE(AA156,AB156,5)-TradeSum!$B$2)/182.625)</f>
        <v>0.48617390991601506</v>
      </c>
      <c r="AD155" s="24"/>
      <c r="AF155" s="196">
        <v>41671</v>
      </c>
      <c r="AG155">
        <v>5.5783899486957306E-2</v>
      </c>
      <c r="AI155" s="19">
        <f t="shared" si="10"/>
        <v>2014</v>
      </c>
      <c r="AJ155" s="18">
        <f t="shared" si="11"/>
        <v>2</v>
      </c>
      <c r="AK155" s="20">
        <f>(1+AG155/2)^(-(DATE(AI156,AJ156,5)-TradeSum!$B$2)/182.625)</f>
        <v>0.50662979517540663</v>
      </c>
    </row>
    <row r="156" spans="24:37" x14ac:dyDescent="0.2">
      <c r="X156" s="196">
        <v>41699</v>
      </c>
      <c r="Y156">
        <v>5.9283079547014998E-2</v>
      </c>
      <c r="Z156" s="18"/>
      <c r="AA156" s="19">
        <f t="shared" si="8"/>
        <v>2014</v>
      </c>
      <c r="AB156" s="18">
        <f t="shared" si="9"/>
        <v>3</v>
      </c>
      <c r="AC156" s="20">
        <f>(1+Y156/2)^(-(DATE(AA157,AB157,5)-TradeSum!$B$2)/182.625)</f>
        <v>0.48337182445549404</v>
      </c>
      <c r="AD156" s="24"/>
      <c r="AF156" s="196">
        <v>41699</v>
      </c>
      <c r="AG156">
        <v>5.5836320905083205E-2</v>
      </c>
      <c r="AI156" s="19">
        <f t="shared" si="10"/>
        <v>2014</v>
      </c>
      <c r="AJ156" s="18">
        <f t="shared" si="11"/>
        <v>3</v>
      </c>
      <c r="AK156" s="20">
        <f>(1+AG156/2)^(-(DATE(AI157,AJ157,5)-TradeSum!$B$2)/182.625)</f>
        <v>0.5039495725048464</v>
      </c>
    </row>
    <row r="157" spans="24:37" x14ac:dyDescent="0.2">
      <c r="X157" s="196">
        <v>41730</v>
      </c>
      <c r="Y157">
        <v>5.9358880385951301E-2</v>
      </c>
      <c r="Z157" s="18"/>
      <c r="AA157" s="19">
        <f t="shared" si="8"/>
        <v>2014</v>
      </c>
      <c r="AB157" s="18">
        <f t="shared" si="9"/>
        <v>4</v>
      </c>
      <c r="AC157" s="20">
        <f>(1+Y157/2)^(-(DATE(AA158,AB158,5)-TradeSum!$B$2)/182.625)</f>
        <v>0.48061455048185109</v>
      </c>
      <c r="AD157" s="24"/>
      <c r="AF157" s="196">
        <v>41730</v>
      </c>
      <c r="AG157">
        <v>5.5894358904790199E-2</v>
      </c>
      <c r="AI157" s="19">
        <f t="shared" si="10"/>
        <v>2014</v>
      </c>
      <c r="AJ157" s="18">
        <f t="shared" si="11"/>
        <v>4</v>
      </c>
      <c r="AK157" s="20">
        <f>(1+AG157/2)^(-(DATE(AI158,AJ158,5)-TradeSum!$B$2)/182.625)</f>
        <v>0.50132054351666722</v>
      </c>
    </row>
    <row r="158" spans="24:37" x14ac:dyDescent="0.2">
      <c r="X158" s="196">
        <v>41760</v>
      </c>
      <c r="Y158">
        <v>5.94322360383535E-2</v>
      </c>
      <c r="Z158" s="18"/>
      <c r="AA158" s="19">
        <f t="shared" si="8"/>
        <v>2014</v>
      </c>
      <c r="AB158" s="18">
        <f t="shared" si="9"/>
        <v>5</v>
      </c>
      <c r="AC158" s="20">
        <f>(1+Y158/2)^(-(DATE(AA159,AB159,5)-TradeSum!$B$2)/182.625)</f>
        <v>0.47780492884698328</v>
      </c>
      <c r="AD158" s="24"/>
      <c r="AF158" s="196">
        <v>41760</v>
      </c>
      <c r="AG158">
        <v>5.5950524712026002E-2</v>
      </c>
      <c r="AI158" s="19">
        <f t="shared" si="10"/>
        <v>2014</v>
      </c>
      <c r="AJ158" s="18">
        <f t="shared" si="11"/>
        <v>5</v>
      </c>
      <c r="AK158" s="20">
        <f>(1+AG158/2)^(-(DATE(AI159,AJ159,5)-TradeSum!$B$2)/182.625)</f>
        <v>0.49863672555826866</v>
      </c>
    </row>
    <row r="159" spans="24:37" x14ac:dyDescent="0.2">
      <c r="X159" s="196">
        <v>41791</v>
      </c>
      <c r="Y159">
        <v>5.9508036881047201E-2</v>
      </c>
      <c r="Z159" s="18"/>
      <c r="AA159" s="19">
        <f t="shared" si="8"/>
        <v>2014</v>
      </c>
      <c r="AB159" s="18">
        <f t="shared" si="9"/>
        <v>6</v>
      </c>
      <c r="AC159" s="20">
        <f>(1+Y159/2)^(-(DATE(AA160,AB160,5)-TradeSum!$B$2)/182.625)</f>
        <v>0.47506794866468077</v>
      </c>
      <c r="AD159" s="24"/>
      <c r="AF159" s="196">
        <v>41791</v>
      </c>
      <c r="AG159">
        <v>5.6008562713939301E-2</v>
      </c>
      <c r="AI159" s="19">
        <f t="shared" si="10"/>
        <v>2014</v>
      </c>
      <c r="AJ159" s="18">
        <f t="shared" si="11"/>
        <v>6</v>
      </c>
      <c r="AK159" s="20">
        <f>(1+AG159/2)^(-(DATE(AI160,AJ160,5)-TradeSum!$B$2)/182.625)</f>
        <v>0.49602622894944143</v>
      </c>
    </row>
    <row r="160" spans="24:37" x14ac:dyDescent="0.2">
      <c r="X160" s="196">
        <v>41821</v>
      </c>
      <c r="Y160">
        <v>5.9581392537085595E-2</v>
      </c>
      <c r="Z160" s="18"/>
      <c r="AA160" s="19">
        <f t="shared" si="8"/>
        <v>2014</v>
      </c>
      <c r="AB160" s="18">
        <f t="shared" si="9"/>
        <v>7</v>
      </c>
      <c r="AC160" s="20">
        <f>(1+Y160/2)^(-(DATE(AA161,AB161,5)-TradeSum!$B$2)/182.625)</f>
        <v>0.47227935756949752</v>
      </c>
      <c r="AD160" s="24"/>
      <c r="AF160" s="196">
        <v>41821</v>
      </c>
      <c r="AG160">
        <v>5.6064728523310202E-2</v>
      </c>
      <c r="AI160" s="19">
        <f t="shared" si="10"/>
        <v>2014</v>
      </c>
      <c r="AJ160" s="18">
        <f t="shared" si="11"/>
        <v>7</v>
      </c>
      <c r="AK160" s="20">
        <f>(1+AG160/2)^(-(DATE(AI161,AJ161,5)-TradeSum!$B$2)/182.625)</f>
        <v>0.49336161923123756</v>
      </c>
    </row>
    <row r="161" spans="24:37" x14ac:dyDescent="0.2">
      <c r="X161" s="196">
        <v>41852</v>
      </c>
      <c r="Y161">
        <v>5.9657193383537296E-2</v>
      </c>
      <c r="Z161" s="18"/>
      <c r="AA161" s="19">
        <f t="shared" si="8"/>
        <v>2014</v>
      </c>
      <c r="AB161" s="18">
        <f t="shared" si="9"/>
        <v>8</v>
      </c>
      <c r="AC161" s="20">
        <f>(1+Y161/2)^(-(DATE(AA162,AB162,5)-TradeSum!$B$2)/182.625)</f>
        <v>0.46948713488280447</v>
      </c>
      <c r="AD161" s="24"/>
      <c r="AF161" s="196">
        <v>41852</v>
      </c>
      <c r="AG161">
        <v>5.6122766527430201E-2</v>
      </c>
      <c r="AI161" s="19">
        <f t="shared" si="10"/>
        <v>2014</v>
      </c>
      <c r="AJ161" s="18">
        <f t="shared" si="11"/>
        <v>8</v>
      </c>
      <c r="AK161" s="20">
        <f>(1+AG161/2)^(-(DATE(AI162,AJ162,5)-TradeSum!$B$2)/182.625)</f>
        <v>0.49069528807090268</v>
      </c>
    </row>
    <row r="162" spans="24:37" x14ac:dyDescent="0.2">
      <c r="X162" s="196">
        <v>41883</v>
      </c>
      <c r="Y162">
        <v>5.9732994231897998E-2</v>
      </c>
      <c r="Z162" s="18"/>
      <c r="AA162" s="19">
        <f t="shared" si="8"/>
        <v>2014</v>
      </c>
      <c r="AB162" s="18">
        <f t="shared" si="9"/>
        <v>9</v>
      </c>
      <c r="AC162" s="20">
        <f>(1+Y162/2)^(-(DATE(AA163,AB163,5)-TradeSum!$B$2)/182.625)</f>
        <v>0.46678081904547958</v>
      </c>
      <c r="AD162" s="24"/>
      <c r="AF162" s="196">
        <v>41883</v>
      </c>
      <c r="AG162">
        <v>5.61808045326719E-2</v>
      </c>
      <c r="AI162" s="19">
        <f t="shared" si="10"/>
        <v>2014</v>
      </c>
      <c r="AJ162" s="18">
        <f t="shared" si="11"/>
        <v>9</v>
      </c>
      <c r="AK162" s="20">
        <f>(1+AG162/2)^(-(DATE(AI163,AJ163,5)-TradeSum!$B$2)/182.625)</f>
        <v>0.48811273816354228</v>
      </c>
    </row>
    <row r="163" spans="24:37" x14ac:dyDescent="0.2">
      <c r="X163" s="196">
        <v>41913</v>
      </c>
      <c r="Y163">
        <v>5.9806349893420499E-2</v>
      </c>
      <c r="Z163" s="18"/>
      <c r="AA163" s="19">
        <f t="shared" si="8"/>
        <v>2014</v>
      </c>
      <c r="AB163" s="18">
        <f t="shared" si="9"/>
        <v>10</v>
      </c>
      <c r="AC163" s="20">
        <f>(1+Y163/2)^(-(DATE(AA164,AB164,5)-TradeSum!$B$2)/182.625)</f>
        <v>0.46402399010797912</v>
      </c>
      <c r="AD163" s="24"/>
      <c r="AF163" s="196">
        <v>41913</v>
      </c>
      <c r="AG163">
        <v>5.6236970345263405E-2</v>
      </c>
      <c r="AI163" s="19">
        <f t="shared" si="10"/>
        <v>2014</v>
      </c>
      <c r="AJ163" s="18">
        <f t="shared" si="11"/>
        <v>10</v>
      </c>
      <c r="AK163" s="20">
        <f>(1+AG163/2)^(-(DATE(AI164,AJ164,5)-TradeSum!$B$2)/182.625)</f>
        <v>0.48547708338791595</v>
      </c>
    </row>
    <row r="164" spans="24:37" x14ac:dyDescent="0.2">
      <c r="X164" s="196">
        <v>41944</v>
      </c>
      <c r="Y164">
        <v>5.98821507455383E-2</v>
      </c>
      <c r="Z164" s="18"/>
      <c r="AA164" s="19">
        <f t="shared" si="8"/>
        <v>2014</v>
      </c>
      <c r="AB164" s="18">
        <f t="shared" si="9"/>
        <v>11</v>
      </c>
      <c r="AC164" s="20">
        <f>(1+Y164/2)^(-(DATE(AA165,AB165,5)-TradeSum!$B$2)/182.625)</f>
        <v>0.46133803917807492</v>
      </c>
      <c r="AD164" s="24"/>
      <c r="AF164" s="196">
        <v>41944</v>
      </c>
      <c r="AG164">
        <v>5.6295008352711E-2</v>
      </c>
      <c r="AI164" s="19">
        <f t="shared" si="10"/>
        <v>2014</v>
      </c>
      <c r="AJ164" s="18">
        <f t="shared" si="11"/>
        <v>11</v>
      </c>
      <c r="AK164" s="20">
        <f>(1+AG164/2)^(-(DATE(AI165,AJ165,5)-TradeSum!$B$2)/182.625)</f>
        <v>0.48291305783499106</v>
      </c>
    </row>
    <row r="165" spans="24:37" x14ac:dyDescent="0.2">
      <c r="X165" s="196">
        <v>41974</v>
      </c>
      <c r="Y165">
        <v>5.9955506410696503E-2</v>
      </c>
      <c r="Z165" s="18"/>
      <c r="AA165" s="19">
        <f t="shared" si="8"/>
        <v>2014</v>
      </c>
      <c r="AB165" s="18">
        <f t="shared" si="9"/>
        <v>12</v>
      </c>
      <c r="AC165" s="20">
        <f>(1+Y165/2)^(-(DATE(AA166,AB166,5)-TradeSum!$B$2)/182.625)</f>
        <v>0.45860229421100301</v>
      </c>
      <c r="AD165" s="24"/>
      <c r="AF165" s="196">
        <v>41974</v>
      </c>
      <c r="AG165">
        <v>5.6351174167438102E-2</v>
      </c>
      <c r="AI165" s="19">
        <f t="shared" si="10"/>
        <v>2014</v>
      </c>
      <c r="AJ165" s="18">
        <f t="shared" si="11"/>
        <v>12</v>
      </c>
      <c r="AK165" s="20">
        <f>(1+AG165/2)^(-(DATE(AI166,AJ166,5)-TradeSum!$B$2)/182.625)</f>
        <v>0.48029658858779761</v>
      </c>
    </row>
    <row r="166" spans="24:37" x14ac:dyDescent="0.2">
      <c r="X166" s="196">
        <v>42005</v>
      </c>
      <c r="Y166">
        <v>6.0031307266570806E-2</v>
      </c>
      <c r="Z166" s="18"/>
      <c r="AA166" s="19">
        <f t="shared" si="8"/>
        <v>2015</v>
      </c>
      <c r="AB166" s="18">
        <f t="shared" si="9"/>
        <v>1</v>
      </c>
      <c r="AC166" s="20">
        <f>(1+Y166/2)^(-(DATE(AA167,AB167,5)-TradeSum!$B$2)/182.625)</f>
        <v>0.45586290305395089</v>
      </c>
      <c r="AD166" s="24"/>
      <c r="AF166" s="196">
        <v>42005</v>
      </c>
      <c r="AG166">
        <v>5.64092121770918E-2</v>
      </c>
      <c r="AI166" s="19">
        <f t="shared" si="10"/>
        <v>2015</v>
      </c>
      <c r="AJ166" s="18">
        <f t="shared" si="11"/>
        <v>1</v>
      </c>
      <c r="AK166" s="20">
        <f>(1+AG166/2)^(-(DATE(AI167,AJ167,5)-TradeSum!$B$2)/182.625)</f>
        <v>0.47767832362818635</v>
      </c>
    </row>
    <row r="167" spans="24:37" x14ac:dyDescent="0.2">
      <c r="X167" s="196">
        <v>42036</v>
      </c>
      <c r="Y167">
        <v>6.0107108124355206E-2</v>
      </c>
      <c r="Z167" s="18"/>
      <c r="AA167" s="19">
        <f t="shared" si="8"/>
        <v>2015</v>
      </c>
      <c r="AB167" s="18">
        <f t="shared" si="9"/>
        <v>2</v>
      </c>
      <c r="AC167" s="20">
        <f>(1+Y167/2)^(-(DATE(AA168,AB168,5)-TradeSum!$B$2)/182.625)</f>
        <v>0.45335469793580396</v>
      </c>
      <c r="AD167" s="24"/>
      <c r="AF167" s="196">
        <v>42036</v>
      </c>
      <c r="AG167">
        <v>5.6467250187866906E-2</v>
      </c>
      <c r="AI167" s="19">
        <f t="shared" si="10"/>
        <v>2015</v>
      </c>
      <c r="AJ167" s="18">
        <f t="shared" si="11"/>
        <v>2</v>
      </c>
      <c r="AK167" s="20">
        <f>(1+AG167/2)^(-(DATE(AI168,AJ168,5)-TradeSum!$B$2)/182.625)</f>
        <v>0.47528712227979969</v>
      </c>
    </row>
    <row r="168" spans="24:37" x14ac:dyDescent="0.2">
      <c r="X168" s="196">
        <v>42064</v>
      </c>
      <c r="Y168">
        <v>6.0175573416897207E-2</v>
      </c>
      <c r="Z168" s="18"/>
      <c r="AA168" s="19">
        <f t="shared" si="8"/>
        <v>2015</v>
      </c>
      <c r="AB168" s="18">
        <f t="shared" si="9"/>
        <v>3</v>
      </c>
      <c r="AC168" s="20">
        <f>(1+Y168/2)^(-(DATE(AA169,AB169,5)-TradeSum!$B$2)/182.625)</f>
        <v>0.45067884037003519</v>
      </c>
      <c r="AD168" s="24"/>
      <c r="AF168" s="196">
        <v>42064</v>
      </c>
      <c r="AG168">
        <v>5.6519671617917502E-2</v>
      </c>
      <c r="AI168" s="19">
        <f t="shared" si="10"/>
        <v>2015</v>
      </c>
      <c r="AJ168" s="18">
        <f t="shared" si="11"/>
        <v>3</v>
      </c>
      <c r="AK168" s="20">
        <f>(1+AG168/2)^(-(DATE(AI169,AJ169,5)-TradeSum!$B$2)/182.625)</f>
        <v>0.47272205640180232</v>
      </c>
    </row>
    <row r="169" spans="24:37" x14ac:dyDescent="0.2">
      <c r="X169" s="196">
        <v>42095</v>
      </c>
      <c r="Y169">
        <v>6.0251374278314597E-2</v>
      </c>
      <c r="Z169" s="18"/>
      <c r="AA169" s="19">
        <f t="shared" si="8"/>
        <v>2015</v>
      </c>
      <c r="AB169" s="18">
        <f t="shared" si="9"/>
        <v>4</v>
      </c>
      <c r="AC169" s="20">
        <f>(1+Y169/2)^(-(DATE(AA170,AB170,5)-TradeSum!$B$2)/182.625)</f>
        <v>0.44804339105734164</v>
      </c>
      <c r="AD169" s="24"/>
      <c r="AF169" s="196">
        <v>42095</v>
      </c>
      <c r="AG169">
        <v>5.6577709630826402E-2</v>
      </c>
      <c r="AI169" s="19">
        <f t="shared" si="10"/>
        <v>2015</v>
      </c>
      <c r="AJ169" s="18">
        <f t="shared" si="11"/>
        <v>4</v>
      </c>
      <c r="AK169" s="20">
        <f>(1+AG169/2)^(-(DATE(AI170,AJ170,5)-TradeSum!$B$2)/182.625)</f>
        <v>0.47020385279031113</v>
      </c>
    </row>
    <row r="170" spans="24:37" x14ac:dyDescent="0.2">
      <c r="X170" s="196">
        <v>42125</v>
      </c>
      <c r="Y170">
        <v>6.0324729952471401E-2</v>
      </c>
      <c r="Z170" s="18"/>
      <c r="AA170" s="19">
        <f t="shared" si="8"/>
        <v>2015</v>
      </c>
      <c r="AB170" s="18">
        <f t="shared" si="9"/>
        <v>5</v>
      </c>
      <c r="AC170" s="20">
        <f>(1+Y170/2)^(-(DATE(AA171,AB171,5)-TradeSum!$B$2)/182.625)</f>
        <v>0.44535989747114479</v>
      </c>
      <c r="AD170" s="24"/>
      <c r="AF170" s="196">
        <v>42125</v>
      </c>
      <c r="AG170">
        <v>5.66338754508382E-2</v>
      </c>
      <c r="AI170" s="19">
        <f t="shared" si="10"/>
        <v>2015</v>
      </c>
      <c r="AJ170" s="18">
        <f t="shared" si="11"/>
        <v>5</v>
      </c>
      <c r="AK170" s="20">
        <f>(1+AG170/2)^(-(DATE(AI171,AJ171,5)-TradeSum!$B$2)/182.625)</f>
        <v>0.46763481710785015</v>
      </c>
    </row>
    <row r="171" spans="24:37" x14ac:dyDescent="0.2">
      <c r="X171" s="196">
        <v>42156</v>
      </c>
      <c r="Y171">
        <v>6.0400530817644502E-2</v>
      </c>
      <c r="Z171" s="18"/>
      <c r="AA171" s="19">
        <f t="shared" si="8"/>
        <v>2015</v>
      </c>
      <c r="AB171" s="18">
        <f t="shared" si="9"/>
        <v>6</v>
      </c>
      <c r="AC171" s="20">
        <f>(1+Y171/2)^(-(DATE(AA172,AB172,5)-TradeSum!$B$2)/182.625)</f>
        <v>0.44274487750965485</v>
      </c>
      <c r="AD171" s="24"/>
      <c r="AF171" s="196">
        <v>42156</v>
      </c>
      <c r="AG171">
        <v>5.6691913465952898E-2</v>
      </c>
      <c r="AI171" s="19">
        <f t="shared" si="10"/>
        <v>2015</v>
      </c>
      <c r="AJ171" s="18">
        <f t="shared" si="11"/>
        <v>6</v>
      </c>
      <c r="AK171" s="20">
        <f>(1+AG171/2)^(-(DATE(AI172,AJ172,5)-TradeSum!$B$2)/182.625)</f>
        <v>0.46513510567919769</v>
      </c>
    </row>
    <row r="172" spans="24:37" x14ac:dyDescent="0.2">
      <c r="X172" s="196">
        <v>42186</v>
      </c>
      <c r="Y172">
        <v>6.0473886495436203E-2</v>
      </c>
      <c r="Z172" s="18"/>
      <c r="AA172" s="19">
        <f t="shared" si="8"/>
        <v>2015</v>
      </c>
      <c r="AB172" s="18">
        <f t="shared" si="9"/>
        <v>7</v>
      </c>
      <c r="AC172" s="20">
        <f>(1+Y172/2)^(-(DATE(AA173,AB173,5)-TradeSum!$B$2)/182.625)</f>
        <v>0.44008250796472026</v>
      </c>
      <c r="AD172" s="24"/>
      <c r="AF172" s="196">
        <v>42186</v>
      </c>
      <c r="AG172">
        <v>5.6748079288098607E-2</v>
      </c>
      <c r="AI172" s="19">
        <f t="shared" si="10"/>
        <v>2015</v>
      </c>
      <c r="AJ172" s="18">
        <f t="shared" si="11"/>
        <v>7</v>
      </c>
      <c r="AK172" s="20">
        <f>(1+AG172/2)^(-(DATE(AI173,AJ173,5)-TradeSum!$B$2)/182.625)</f>
        <v>0.46258520315068224</v>
      </c>
    </row>
    <row r="173" spans="24:37" x14ac:dyDescent="0.2">
      <c r="X173" s="196">
        <v>42217</v>
      </c>
      <c r="Y173">
        <v>6.0549687364364904E-2</v>
      </c>
      <c r="Z173" s="18"/>
      <c r="AA173" s="19">
        <f t="shared" si="8"/>
        <v>2015</v>
      </c>
      <c r="AB173" s="18">
        <f t="shared" si="9"/>
        <v>8</v>
      </c>
      <c r="AC173" s="20">
        <f>(1+Y173/2)^(-(DATE(AA174,AB174,5)-TradeSum!$B$2)/182.625)</f>
        <v>0.43741648574857639</v>
      </c>
      <c r="AD173" s="24"/>
      <c r="AF173" s="196">
        <v>42217</v>
      </c>
      <c r="AG173">
        <v>5.6806117305419103E-2</v>
      </c>
      <c r="AI173" s="19">
        <f t="shared" si="10"/>
        <v>2015</v>
      </c>
      <c r="AJ173" s="18">
        <f t="shared" si="11"/>
        <v>8</v>
      </c>
      <c r="AK173" s="20">
        <f>(1+AG173/2)^(-(DATE(AI174,AJ174,5)-TradeSum!$B$2)/182.625)</f>
        <v>0.46003341460601005</v>
      </c>
    </row>
    <row r="174" spans="24:37" x14ac:dyDescent="0.2">
      <c r="X174" s="196">
        <v>42248</v>
      </c>
      <c r="Y174">
        <v>6.0625488235202904E-2</v>
      </c>
      <c r="Z174" s="18"/>
      <c r="AA174" s="19">
        <f t="shared" si="8"/>
        <v>2015</v>
      </c>
      <c r="AB174" s="18">
        <f t="shared" si="9"/>
        <v>9</v>
      </c>
      <c r="AC174" s="20">
        <f>(1+Y174/2)^(-(DATE(AA175,AB175,5)-TradeSum!$B$2)/182.625)</f>
        <v>0.43483229780262617</v>
      </c>
      <c r="AD174" s="24"/>
      <c r="AF174" s="196">
        <v>42248</v>
      </c>
      <c r="AG174">
        <v>5.6864155323860903E-2</v>
      </c>
      <c r="AI174" s="19">
        <f t="shared" si="10"/>
        <v>2015</v>
      </c>
      <c r="AJ174" s="18">
        <f t="shared" si="11"/>
        <v>9</v>
      </c>
      <c r="AK174" s="20">
        <f>(1+AG174/2)^(-(DATE(AI175,AJ175,5)-TradeSum!$B$2)/182.625)</f>
        <v>0.45756156655872399</v>
      </c>
    </row>
    <row r="175" spans="24:37" x14ac:dyDescent="0.2">
      <c r="X175" s="196">
        <v>42278</v>
      </c>
      <c r="Y175">
        <v>6.0698843918475506E-2</v>
      </c>
      <c r="Z175" s="18"/>
      <c r="AA175" s="19">
        <f t="shared" si="8"/>
        <v>2015</v>
      </c>
      <c r="AB175" s="18">
        <f t="shared" si="9"/>
        <v>10</v>
      </c>
      <c r="AC175" s="20">
        <f>(1+Y175/2)^(-(DATE(AA176,AB176,5)-TradeSum!$B$2)/182.625)</f>
        <v>0.43220179480719617</v>
      </c>
      <c r="AD175" s="24"/>
      <c r="AF175" s="196">
        <v>42278</v>
      </c>
      <c r="AG175">
        <v>5.6920321149226204E-2</v>
      </c>
      <c r="AI175" s="19">
        <f t="shared" si="10"/>
        <v>2015</v>
      </c>
      <c r="AJ175" s="18">
        <f t="shared" si="11"/>
        <v>10</v>
      </c>
      <c r="AK175" s="20">
        <f>(1+AG175/2)^(-(DATE(AI176,AJ176,5)-TradeSum!$B$2)/182.625)</f>
        <v>0.45504048319790508</v>
      </c>
    </row>
    <row r="176" spans="24:37" x14ac:dyDescent="0.2">
      <c r="X176" s="196">
        <v>42309</v>
      </c>
      <c r="Y176">
        <v>6.07746447930686E-2</v>
      </c>
      <c r="Z176" s="18"/>
      <c r="AA176" s="19">
        <f t="shared" si="8"/>
        <v>2015</v>
      </c>
      <c r="AB176" s="18">
        <f t="shared" si="9"/>
        <v>11</v>
      </c>
      <c r="AC176" s="20">
        <f>(1+Y176/2)^(-(DATE(AA177,AB177,5)-TradeSum!$B$2)/182.625)</f>
        <v>0.42963805886435541</v>
      </c>
      <c r="AD176" s="24"/>
      <c r="AF176" s="196">
        <v>42309</v>
      </c>
      <c r="AG176">
        <v>5.6978359169873406E-2</v>
      </c>
      <c r="AI176" s="19">
        <f t="shared" si="10"/>
        <v>2015</v>
      </c>
      <c r="AJ176" s="18">
        <f t="shared" si="11"/>
        <v>11</v>
      </c>
      <c r="AK176" s="20">
        <f>(1+AG176/2)^(-(DATE(AI177,AJ177,5)-TradeSum!$B$2)/182.625)</f>
        <v>0.45258708941584386</v>
      </c>
    </row>
    <row r="177" spans="24:37" x14ac:dyDescent="0.2">
      <c r="X177" s="196">
        <v>42339</v>
      </c>
      <c r="Y177">
        <v>6.08480004799761E-2</v>
      </c>
      <c r="Z177" s="18"/>
      <c r="AA177" s="19">
        <f t="shared" si="8"/>
        <v>2015</v>
      </c>
      <c r="AB177" s="18">
        <f t="shared" si="9"/>
        <v>12</v>
      </c>
      <c r="AC177" s="20">
        <f>(1+Y177/2)^(-(DATE(AA178,AB178,5)-TradeSum!$B$2)/182.625)</f>
        <v>0.42702868508906633</v>
      </c>
      <c r="AD177" s="24"/>
      <c r="AF177" s="196">
        <v>42339</v>
      </c>
      <c r="AG177">
        <v>5.7034524997373395E-2</v>
      </c>
      <c r="AI177" s="19">
        <f t="shared" si="10"/>
        <v>2015</v>
      </c>
      <c r="AJ177" s="18">
        <f t="shared" si="11"/>
        <v>12</v>
      </c>
      <c r="AK177" s="20">
        <f>(1+AG177/2)^(-(DATE(AI178,AJ178,5)-TradeSum!$B$2)/182.625)</f>
        <v>0.45008508682932102</v>
      </c>
    </row>
    <row r="178" spans="24:37" x14ac:dyDescent="0.2">
      <c r="X178" s="196">
        <v>42370</v>
      </c>
      <c r="Y178">
        <v>6.0923801358324002E-2</v>
      </c>
      <c r="Z178" s="18"/>
      <c r="AA178" s="19">
        <f t="shared" si="8"/>
        <v>2016</v>
      </c>
      <c r="AB178" s="18">
        <f t="shared" si="9"/>
        <v>1</v>
      </c>
      <c r="AC178" s="20">
        <f>(1+Y178/2)^(-(DATE(AA179,AB179,5)-TradeSum!$B$2)/182.625)</f>
        <v>0.4244156632024022</v>
      </c>
      <c r="AD178" s="24"/>
      <c r="AF178" s="196">
        <v>42370</v>
      </c>
      <c r="AG178">
        <v>5.7092563020225903E-2</v>
      </c>
      <c r="AI178" s="19">
        <f t="shared" si="10"/>
        <v>2016</v>
      </c>
      <c r="AJ178" s="18">
        <f t="shared" si="11"/>
        <v>1</v>
      </c>
      <c r="AK178" s="20">
        <f>(1+AG178/2)^(-(DATE(AI179,AJ179,5)-TradeSum!$B$2)/182.625)</f>
        <v>0.44758114168843754</v>
      </c>
    </row>
    <row r="179" spans="24:37" x14ac:dyDescent="0.2">
      <c r="X179" s="196">
        <v>42401</v>
      </c>
      <c r="Y179">
        <v>6.09996022385806E-2</v>
      </c>
      <c r="Z179" s="18"/>
      <c r="AA179" s="19">
        <f t="shared" si="8"/>
        <v>2016</v>
      </c>
      <c r="AB179" s="18">
        <f t="shared" si="9"/>
        <v>2</v>
      </c>
      <c r="AC179" s="20">
        <f>(1+Y179/2)^(-(DATE(AA180,AB180,5)-TradeSum!$B$2)/182.625)</f>
        <v>0.42195218905530957</v>
      </c>
      <c r="AD179" s="24"/>
      <c r="AF179" s="196">
        <v>42401</v>
      </c>
      <c r="AG179">
        <v>5.7150601044199306E-2</v>
      </c>
      <c r="AI179" s="19">
        <f t="shared" si="10"/>
        <v>2016</v>
      </c>
      <c r="AJ179" s="18">
        <f t="shared" si="11"/>
        <v>2</v>
      </c>
      <c r="AK179" s="20">
        <f>(1+AG179/2)^(-(DATE(AI180,AJ180,5)-TradeSum!$B$2)/182.625)</f>
        <v>0.44522422714068738</v>
      </c>
    </row>
    <row r="180" spans="24:37" x14ac:dyDescent="0.2">
      <c r="X180" s="196">
        <v>42430</v>
      </c>
      <c r="Y180">
        <v>6.1070512741193003E-2</v>
      </c>
      <c r="Z180" s="18"/>
      <c r="AA180" s="19">
        <f t="shared" si="8"/>
        <v>2016</v>
      </c>
      <c r="AB180" s="18">
        <f t="shared" si="9"/>
        <v>3</v>
      </c>
      <c r="AC180" s="20">
        <f>(1+Y180/2)^(-(DATE(AA181,AB181,5)-TradeSum!$B$2)/182.625)</f>
        <v>0.41938870654945792</v>
      </c>
      <c r="AD180" s="24"/>
      <c r="AF180" s="196">
        <v>42430</v>
      </c>
      <c r="AG180">
        <v>5.7204894680544405E-2</v>
      </c>
      <c r="AI180" s="19">
        <f t="shared" si="10"/>
        <v>2016</v>
      </c>
      <c r="AJ180" s="18">
        <f t="shared" si="11"/>
        <v>3</v>
      </c>
      <c r="AK180" s="20">
        <f>(1+AG180/2)^(-(DATE(AI181,AJ181,5)-TradeSum!$B$2)/182.625)</f>
        <v>0.44276228115182087</v>
      </c>
    </row>
    <row r="181" spans="24:37" x14ac:dyDescent="0.2">
      <c r="X181" s="196">
        <v>42461</v>
      </c>
      <c r="Y181">
        <v>6.1146313625143105E-2</v>
      </c>
      <c r="Z181" s="18"/>
      <c r="AA181" s="19">
        <f t="shared" si="8"/>
        <v>2016</v>
      </c>
      <c r="AB181" s="18">
        <f t="shared" si="9"/>
        <v>4</v>
      </c>
      <c r="AC181" s="20">
        <f>(1+Y181/2)^(-(DATE(AA182,AB182,5)-TradeSum!$B$2)/182.625)</f>
        <v>0.41687594207909207</v>
      </c>
      <c r="AD181" s="24"/>
      <c r="AF181" s="196">
        <v>42461</v>
      </c>
      <c r="AG181">
        <v>5.7262932706686705E-2</v>
      </c>
      <c r="AI181" s="19">
        <f t="shared" si="10"/>
        <v>2016</v>
      </c>
      <c r="AJ181" s="18">
        <f t="shared" si="11"/>
        <v>4</v>
      </c>
      <c r="AK181" s="20">
        <f>(1+AG181/2)^(-(DATE(AI182,AJ182,5)-TradeSum!$B$2)/182.625)</f>
        <v>0.44035478743404366</v>
      </c>
    </row>
    <row r="182" spans="24:37" x14ac:dyDescent="0.2">
      <c r="X182" s="196">
        <v>42491</v>
      </c>
      <c r="Y182">
        <v>6.1219669321104703E-2</v>
      </c>
      <c r="Z182" s="18"/>
      <c r="AA182" s="19">
        <f t="shared" si="8"/>
        <v>2016</v>
      </c>
      <c r="AB182" s="18">
        <f t="shared" si="9"/>
        <v>5</v>
      </c>
      <c r="AC182" s="20">
        <f>(1+Y182/2)^(-(DATE(AA183,AB183,5)-TradeSum!$B$2)/182.625)</f>
        <v>0.41431919713909832</v>
      </c>
      <c r="AD182" s="24"/>
      <c r="AF182" s="196">
        <v>42491</v>
      </c>
      <c r="AG182">
        <v>5.7319098539504204E-2</v>
      </c>
      <c r="AI182" s="19">
        <f t="shared" si="10"/>
        <v>2016</v>
      </c>
      <c r="AJ182" s="18">
        <f t="shared" si="11"/>
        <v>5</v>
      </c>
      <c r="AK182" s="20">
        <f>(1+AG182/2)^(-(DATE(AI183,AJ183,5)-TradeSum!$B$2)/182.625)</f>
        <v>0.43790022113355137</v>
      </c>
    </row>
    <row r="183" spans="24:37" x14ac:dyDescent="0.2">
      <c r="X183" s="196">
        <v>42522</v>
      </c>
      <c r="Y183">
        <v>6.1295470208808704E-2</v>
      </c>
      <c r="Z183" s="18"/>
      <c r="AA183" s="19">
        <f t="shared" si="8"/>
        <v>2016</v>
      </c>
      <c r="AB183" s="18">
        <f t="shared" si="9"/>
        <v>6</v>
      </c>
      <c r="AC183" s="20">
        <f>(1+Y183/2)^(-(DATE(AA184,AB184,5)-TradeSum!$B$2)/182.625)</f>
        <v>0.41182688410518753</v>
      </c>
      <c r="AD183" s="24"/>
      <c r="AF183" s="196">
        <v>42522</v>
      </c>
      <c r="AG183">
        <v>5.73771365678519E-2</v>
      </c>
      <c r="AI183" s="19">
        <f t="shared" si="10"/>
        <v>2016</v>
      </c>
      <c r="AJ183" s="18">
        <f t="shared" si="11"/>
        <v>6</v>
      </c>
      <c r="AK183" s="20">
        <f>(1+AG183/2)^(-(DATE(AI184,AJ184,5)-TradeSum!$B$2)/182.625)</f>
        <v>0.43551110915365254</v>
      </c>
    </row>
    <row r="184" spans="24:37" x14ac:dyDescent="0.2">
      <c r="X184" s="196">
        <v>42552</v>
      </c>
      <c r="Y184">
        <v>6.1368825908403805E-2</v>
      </c>
      <c r="Z184" s="18"/>
      <c r="AA184" s="19">
        <f t="shared" si="8"/>
        <v>2016</v>
      </c>
      <c r="AB184" s="18">
        <f t="shared" si="9"/>
        <v>7</v>
      </c>
      <c r="AC184" s="20">
        <f>(1+Y184/2)^(-(DATE(AA185,AB185,5)-TradeSum!$B$2)/182.625)</f>
        <v>0.40929124368842146</v>
      </c>
      <c r="AD184" s="24"/>
      <c r="AF184" s="196">
        <v>42552</v>
      </c>
      <c r="AG184">
        <v>5.7433302402804198E-2</v>
      </c>
      <c r="AI184" s="19">
        <f t="shared" si="10"/>
        <v>2016</v>
      </c>
      <c r="AJ184" s="18">
        <f t="shared" si="11"/>
        <v>7</v>
      </c>
      <c r="AK184" s="20">
        <f>(1+AG184/2)^(-(DATE(AI185,AJ185,5)-TradeSum!$B$2)/182.625)</f>
        <v>0.43307553114959607</v>
      </c>
    </row>
    <row r="185" spans="24:37" x14ac:dyDescent="0.2">
      <c r="X185" s="196">
        <v>42583</v>
      </c>
      <c r="Y185">
        <v>6.1444626799862095E-2</v>
      </c>
      <c r="Z185" s="18"/>
      <c r="AA185" s="19">
        <f t="shared" si="8"/>
        <v>2016</v>
      </c>
      <c r="AB185" s="18">
        <f t="shared" si="9"/>
        <v>8</v>
      </c>
      <c r="AC185" s="20">
        <f>(1+Y185/2)^(-(DATE(AA186,AB186,5)-TradeSum!$B$2)/182.625)</f>
        <v>0.40675197337361518</v>
      </c>
      <c r="AD185" s="24"/>
      <c r="AF185" s="196">
        <v>42583</v>
      </c>
      <c r="AG185">
        <v>5.7491340433356804E-2</v>
      </c>
      <c r="AI185" s="19">
        <f t="shared" si="10"/>
        <v>2016</v>
      </c>
      <c r="AJ185" s="18">
        <f t="shared" si="11"/>
        <v>8</v>
      </c>
      <c r="AK185" s="20">
        <f>(1+AG185/2)^(-(DATE(AI186,AJ186,5)-TradeSum!$B$2)/182.625)</f>
        <v>0.43063794322939758</v>
      </c>
    </row>
    <row r="186" spans="24:37" x14ac:dyDescent="0.2">
      <c r="X186" s="196">
        <v>42614</v>
      </c>
      <c r="Y186">
        <v>6.15204276932282E-2</v>
      </c>
      <c r="Z186" s="18"/>
      <c r="AA186" s="19">
        <f t="shared" si="8"/>
        <v>2016</v>
      </c>
      <c r="AB186" s="18">
        <f t="shared" si="9"/>
        <v>9</v>
      </c>
      <c r="AC186" s="20">
        <f>(1+Y186/2)^(-(DATE(AA187,AB187,5)-TradeSum!$B$2)/182.625)</f>
        <v>0.4042904912388145</v>
      </c>
      <c r="AD186" s="24"/>
      <c r="AF186" s="196">
        <v>42614</v>
      </c>
      <c r="AG186">
        <v>5.7549378465030304E-2</v>
      </c>
      <c r="AI186" s="19">
        <f t="shared" si="10"/>
        <v>2016</v>
      </c>
      <c r="AJ186" s="18">
        <f t="shared" si="11"/>
        <v>9</v>
      </c>
      <c r="AK186" s="20">
        <f>(1+AG186/2)^(-(DATE(AI187,AJ187,5)-TradeSum!$B$2)/182.625)</f>
        <v>0.42827650689815899</v>
      </c>
    </row>
    <row r="187" spans="24:37" x14ac:dyDescent="0.2">
      <c r="X187" s="196">
        <v>42644</v>
      </c>
      <c r="Y187">
        <v>6.1593783398302002E-2</v>
      </c>
      <c r="Z187" s="18"/>
      <c r="AA187" s="19">
        <f t="shared" si="8"/>
        <v>2016</v>
      </c>
      <c r="AB187" s="18">
        <f t="shared" si="9"/>
        <v>10</v>
      </c>
      <c r="AC187" s="20">
        <f>(1+Y187/2)^(-(DATE(AA188,AB188,5)-TradeSum!$B$2)/182.625)</f>
        <v>0.40178665372896644</v>
      </c>
      <c r="AD187" s="24"/>
      <c r="AF187" s="196">
        <v>42644</v>
      </c>
      <c r="AG187">
        <v>5.7605544303200903E-2</v>
      </c>
      <c r="AI187" s="19">
        <f t="shared" si="10"/>
        <v>2016</v>
      </c>
      <c r="AJ187" s="18">
        <f t="shared" si="11"/>
        <v>10</v>
      </c>
      <c r="AK187" s="20">
        <f>(1+AG187/2)^(-(DATE(AI188,AJ188,5)-TradeSum!$B$2)/182.625)</f>
        <v>0.42586950863113643</v>
      </c>
    </row>
    <row r="188" spans="24:37" x14ac:dyDescent="0.2">
      <c r="X188" s="196">
        <v>42675</v>
      </c>
      <c r="Y188">
        <v>6.1658128138133907E-2</v>
      </c>
      <c r="Z188" s="18"/>
      <c r="AA188" s="19">
        <f t="shared" si="8"/>
        <v>2016</v>
      </c>
      <c r="AB188" s="18">
        <f t="shared" si="9"/>
        <v>11</v>
      </c>
      <c r="AC188" s="20">
        <f>(1+Y188/2)^(-(DATE(AA189,AB189,5)-TradeSum!$B$2)/182.625)</f>
        <v>0.39941267916683881</v>
      </c>
      <c r="AD188" s="24"/>
      <c r="AF188" s="196">
        <v>42675</v>
      </c>
      <c r="AG188">
        <v>5.7663582337079196E-2</v>
      </c>
      <c r="AI188" s="19">
        <f t="shared" si="10"/>
        <v>2016</v>
      </c>
      <c r="AJ188" s="18">
        <f t="shared" si="11"/>
        <v>11</v>
      </c>
      <c r="AK188" s="20">
        <f>(1+AG188/2)^(-(DATE(AI189,AJ189,5)-TradeSum!$B$2)/182.625)</f>
        <v>0.42352638826992339</v>
      </c>
    </row>
    <row r="189" spans="24:37" x14ac:dyDescent="0.2">
      <c r="X189" s="196">
        <v>42705</v>
      </c>
      <c r="Y189">
        <v>6.1688523256072006E-2</v>
      </c>
      <c r="Z189" s="18"/>
      <c r="AA189" s="19">
        <f t="shared" si="8"/>
        <v>2016</v>
      </c>
      <c r="AB189" s="18">
        <f t="shared" si="9"/>
        <v>12</v>
      </c>
      <c r="AC189" s="20">
        <f>(1+Y189/2)^(-(DATE(AA190,AB190,5)-TradeSum!$B$2)/182.625)</f>
        <v>0.39718134219801948</v>
      </c>
      <c r="AD189" s="24"/>
      <c r="AF189" s="196">
        <v>42705</v>
      </c>
      <c r="AG189">
        <v>5.7719748177382797E-2</v>
      </c>
      <c r="AI189" s="19">
        <f t="shared" si="10"/>
        <v>2016</v>
      </c>
      <c r="AJ189" s="18">
        <f t="shared" si="11"/>
        <v>12</v>
      </c>
      <c r="AK189" s="20">
        <f>(1+AG189/2)^(-(DATE(AI190,AJ190,5)-TradeSum!$B$2)/182.625)</f>
        <v>0.42113829834301253</v>
      </c>
    </row>
    <row r="190" spans="24:37" x14ac:dyDescent="0.2">
      <c r="X190" s="196">
        <v>42736</v>
      </c>
      <c r="Y190">
        <v>6.1719931544930197E-2</v>
      </c>
      <c r="Z190" s="18"/>
      <c r="AA190" s="19">
        <f t="shared" si="8"/>
        <v>2017</v>
      </c>
      <c r="AB190" s="18">
        <f t="shared" si="9"/>
        <v>1</v>
      </c>
      <c r="AC190" s="20">
        <f>(1+Y190/2)^(-(DATE(AA191,AB191,5)-TradeSum!$B$2)/182.625)</f>
        <v>0.39495456404662205</v>
      </c>
      <c r="AD190" s="24"/>
      <c r="AF190" s="196">
        <v>42736</v>
      </c>
      <c r="AG190">
        <v>5.7777786213465604E-2</v>
      </c>
      <c r="AI190" s="19">
        <f t="shared" si="10"/>
        <v>2017</v>
      </c>
      <c r="AJ190" s="18">
        <f t="shared" si="11"/>
        <v>1</v>
      </c>
      <c r="AK190" s="20">
        <f>(1+AG190/2)^(-(DATE(AI191,AJ191,5)-TradeSum!$B$2)/182.625)</f>
        <v>0.41874815782320729</v>
      </c>
    </row>
    <row r="191" spans="24:37" x14ac:dyDescent="0.2">
      <c r="X191" s="196">
        <v>42767</v>
      </c>
      <c r="Y191">
        <v>6.1751339834115598E-2</v>
      </c>
      <c r="Z191" s="18"/>
      <c r="AA191" s="19">
        <f t="shared" si="8"/>
        <v>2017</v>
      </c>
      <c r="AB191" s="18">
        <f t="shared" si="9"/>
        <v>2</v>
      </c>
      <c r="AC191" s="20">
        <f>(1+Y191/2)^(-(DATE(AA192,AB192,5)-TradeSum!$B$2)/182.625)</f>
        <v>0.39293447353211375</v>
      </c>
      <c r="AD191" s="24"/>
      <c r="AF191" s="196">
        <v>42767</v>
      </c>
      <c r="AG191">
        <v>5.7835824250669805E-2</v>
      </c>
      <c r="AI191" s="19">
        <f t="shared" si="10"/>
        <v>2017</v>
      </c>
      <c r="AJ191" s="18">
        <f t="shared" si="11"/>
        <v>2</v>
      </c>
      <c r="AK191" s="20">
        <f>(1+AG191/2)^(-(DATE(AI192,AJ192,5)-TradeSum!$B$2)/182.625)</f>
        <v>0.41656263573358326</v>
      </c>
    </row>
    <row r="192" spans="24:37" x14ac:dyDescent="0.2">
      <c r="X192" s="196">
        <v>42795</v>
      </c>
      <c r="Y192">
        <v>6.1779708611725798E-2</v>
      </c>
      <c r="Z192" s="18"/>
      <c r="AA192" s="19">
        <f t="shared" si="8"/>
        <v>2017</v>
      </c>
      <c r="AB192" s="18">
        <f t="shared" si="9"/>
        <v>3</v>
      </c>
      <c r="AC192" s="20">
        <f>(1+Y192/2)^(-(DATE(AA193,AB193,5)-TradeSum!$B$2)/182.625)</f>
        <v>0.39074535968764651</v>
      </c>
      <c r="AD192" s="24"/>
      <c r="AF192" s="196">
        <v>42795</v>
      </c>
      <c r="AG192">
        <v>5.7888245704590599E-2</v>
      </c>
      <c r="AI192" s="19">
        <f t="shared" si="10"/>
        <v>2017</v>
      </c>
      <c r="AJ192" s="18">
        <f t="shared" si="11"/>
        <v>3</v>
      </c>
      <c r="AK192" s="20">
        <f>(1+AG192/2)^(-(DATE(AI193,AJ193,5)-TradeSum!$B$2)/182.625)</f>
        <v>0.41422566351340362</v>
      </c>
    </row>
    <row r="193" spans="24:37" x14ac:dyDescent="0.2">
      <c r="X193" s="196">
        <v>42826</v>
      </c>
      <c r="Y193">
        <v>6.18111169015347E-2</v>
      </c>
      <c r="Z193" s="18"/>
      <c r="AA193" s="19">
        <f t="shared" si="8"/>
        <v>2017</v>
      </c>
      <c r="AB193" s="18">
        <f t="shared" si="9"/>
        <v>4</v>
      </c>
      <c r="AC193" s="20">
        <f>(1+Y193/2)^(-(DATE(AA194,AB194,5)-TradeSum!$B$2)/182.625)</f>
        <v>0.38861360230825881</v>
      </c>
      <c r="AD193" s="24"/>
      <c r="AF193" s="196">
        <v>42826</v>
      </c>
      <c r="AG193">
        <v>5.7946283743926401E-2</v>
      </c>
      <c r="AI193" s="19">
        <f t="shared" si="10"/>
        <v>2017</v>
      </c>
      <c r="AJ193" s="18">
        <f t="shared" si="11"/>
        <v>4</v>
      </c>
      <c r="AK193" s="20">
        <f>(1+AG193/2)^(-(DATE(AI194,AJ194,5)-TradeSum!$B$2)/182.625)</f>
        <v>0.41192775296559414</v>
      </c>
    </row>
    <row r="194" spans="24:37" x14ac:dyDescent="0.2">
      <c r="X194" s="196">
        <v>42856</v>
      </c>
      <c r="Y194">
        <v>6.1841512021016502E-2</v>
      </c>
      <c r="Z194" s="18"/>
      <c r="AA194" s="19">
        <f t="shared" si="8"/>
        <v>2017</v>
      </c>
      <c r="AB194" s="18">
        <f t="shared" si="9"/>
        <v>5</v>
      </c>
      <c r="AC194" s="20">
        <f>(1+Y194/2)^(-(DATE(AA195,AB195,5)-TradeSum!$B$2)/182.625)</f>
        <v>0.38643302989434369</v>
      </c>
      <c r="AD194" s="24"/>
      <c r="AF194" s="196">
        <v>42856</v>
      </c>
      <c r="AG194">
        <v>5.80024495895115E-2</v>
      </c>
      <c r="AI194" s="19">
        <f t="shared" si="10"/>
        <v>2017</v>
      </c>
      <c r="AJ194" s="18">
        <f t="shared" si="11"/>
        <v>5</v>
      </c>
      <c r="AK194" s="20">
        <f>(1+AG194/2)^(-(DATE(AI195,AJ195,5)-TradeSum!$B$2)/182.625)</f>
        <v>0.40958631507274573</v>
      </c>
    </row>
    <row r="195" spans="24:37" x14ac:dyDescent="0.2">
      <c r="X195" s="196">
        <v>42887</v>
      </c>
      <c r="Y195">
        <v>6.1872920311469799E-2</v>
      </c>
      <c r="Z195" s="18"/>
      <c r="AA195" s="19">
        <f t="shared" si="8"/>
        <v>2017</v>
      </c>
      <c r="AB195" s="18">
        <f t="shared" si="9"/>
        <v>6</v>
      </c>
      <c r="AC195" s="20">
        <f>(1+Y195/2)^(-(DATE(AA196,AB196,5)-TradeSum!$B$2)/182.625)</f>
        <v>0.38432095647764764</v>
      </c>
      <c r="AD195" s="24"/>
      <c r="AF195" s="196">
        <v>42887</v>
      </c>
      <c r="AG195">
        <v>5.8060487631051302E-2</v>
      </c>
      <c r="AI195" s="19">
        <f t="shared" si="10"/>
        <v>2017</v>
      </c>
      <c r="AJ195" s="18">
        <f t="shared" si="11"/>
        <v>6</v>
      </c>
      <c r="AK195" s="20">
        <f>(1+AG195/2)^(-(DATE(AI196,AJ196,5)-TradeSum!$B$2)/182.625)</f>
        <v>0.40730661126473572</v>
      </c>
    </row>
    <row r="196" spans="24:37" x14ac:dyDescent="0.2">
      <c r="X196" s="196">
        <v>42917</v>
      </c>
      <c r="Y196">
        <v>6.1903315431575102E-2</v>
      </c>
      <c r="Z196" s="18"/>
      <c r="AA196" s="19">
        <f t="shared" si="8"/>
        <v>2017</v>
      </c>
      <c r="AB196" s="18">
        <f t="shared" si="9"/>
        <v>7</v>
      </c>
      <c r="AC196" s="20">
        <f>(1+Y196/2)^(-(DATE(AA197,AB197,5)-TradeSum!$B$2)/182.625)</f>
        <v>0.38216064982683157</v>
      </c>
      <c r="AD196" s="24"/>
      <c r="AF196" s="196">
        <v>42917</v>
      </c>
      <c r="AG196">
        <v>5.8116653478770298E-2</v>
      </c>
      <c r="AI196" s="19">
        <f t="shared" si="10"/>
        <v>2017</v>
      </c>
      <c r="AJ196" s="18">
        <f t="shared" si="11"/>
        <v>7</v>
      </c>
      <c r="AK196" s="20">
        <f>(1+AG196/2)^(-(DATE(AI197,AJ197,5)-TradeSum!$B$2)/182.625)</f>
        <v>0.40498395303406698</v>
      </c>
    </row>
    <row r="197" spans="24:37" x14ac:dyDescent="0.2">
      <c r="X197" s="196">
        <v>42948</v>
      </c>
      <c r="Y197">
        <v>6.1934723722672801E-2</v>
      </c>
      <c r="Z197" s="18"/>
      <c r="AA197" s="19">
        <f t="shared" si="8"/>
        <v>2017</v>
      </c>
      <c r="AB197" s="18">
        <f t="shared" si="9"/>
        <v>8</v>
      </c>
      <c r="AC197" s="20">
        <f>(1+Y197/2)^(-(DATE(AA198,AB198,5)-TradeSum!$B$2)/182.625)</f>
        <v>0.38000466323957327</v>
      </c>
      <c r="AD197" s="24"/>
      <c r="AF197" s="196">
        <v>42948</v>
      </c>
      <c r="AG197">
        <v>5.8174691522515004E-2</v>
      </c>
      <c r="AI197" s="19">
        <f t="shared" si="10"/>
        <v>2017</v>
      </c>
      <c r="AJ197" s="18">
        <f t="shared" si="11"/>
        <v>8</v>
      </c>
      <c r="AK197" s="20">
        <f>(1+AG197/2)^(-(DATE(AI198,AJ198,5)-TradeSum!$B$2)/182.625)</f>
        <v>0.40265919784168813</v>
      </c>
    </row>
    <row r="198" spans="24:37" x14ac:dyDescent="0.2">
      <c r="X198" s="196">
        <v>42979</v>
      </c>
      <c r="Y198">
        <v>6.1966132014097799E-2</v>
      </c>
      <c r="Z198" s="18"/>
      <c r="AA198" s="19">
        <f t="shared" si="8"/>
        <v>2017</v>
      </c>
      <c r="AB198" s="18">
        <f t="shared" si="9"/>
        <v>9</v>
      </c>
      <c r="AC198" s="20">
        <f>(1+Y198/2)^(-(DATE(AA199,AB199,5)-TradeSum!$B$2)/182.625)</f>
        <v>0.37792202606586217</v>
      </c>
      <c r="AD198" s="24"/>
      <c r="AF198" s="196">
        <v>42979</v>
      </c>
      <c r="AG198">
        <v>5.8232729567379203E-2</v>
      </c>
      <c r="AI198" s="19">
        <f t="shared" si="10"/>
        <v>2017</v>
      </c>
      <c r="AJ198" s="18">
        <f t="shared" si="11"/>
        <v>9</v>
      </c>
      <c r="AK198" s="20">
        <f>(1+AG198/2)^(-(DATE(AI199,AJ199,5)-TradeSum!$B$2)/182.625)</f>
        <v>0.40040688627620163</v>
      </c>
    </row>
    <row r="199" spans="24:37" x14ac:dyDescent="0.2">
      <c r="X199" s="196">
        <v>43009</v>
      </c>
      <c r="Y199">
        <v>6.1996527135143198E-2</v>
      </c>
      <c r="Z199" s="18"/>
      <c r="AA199" s="19">
        <f t="shared" si="8"/>
        <v>2017</v>
      </c>
      <c r="AB199" s="18">
        <f t="shared" si="9"/>
        <v>10</v>
      </c>
      <c r="AC199" s="20">
        <f>(1+Y199/2)^(-(DATE(AA200,AB200,5)-TradeSum!$B$2)/182.625)</f>
        <v>0.3757920220356909</v>
      </c>
      <c r="AD199" s="24"/>
      <c r="AF199" s="196">
        <v>43009</v>
      </c>
      <c r="AG199">
        <v>5.8288895418315605E-2</v>
      </c>
      <c r="AI199" s="19">
        <f t="shared" si="10"/>
        <v>2017</v>
      </c>
      <c r="AJ199" s="18">
        <f t="shared" si="11"/>
        <v>10</v>
      </c>
      <c r="AK199" s="20">
        <f>(1+AG199/2)^(-(DATE(AI200,AJ200,5)-TradeSum!$B$2)/182.625)</f>
        <v>0.39811247388162169</v>
      </c>
    </row>
    <row r="200" spans="24:37" x14ac:dyDescent="0.2">
      <c r="X200" s="196">
        <v>43040</v>
      </c>
      <c r="Y200">
        <v>6.2027935427213104E-2</v>
      </c>
      <c r="Z200" s="18"/>
      <c r="AA200" s="19">
        <f t="shared" si="8"/>
        <v>2017</v>
      </c>
      <c r="AB200" s="18">
        <f t="shared" si="9"/>
        <v>11</v>
      </c>
      <c r="AC200" s="20">
        <f>(1+Y200/2)^(-(DATE(AA201,AB201,5)-TradeSum!$B$2)/182.625)</f>
        <v>0.37372873634554149</v>
      </c>
      <c r="AD200" s="24"/>
      <c r="AF200" s="196">
        <v>43040</v>
      </c>
      <c r="AG200">
        <v>5.8346933465384297E-2</v>
      </c>
      <c r="AI200" s="19">
        <f t="shared" si="10"/>
        <v>2017</v>
      </c>
      <c r="AJ200" s="18">
        <f t="shared" si="11"/>
        <v>11</v>
      </c>
      <c r="AK200" s="20">
        <f>(1+AG200/2)^(-(DATE(AI201,AJ201,5)-TradeSum!$B$2)/182.625)</f>
        <v>0.39587827767544043</v>
      </c>
    </row>
    <row r="201" spans="24:37" x14ac:dyDescent="0.2">
      <c r="X201" s="196">
        <v>43070</v>
      </c>
      <c r="Y201">
        <v>6.20583305488824E-2</v>
      </c>
      <c r="Z201" s="18"/>
      <c r="AA201" s="19">
        <f t="shared" ref="AA201:AA264" si="12">YEAR(X201)</f>
        <v>2017</v>
      </c>
      <c r="AB201" s="18">
        <f t="shared" ref="AB201:AB264" si="13">MONTH(X201)</f>
        <v>12</v>
      </c>
      <c r="AC201" s="20">
        <f>(1+Y201/2)^(-(DATE(AA202,AB202,5)-TradeSum!$B$2)/182.625)</f>
        <v>0.37161865095627233</v>
      </c>
      <c r="AD201" s="24"/>
      <c r="AF201" s="196">
        <v>43070</v>
      </c>
      <c r="AG201">
        <v>5.8403099318452799E-2</v>
      </c>
      <c r="AI201" s="19">
        <f t="shared" ref="AI201:AI264" si="14">YEAR(AF201)</f>
        <v>2017</v>
      </c>
      <c r="AJ201" s="18">
        <f t="shared" ref="AJ201:AJ264" si="15">MONTH(AF201)</f>
        <v>12</v>
      </c>
      <c r="AK201" s="20">
        <f>(1+AG201/2)^(-(DATE(AI202,AJ202,5)-TradeSum!$B$2)/182.625)</f>
        <v>0.3936025396898799</v>
      </c>
    </row>
    <row r="202" spans="24:37" x14ac:dyDescent="0.2">
      <c r="X202" s="196">
        <v>43101</v>
      </c>
      <c r="Y202">
        <v>6.2089738841596201E-2</v>
      </c>
      <c r="Z202" s="18"/>
      <c r="AA202" s="19">
        <f t="shared" si="12"/>
        <v>2018</v>
      </c>
      <c r="AB202" s="18">
        <f t="shared" si="13"/>
        <v>1</v>
      </c>
      <c r="AC202" s="20">
        <f>(1+Y202/2)^(-(DATE(AA203,AB203,5)-TradeSum!$B$2)/182.625)</f>
        <v>0.36951272047825284</v>
      </c>
      <c r="AD202" s="24"/>
      <c r="AF202" s="196">
        <v>43101</v>
      </c>
      <c r="AG202">
        <v>5.8461137367725499E-2</v>
      </c>
      <c r="AI202" s="19">
        <f t="shared" si="14"/>
        <v>2018</v>
      </c>
      <c r="AJ202" s="18">
        <f t="shared" si="15"/>
        <v>1</v>
      </c>
      <c r="AK202" s="20">
        <f>(1+AG202/2)^(-(DATE(AI203,AJ203,5)-TradeSum!$B$2)/182.625)</f>
        <v>0.39132467807674304</v>
      </c>
    </row>
    <row r="203" spans="24:37" x14ac:dyDescent="0.2">
      <c r="X203" s="196">
        <v>43132</v>
      </c>
      <c r="Y203">
        <v>6.2121147134637698E-2</v>
      </c>
      <c r="Z203" s="18"/>
      <c r="AA203" s="19">
        <f t="shared" si="12"/>
        <v>2018</v>
      </c>
      <c r="AB203" s="18">
        <f t="shared" si="13"/>
        <v>2</v>
      </c>
      <c r="AC203" s="20">
        <f>(1+Y203/2)^(-(DATE(AA204,AB204,5)-TradeSum!$B$2)/182.625)</f>
        <v>0.3676014899009134</v>
      </c>
      <c r="AD203" s="24"/>
      <c r="AF203" s="196">
        <v>43132</v>
      </c>
      <c r="AG203">
        <v>5.8519175418119102E-2</v>
      </c>
      <c r="AI203" s="19">
        <f t="shared" si="14"/>
        <v>2018</v>
      </c>
      <c r="AJ203" s="18">
        <f t="shared" si="15"/>
        <v>2</v>
      </c>
      <c r="AK203" s="20">
        <f>(1+AG203/2)^(-(DATE(AI204,AJ204,5)-TradeSum!$B$2)/182.625)</f>
        <v>0.3892406450831668</v>
      </c>
    </row>
    <row r="204" spans="24:37" x14ac:dyDescent="0.2">
      <c r="X204" s="196">
        <v>43160</v>
      </c>
      <c r="Y204">
        <v>6.2149515915730397E-2</v>
      </c>
      <c r="Z204" s="18"/>
      <c r="AA204" s="19">
        <f t="shared" si="12"/>
        <v>2018</v>
      </c>
      <c r="AB204" s="18">
        <f t="shared" si="13"/>
        <v>3</v>
      </c>
      <c r="AC204" s="20">
        <f>(1+Y204/2)^(-(DATE(AA205,AB205,5)-TradeSum!$B$2)/182.625)</f>
        <v>0.3655323595946427</v>
      </c>
      <c r="AD204" s="24"/>
      <c r="AF204" s="196">
        <v>43160</v>
      </c>
      <c r="AG204">
        <v>5.8571596883953102E-2</v>
      </c>
      <c r="AI204" s="19">
        <f t="shared" si="14"/>
        <v>2018</v>
      </c>
      <c r="AJ204" s="18">
        <f t="shared" si="15"/>
        <v>3</v>
      </c>
      <c r="AK204" s="20">
        <f>(1+AG204/2)^(-(DATE(AI205,AJ205,5)-TradeSum!$B$2)/182.625)</f>
        <v>0.38701554248370229</v>
      </c>
    </row>
    <row r="205" spans="24:37" x14ac:dyDescent="0.2">
      <c r="X205" s="196">
        <v>43191</v>
      </c>
      <c r="Y205">
        <v>6.21809242093945E-2</v>
      </c>
      <c r="Z205" s="18"/>
      <c r="AA205" s="19">
        <f t="shared" si="12"/>
        <v>2018</v>
      </c>
      <c r="AB205" s="18">
        <f t="shared" si="13"/>
        <v>4</v>
      </c>
      <c r="AC205" s="20">
        <f>(1+Y205/2)^(-(DATE(AA206,AB206,5)-TradeSum!$B$2)/182.625)</f>
        <v>0.36351640946025748</v>
      </c>
      <c r="AD205" s="24"/>
      <c r="AF205" s="196">
        <v>43191</v>
      </c>
      <c r="AG205">
        <v>5.8629634936477402E-2</v>
      </c>
      <c r="AI205" s="19">
        <f t="shared" si="14"/>
        <v>2018</v>
      </c>
      <c r="AJ205" s="18">
        <f t="shared" si="15"/>
        <v>4</v>
      </c>
      <c r="AK205" s="20">
        <f>(1+AG205/2)^(-(DATE(AI206,AJ206,5)-TradeSum!$B$2)/182.625)</f>
        <v>0.38482601697326652</v>
      </c>
    </row>
    <row r="206" spans="24:37" x14ac:dyDescent="0.2">
      <c r="X206" s="196">
        <v>43221</v>
      </c>
      <c r="Y206">
        <v>6.2211319332607498E-2</v>
      </c>
      <c r="Z206" s="18"/>
      <c r="AA206" s="19">
        <f t="shared" si="12"/>
        <v>2018</v>
      </c>
      <c r="AB206" s="18">
        <f t="shared" si="13"/>
        <v>5</v>
      </c>
      <c r="AC206" s="20">
        <f>(1+Y206/2)^(-(DATE(AA207,AB207,5)-TradeSum!$B$2)/182.625)</f>
        <v>0.36145503889159464</v>
      </c>
      <c r="AD206" s="24"/>
      <c r="AF206" s="196">
        <v>43221</v>
      </c>
      <c r="AG206">
        <v>5.8685800794825702E-2</v>
      </c>
      <c r="AI206" s="19">
        <f t="shared" si="14"/>
        <v>2018</v>
      </c>
      <c r="AJ206" s="18">
        <f t="shared" si="15"/>
        <v>5</v>
      </c>
      <c r="AK206" s="20">
        <f>(1+AG206/2)^(-(DATE(AI207,AJ207,5)-TradeSum!$B$2)/182.625)</f>
        <v>0.38259630998957928</v>
      </c>
    </row>
    <row r="207" spans="24:37" x14ac:dyDescent="0.2">
      <c r="X207" s="196">
        <v>43252</v>
      </c>
      <c r="Y207">
        <v>6.2242727626916398E-2</v>
      </c>
      <c r="Z207" s="18"/>
      <c r="AA207" s="19">
        <f t="shared" si="12"/>
        <v>2018</v>
      </c>
      <c r="AB207" s="18">
        <f t="shared" si="13"/>
        <v>6</v>
      </c>
      <c r="AC207" s="20">
        <f>(1+Y207/2)^(-(DATE(AA208,AB208,5)-TradeSum!$B$2)/182.625)</f>
        <v>0.35945798270902896</v>
      </c>
      <c r="AD207" s="24"/>
      <c r="AF207" s="196">
        <v>43252</v>
      </c>
      <c r="AG207">
        <v>5.8743838849553601E-2</v>
      </c>
      <c r="AI207" s="19">
        <f t="shared" si="14"/>
        <v>2018</v>
      </c>
      <c r="AJ207" s="18">
        <f t="shared" si="15"/>
        <v>6</v>
      </c>
      <c r="AK207" s="20">
        <f>(1+AG207/2)^(-(DATE(AI208,AJ208,5)-TradeSum!$B$2)/182.625)</f>
        <v>0.38042475662814601</v>
      </c>
    </row>
    <row r="208" spans="24:37" x14ac:dyDescent="0.2">
      <c r="X208" s="196">
        <v>43282</v>
      </c>
      <c r="Y208">
        <v>6.2273122750752502E-2</v>
      </c>
      <c r="Z208" s="18"/>
      <c r="AA208" s="19">
        <f t="shared" si="12"/>
        <v>2018</v>
      </c>
      <c r="AB208" s="18">
        <f t="shared" si="13"/>
        <v>7</v>
      </c>
      <c r="AC208" s="20">
        <f>(1+Y208/2)^(-(DATE(AA209,AB209,5)-TradeSum!$B$2)/182.625)</f>
        <v>0.35741605342257488</v>
      </c>
      <c r="AD208" s="24"/>
      <c r="AF208" s="196">
        <v>43282</v>
      </c>
      <c r="AG208">
        <v>5.8800004710034798E-2</v>
      </c>
      <c r="AI208" s="19">
        <f t="shared" si="14"/>
        <v>2018</v>
      </c>
      <c r="AJ208" s="18">
        <f t="shared" si="15"/>
        <v>7</v>
      </c>
      <c r="AK208" s="20">
        <f>(1+AG208/2)^(-(DATE(AI209,AJ209,5)-TradeSum!$B$2)/182.625)</f>
        <v>0.37821356186018112</v>
      </c>
    </row>
    <row r="209" spans="24:37" x14ac:dyDescent="0.2">
      <c r="X209" s="196">
        <v>43313</v>
      </c>
      <c r="Y209">
        <v>6.2304531045705804E-2</v>
      </c>
      <c r="Z209" s="18"/>
      <c r="AA209" s="19">
        <f t="shared" si="12"/>
        <v>2018</v>
      </c>
      <c r="AB209" s="18">
        <f t="shared" si="13"/>
        <v>8</v>
      </c>
      <c r="AC209" s="20">
        <f>(1+Y209/2)^(-(DATE(AA210,AB210,5)-TradeSum!$B$2)/182.625)</f>
        <v>0.3553780597474559</v>
      </c>
      <c r="AD209" s="24"/>
      <c r="AF209" s="196">
        <v>43313</v>
      </c>
      <c r="AG209">
        <v>5.8858042766966698E-2</v>
      </c>
      <c r="AI209" s="19">
        <f t="shared" si="14"/>
        <v>2018</v>
      </c>
      <c r="AJ209" s="18">
        <f t="shared" si="15"/>
        <v>8</v>
      </c>
      <c r="AK209" s="20">
        <f>(1+AG209/2)^(-(DATE(AI210,AJ210,5)-TradeSum!$B$2)/182.625)</f>
        <v>0.37600021531691596</v>
      </c>
    </row>
    <row r="210" spans="24:37" x14ac:dyDescent="0.2">
      <c r="X210" s="196">
        <v>43344</v>
      </c>
      <c r="Y210">
        <v>6.2335939340985906E-2</v>
      </c>
      <c r="Z210" s="18"/>
      <c r="AA210" s="19">
        <f t="shared" si="12"/>
        <v>2018</v>
      </c>
      <c r="AB210" s="18">
        <f t="shared" si="13"/>
        <v>9</v>
      </c>
      <c r="AC210" s="20">
        <f>(1+Y210/2)^(-(DATE(AA211,AB211,5)-TradeSum!$B$2)/182.625)</f>
        <v>0.35340925182123156</v>
      </c>
      <c r="AD210" s="24"/>
      <c r="AF210" s="196">
        <v>43344</v>
      </c>
      <c r="AG210">
        <v>5.8916080825018605E-2</v>
      </c>
      <c r="AI210" s="19">
        <f t="shared" si="14"/>
        <v>2018</v>
      </c>
      <c r="AJ210" s="18">
        <f t="shared" si="15"/>
        <v>9</v>
      </c>
      <c r="AK210" s="20">
        <f>(1+AG210/2)^(-(DATE(AI211,AJ211,5)-TradeSum!$B$2)/182.625)</f>
        <v>0.37385568255861451</v>
      </c>
    </row>
    <row r="211" spans="24:37" x14ac:dyDescent="0.2">
      <c r="X211" s="196">
        <v>43374</v>
      </c>
      <c r="Y211">
        <v>6.2366334465762605E-2</v>
      </c>
      <c r="Z211" s="18"/>
      <c r="AA211" s="19">
        <f t="shared" si="12"/>
        <v>2018</v>
      </c>
      <c r="AB211" s="18">
        <f t="shared" si="13"/>
        <v>10</v>
      </c>
      <c r="AC211" s="20">
        <f>(1+Y211/2)^(-(DATE(AA212,AB212,5)-TradeSum!$B$2)/182.625)</f>
        <v>0.35139638568342046</v>
      </c>
      <c r="AD211" s="24"/>
      <c r="AF211" s="196">
        <v>43374</v>
      </c>
      <c r="AG211">
        <v>5.89722466887155E-2</v>
      </c>
      <c r="AI211" s="19">
        <f t="shared" si="14"/>
        <v>2018</v>
      </c>
      <c r="AJ211" s="18">
        <f t="shared" si="15"/>
        <v>10</v>
      </c>
      <c r="AK211" s="20">
        <f>(1+AG211/2)^(-(DATE(AI212,AJ212,5)-TradeSum!$B$2)/182.625)</f>
        <v>0.37167231269873452</v>
      </c>
    </row>
    <row r="212" spans="24:37" x14ac:dyDescent="0.2">
      <c r="X212" s="196">
        <v>43405</v>
      </c>
      <c r="Y212">
        <v>6.2397742761687101E-2</v>
      </c>
      <c r="Z212" s="18"/>
      <c r="AA212" s="19">
        <f t="shared" si="12"/>
        <v>2018</v>
      </c>
      <c r="AB212" s="18">
        <f t="shared" si="13"/>
        <v>11</v>
      </c>
      <c r="AC212" s="20">
        <f>(1+Y212/2)^(-(DATE(AA213,AB213,5)-TradeSum!$B$2)/182.625)</f>
        <v>0.3494461439410258</v>
      </c>
      <c r="AD212" s="24"/>
      <c r="AF212" s="196">
        <v>43405</v>
      </c>
      <c r="AG212">
        <v>5.9030284748971006E-2</v>
      </c>
      <c r="AI212" s="19">
        <f t="shared" si="14"/>
        <v>2018</v>
      </c>
      <c r="AJ212" s="18">
        <f t="shared" si="15"/>
        <v>11</v>
      </c>
      <c r="AK212" s="20">
        <f>(1+AG212/2)^(-(DATE(AI213,AJ213,5)-TradeSum!$B$2)/182.625)</f>
        <v>0.36954563727811812</v>
      </c>
    </row>
    <row r="213" spans="24:37" x14ac:dyDescent="0.2">
      <c r="X213" s="196">
        <v>43435</v>
      </c>
      <c r="Y213">
        <v>6.2428137887087197E-2</v>
      </c>
      <c r="Z213" s="18"/>
      <c r="AA213" s="19">
        <f t="shared" si="12"/>
        <v>2018</v>
      </c>
      <c r="AB213" s="18">
        <f t="shared" si="13"/>
        <v>12</v>
      </c>
      <c r="AC213" s="20">
        <f>(1+Y213/2)^(-(DATE(AA214,AB214,5)-TradeSum!$B$2)/182.625)</f>
        <v>0.34745237733895279</v>
      </c>
      <c r="AD213" s="24"/>
      <c r="AF213" s="196">
        <v>43435</v>
      </c>
      <c r="AG213">
        <v>5.9086450614799897E-2</v>
      </c>
      <c r="AI213" s="19">
        <f t="shared" si="14"/>
        <v>2018</v>
      </c>
      <c r="AJ213" s="18">
        <f t="shared" si="15"/>
        <v>12</v>
      </c>
      <c r="AK213" s="20">
        <f>(1+AG213/2)^(-(DATE(AI214,AJ214,5)-TradeSum!$B$2)/182.625)</f>
        <v>0.36738065130377312</v>
      </c>
    </row>
    <row r="214" spans="24:37" x14ac:dyDescent="0.2">
      <c r="X214" s="196">
        <v>43466</v>
      </c>
      <c r="Y214">
        <v>6.2459546183656102E-2</v>
      </c>
      <c r="Z214" s="18"/>
      <c r="AA214" s="19">
        <f t="shared" si="12"/>
        <v>2019</v>
      </c>
      <c r="AB214" s="18">
        <f t="shared" si="13"/>
        <v>1</v>
      </c>
      <c r="AC214" s="20">
        <f>(1+Y214/2)^(-(DATE(AA215,AB215,5)-TradeSum!$B$2)/182.625)</f>
        <v>0.34546239472668694</v>
      </c>
      <c r="AD214" s="24"/>
      <c r="AF214" s="196">
        <v>43466</v>
      </c>
      <c r="AG214">
        <v>5.9144488677258501E-2</v>
      </c>
      <c r="AI214" s="19">
        <f t="shared" si="14"/>
        <v>2019</v>
      </c>
      <c r="AJ214" s="18">
        <f t="shared" si="15"/>
        <v>1</v>
      </c>
      <c r="AK214" s="20">
        <f>(1+AG214/2)^(-(DATE(AI215,AJ215,5)-TradeSum!$B$2)/182.625)</f>
        <v>0.3652134992037025</v>
      </c>
    </row>
    <row r="215" spans="24:37" x14ac:dyDescent="0.2">
      <c r="X215" s="196">
        <v>43497</v>
      </c>
      <c r="Y215">
        <v>6.2490954480552301E-2</v>
      </c>
      <c r="Z215" s="18"/>
      <c r="AA215" s="19">
        <f t="shared" si="12"/>
        <v>2019</v>
      </c>
      <c r="AB215" s="18">
        <f t="shared" si="13"/>
        <v>2</v>
      </c>
      <c r="AC215" s="20">
        <f>(1+Y215/2)^(-(DATE(AA216,AB216,5)-TradeSum!$B$2)/182.625)</f>
        <v>0.34365568200575286</v>
      </c>
      <c r="AD215" s="24"/>
      <c r="AF215" s="196">
        <v>43497</v>
      </c>
      <c r="AG215">
        <v>5.9202526740836703E-2</v>
      </c>
      <c r="AI215" s="19">
        <f t="shared" si="14"/>
        <v>2019</v>
      </c>
      <c r="AJ215" s="18">
        <f t="shared" si="15"/>
        <v>2</v>
      </c>
      <c r="AK215" s="20">
        <f>(1+AG215/2)^(-(DATE(AI216,AJ216,5)-TradeSum!$B$2)/182.625)</f>
        <v>0.36322968669888606</v>
      </c>
    </row>
    <row r="216" spans="24:37" x14ac:dyDescent="0.2">
      <c r="X216" s="196">
        <v>43525</v>
      </c>
      <c r="Y216">
        <v>6.2519323265127102E-2</v>
      </c>
      <c r="Z216" s="18"/>
      <c r="AA216" s="19">
        <f t="shared" si="12"/>
        <v>2019</v>
      </c>
      <c r="AB216" s="18">
        <f t="shared" si="13"/>
        <v>3</v>
      </c>
      <c r="AC216" s="20">
        <f>(1+Y216/2)^(-(DATE(AA217,AB217,5)-TradeSum!$B$2)/182.625)</f>
        <v>0.34170156901308407</v>
      </c>
      <c r="AD216" s="24"/>
      <c r="AF216" s="196">
        <v>43525</v>
      </c>
      <c r="AG216">
        <v>5.9254948218579802E-2</v>
      </c>
      <c r="AI216" s="19">
        <f t="shared" si="14"/>
        <v>2019</v>
      </c>
      <c r="AJ216" s="18">
        <f t="shared" si="15"/>
        <v>3</v>
      </c>
      <c r="AK216" s="20">
        <f>(1+AG216/2)^(-(DATE(AI217,AJ217,5)-TradeSum!$B$2)/182.625)</f>
        <v>0.36111465615645605</v>
      </c>
    </row>
    <row r="217" spans="24:37" x14ac:dyDescent="0.2">
      <c r="X217" s="196">
        <v>43556</v>
      </c>
      <c r="Y217">
        <v>6.2550731562646303E-2</v>
      </c>
      <c r="Z217" s="18"/>
      <c r="AA217" s="19">
        <f t="shared" si="12"/>
        <v>2019</v>
      </c>
      <c r="AB217" s="18">
        <f t="shared" si="13"/>
        <v>4</v>
      </c>
      <c r="AC217" s="20">
        <f>(1+Y217/2)^(-(DATE(AA218,AB218,5)-TradeSum!$B$2)/182.625)</f>
        <v>0.33979672737504535</v>
      </c>
      <c r="AD217" s="24"/>
      <c r="AF217" s="196">
        <v>43556</v>
      </c>
      <c r="AG217">
        <v>5.9312986284288702E-2</v>
      </c>
      <c r="AI217" s="19">
        <f t="shared" si="14"/>
        <v>2019</v>
      </c>
      <c r="AJ217" s="18">
        <f t="shared" si="15"/>
        <v>4</v>
      </c>
      <c r="AK217" s="20">
        <f>(1+AG217/2)^(-(DATE(AI218,AJ218,5)-TradeSum!$B$2)/182.625)</f>
        <v>0.35903197394687675</v>
      </c>
    </row>
    <row r="218" spans="24:37" x14ac:dyDescent="0.2">
      <c r="X218" s="196">
        <v>43586</v>
      </c>
      <c r="Y218">
        <v>6.2581126689589303E-2</v>
      </c>
      <c r="Z218" s="18"/>
      <c r="AA218" s="19">
        <f t="shared" si="12"/>
        <v>2019</v>
      </c>
      <c r="AB218" s="18">
        <f t="shared" si="13"/>
        <v>5</v>
      </c>
      <c r="AC218" s="20">
        <f>(1+Y218/2)^(-(DATE(AA219,AB219,5)-TradeSum!$B$2)/182.625)</f>
        <v>0.33784965759030378</v>
      </c>
      <c r="AD218" s="24"/>
      <c r="AF218" s="196">
        <v>43586</v>
      </c>
      <c r="AG218">
        <v>5.9369152155395601E-2</v>
      </c>
      <c r="AI218" s="19">
        <f t="shared" si="14"/>
        <v>2019</v>
      </c>
      <c r="AJ218" s="18">
        <f t="shared" si="15"/>
        <v>5</v>
      </c>
      <c r="AK218" s="20">
        <f>(1+AG218/2)^(-(DATE(AI219,AJ219,5)-TradeSum!$B$2)/182.625)</f>
        <v>0.35691226166336004</v>
      </c>
    </row>
    <row r="219" spans="24:37" x14ac:dyDescent="0.2">
      <c r="X219" s="196">
        <v>43617</v>
      </c>
      <c r="Y219">
        <v>6.2612534987752905E-2</v>
      </c>
      <c r="Z219" s="18"/>
      <c r="AA219" s="19">
        <f t="shared" si="12"/>
        <v>2019</v>
      </c>
      <c r="AB219" s="18">
        <f t="shared" si="13"/>
        <v>6</v>
      </c>
      <c r="AC219" s="20">
        <f>(1+Y219/2)^(-(DATE(AA220,AB220,5)-TradeSum!$B$2)/182.625)</f>
        <v>0.33596293156774582</v>
      </c>
      <c r="AD219" s="24"/>
      <c r="AF219" s="196">
        <v>43617</v>
      </c>
      <c r="AG219">
        <v>5.9427190223307697E-2</v>
      </c>
      <c r="AI219" s="19">
        <f t="shared" si="14"/>
        <v>2019</v>
      </c>
      <c r="AJ219" s="18">
        <f t="shared" si="15"/>
        <v>6</v>
      </c>
      <c r="AK219" s="20">
        <f>(1+AG219/2)^(-(DATE(AI220,AJ220,5)-TradeSum!$B$2)/182.625)</f>
        <v>0.3548472626304458</v>
      </c>
    </row>
    <row r="220" spans="24:37" x14ac:dyDescent="0.2">
      <c r="X220" s="196">
        <v>43647</v>
      </c>
      <c r="Y220">
        <v>6.2642930115319295E-2</v>
      </c>
      <c r="Z220" s="18"/>
      <c r="AA220" s="19">
        <f t="shared" si="12"/>
        <v>2019</v>
      </c>
      <c r="AB220" s="18">
        <f t="shared" si="13"/>
        <v>7</v>
      </c>
      <c r="AC220" s="20">
        <f>(1+Y220/2)^(-(DATE(AA221,AB221,5)-TradeSum!$B$2)/182.625)</f>
        <v>0.33403449183419953</v>
      </c>
      <c r="AD220" s="24"/>
      <c r="AF220" s="196">
        <v>43647</v>
      </c>
      <c r="AG220">
        <v>5.9483356096546605E-2</v>
      </c>
      <c r="AI220" s="19">
        <f t="shared" si="14"/>
        <v>2019</v>
      </c>
      <c r="AJ220" s="18">
        <f t="shared" si="15"/>
        <v>7</v>
      </c>
      <c r="AK220" s="20">
        <f>(1+AG220/2)^(-(DATE(AI221,AJ221,5)-TradeSum!$B$2)/182.625)</f>
        <v>0.35274574160245242</v>
      </c>
    </row>
    <row r="221" spans="24:37" x14ac:dyDescent="0.2">
      <c r="X221" s="196">
        <v>43678</v>
      </c>
      <c r="Y221">
        <v>6.2674338414127298E-2</v>
      </c>
      <c r="Z221" s="18"/>
      <c r="AA221" s="19">
        <f t="shared" si="12"/>
        <v>2019</v>
      </c>
      <c r="AB221" s="18">
        <f t="shared" si="13"/>
        <v>8</v>
      </c>
      <c r="AC221" s="20">
        <f>(1+Y221/2)^(-(DATE(AA222,AB222,5)-TradeSum!$B$2)/182.625)</f>
        <v>0.33210963485491229</v>
      </c>
      <c r="AD221" s="24"/>
      <c r="AF221" s="196">
        <v>43678</v>
      </c>
      <c r="AG221">
        <v>5.9541394166661397E-2</v>
      </c>
      <c r="AI221" s="19">
        <f t="shared" si="14"/>
        <v>2019</v>
      </c>
      <c r="AJ221" s="18">
        <f t="shared" si="15"/>
        <v>8</v>
      </c>
      <c r="AK221" s="20">
        <f>(1+AG221/2)^(-(DATE(AI222,AJ222,5)-TradeSum!$B$2)/182.625)</f>
        <v>0.35064204224946233</v>
      </c>
    </row>
    <row r="222" spans="24:37" x14ac:dyDescent="0.2">
      <c r="X222" s="196">
        <v>43709</v>
      </c>
      <c r="Y222">
        <v>6.2705746713262095E-2</v>
      </c>
      <c r="Z222" s="18"/>
      <c r="AA222" s="19">
        <f t="shared" si="12"/>
        <v>2019</v>
      </c>
      <c r="AB222" s="18">
        <f t="shared" si="13"/>
        <v>9</v>
      </c>
      <c r="AC222" s="20">
        <f>(1+Y222/2)^(-(DATE(AA223,AB223,5)-TradeSum!$B$2)/182.625)</f>
        <v>0.3302499871773103</v>
      </c>
      <c r="AD222" s="24"/>
      <c r="AF222" s="196">
        <v>43709</v>
      </c>
      <c r="AG222">
        <v>5.9599432237896099E-2</v>
      </c>
      <c r="AI222" s="19">
        <f t="shared" si="14"/>
        <v>2019</v>
      </c>
      <c r="AJ222" s="18">
        <f t="shared" si="15"/>
        <v>9</v>
      </c>
      <c r="AK222" s="20">
        <f>(1+AG222/2)^(-(DATE(AI223,AJ223,5)-TradeSum!$B$2)/182.625)</f>
        <v>0.34860361181139021</v>
      </c>
    </row>
    <row r="223" spans="24:37" x14ac:dyDescent="0.2">
      <c r="X223" s="196">
        <v>43739</v>
      </c>
      <c r="Y223">
        <v>6.2736141841769094E-2</v>
      </c>
      <c r="Z223" s="18"/>
      <c r="AA223" s="19">
        <f t="shared" si="12"/>
        <v>2019</v>
      </c>
      <c r="AB223" s="18">
        <f t="shared" si="13"/>
        <v>10</v>
      </c>
      <c r="AC223" s="20">
        <f>(1+Y223/2)^(-(DATE(AA224,AB224,5)-TradeSum!$B$2)/182.625)</f>
        <v>0.32834939156050674</v>
      </c>
      <c r="AD223" s="24"/>
      <c r="AF223" s="196">
        <v>43739</v>
      </c>
      <c r="AG223">
        <v>5.9655598114350304E-2</v>
      </c>
      <c r="AI223" s="19">
        <f t="shared" si="14"/>
        <v>2019</v>
      </c>
      <c r="AJ223" s="18">
        <f t="shared" si="15"/>
        <v>10</v>
      </c>
      <c r="AK223" s="20">
        <f>(1+AG223/2)^(-(DATE(AI224,AJ224,5)-TradeSum!$B$2)/182.625)</f>
        <v>0.34652941572873242</v>
      </c>
    </row>
    <row r="224" spans="24:37" x14ac:dyDescent="0.2">
      <c r="X224" s="196">
        <v>43770</v>
      </c>
      <c r="Y224">
        <v>6.2767550141547904E-2</v>
      </c>
      <c r="Z224" s="18"/>
      <c r="AA224" s="19">
        <f t="shared" si="12"/>
        <v>2019</v>
      </c>
      <c r="AB224" s="18">
        <f t="shared" si="13"/>
        <v>11</v>
      </c>
      <c r="AC224" s="20">
        <f>(1+Y224/2)^(-(DATE(AA225,AB225,5)-TradeSum!$B$2)/182.625)</f>
        <v>0.32650753705596108</v>
      </c>
      <c r="AD224" s="24"/>
      <c r="AF224" s="196">
        <v>43770</v>
      </c>
      <c r="AG224">
        <v>5.9713636187787203E-2</v>
      </c>
      <c r="AI224" s="19">
        <f t="shared" si="14"/>
        <v>2019</v>
      </c>
      <c r="AJ224" s="18">
        <f t="shared" si="15"/>
        <v>11</v>
      </c>
      <c r="AK224" s="20">
        <f>(1+AG224/2)^(-(DATE(AI225,AJ225,5)-TradeSum!$B$2)/182.625)</f>
        <v>0.34450853241170742</v>
      </c>
    </row>
    <row r="225" spans="24:37" x14ac:dyDescent="0.2">
      <c r="X225" s="196">
        <v>43800</v>
      </c>
      <c r="Y225">
        <v>6.2797945270678002E-2</v>
      </c>
      <c r="Z225" s="18"/>
      <c r="AA225" s="19">
        <f t="shared" si="12"/>
        <v>2019</v>
      </c>
      <c r="AB225" s="18">
        <f t="shared" si="13"/>
        <v>12</v>
      </c>
      <c r="AC225" s="20">
        <f>(1+Y225/2)^(-(DATE(AA226,AB226,5)-TradeSum!$B$2)/182.625)</f>
        <v>0.32462523571922292</v>
      </c>
      <c r="AD225" s="24"/>
      <c r="AF225" s="196">
        <v>43800</v>
      </c>
      <c r="AG225">
        <v>5.9769802066372599E-2</v>
      </c>
      <c r="AI225" s="19">
        <f t="shared" si="14"/>
        <v>2019</v>
      </c>
      <c r="AJ225" s="18">
        <f t="shared" si="15"/>
        <v>12</v>
      </c>
      <c r="AK225" s="20">
        <f>(1+AG225/2)^(-(DATE(AI226,AJ226,5)-TradeSum!$B$2)/182.625)</f>
        <v>0.34245237839703802</v>
      </c>
    </row>
    <row r="226" spans="24:37" x14ac:dyDescent="0.2">
      <c r="X226" s="196">
        <v>43831</v>
      </c>
      <c r="Y226">
        <v>6.2829353571101101E-2</v>
      </c>
      <c r="Z226" s="18"/>
      <c r="AA226" s="19">
        <f t="shared" si="12"/>
        <v>2020</v>
      </c>
      <c r="AB226" s="18">
        <f t="shared" si="13"/>
        <v>1</v>
      </c>
      <c r="AC226" s="20">
        <f>(1+Y226/2)^(-(DATE(AA227,AB227,5)-TradeSum!$B$2)/182.625)</f>
        <v>0.32274637807202794</v>
      </c>
      <c r="AD226" s="24"/>
      <c r="AF226" s="196">
        <v>43831</v>
      </c>
      <c r="AG226">
        <v>5.9827840142012298E-2</v>
      </c>
      <c r="AI226" s="19">
        <f t="shared" si="14"/>
        <v>2020</v>
      </c>
      <c r="AJ226" s="18">
        <f t="shared" si="15"/>
        <v>1</v>
      </c>
      <c r="AK226" s="20">
        <f>(1+AG226/2)^(-(DATE(AI227,AJ227,5)-TradeSum!$B$2)/182.625)</f>
        <v>0.34039404243774452</v>
      </c>
    </row>
    <row r="227" spans="24:37" x14ac:dyDescent="0.2">
      <c r="X227" s="196">
        <v>43862</v>
      </c>
      <c r="Y227">
        <v>6.2860761871851495E-2</v>
      </c>
      <c r="Z227" s="18"/>
      <c r="AA227" s="19">
        <f t="shared" si="12"/>
        <v>2020</v>
      </c>
      <c r="AB227" s="18">
        <f t="shared" si="13"/>
        <v>2</v>
      </c>
      <c r="AC227" s="20">
        <f>(1+Y227/2)^(-(DATE(AA228,AB228,5)-TradeSum!$B$2)/182.625)</f>
        <v>0.32098550510678486</v>
      </c>
      <c r="AD227" s="24"/>
      <c r="AF227" s="196">
        <v>43862</v>
      </c>
      <c r="AG227">
        <v>5.98858782187714E-2</v>
      </c>
      <c r="AI227" s="19">
        <f t="shared" si="14"/>
        <v>2020</v>
      </c>
      <c r="AJ227" s="18">
        <f t="shared" si="15"/>
        <v>2</v>
      </c>
      <c r="AK227" s="20">
        <f>(1+AG227/2)^(-(DATE(AI228,AJ228,5)-TradeSum!$B$2)/182.625)</f>
        <v>0.33845418969824587</v>
      </c>
    </row>
    <row r="228" spans="24:37" x14ac:dyDescent="0.2">
      <c r="X228" s="196">
        <v>43891</v>
      </c>
      <c r="Y228">
        <v>6.2890143830914597E-2</v>
      </c>
      <c r="Z228" s="18"/>
      <c r="AA228" s="19">
        <f t="shared" si="12"/>
        <v>2020</v>
      </c>
      <c r="AB228" s="18">
        <f t="shared" si="13"/>
        <v>3</v>
      </c>
      <c r="AC228" s="20">
        <f>(1+Y228/2)^(-(DATE(AA229,AB229,5)-TradeSum!$B$2)/182.625)</f>
        <v>0.31913603695321485</v>
      </c>
      <c r="AD228" s="24"/>
      <c r="AF228" s="196">
        <v>43891</v>
      </c>
      <c r="AG228">
        <v>5.9940171904494702E-2</v>
      </c>
      <c r="AI228" s="19">
        <f t="shared" si="14"/>
        <v>2020</v>
      </c>
      <c r="AJ228" s="18">
        <f t="shared" si="15"/>
        <v>3</v>
      </c>
      <c r="AK228" s="20">
        <f>(1+AG228/2)^(-(DATE(AI229,AJ229,5)-TradeSum!$B$2)/182.625)</f>
        <v>0.33643613157954305</v>
      </c>
    </row>
    <row r="229" spans="24:37" x14ac:dyDescent="0.2">
      <c r="X229" s="196">
        <v>43922</v>
      </c>
      <c r="Y229">
        <v>6.2921552132298303E-2</v>
      </c>
      <c r="Z229" s="18"/>
      <c r="AA229" s="19">
        <f t="shared" si="12"/>
        <v>2020</v>
      </c>
      <c r="AB229" s="18">
        <f t="shared" si="13"/>
        <v>4</v>
      </c>
      <c r="AC229" s="20">
        <f>(1+Y229/2)^(-(DATE(AA230,AB230,5)-TradeSum!$B$2)/182.625)</f>
        <v>0.3173379639916265</v>
      </c>
      <c r="AD229" s="24"/>
      <c r="AF229" s="196">
        <v>43922</v>
      </c>
      <c r="AG229">
        <v>5.9998209983419801E-2</v>
      </c>
      <c r="AI229" s="19">
        <f t="shared" si="14"/>
        <v>2020</v>
      </c>
      <c r="AJ229" s="18">
        <f t="shared" si="15"/>
        <v>4</v>
      </c>
      <c r="AK229" s="20">
        <f>(1+AG229/2)^(-(DATE(AI230,AJ230,5)-TradeSum!$B$2)/182.625)</f>
        <v>0.33445872335954419</v>
      </c>
    </row>
    <row r="230" spans="24:37" x14ac:dyDescent="0.2">
      <c r="X230" s="196">
        <v>43952</v>
      </c>
      <c r="Y230">
        <v>6.2951947262981797E-2</v>
      </c>
      <c r="Z230" s="18"/>
      <c r="AA230" s="19">
        <f t="shared" si="12"/>
        <v>2020</v>
      </c>
      <c r="AB230" s="18">
        <f t="shared" si="13"/>
        <v>5</v>
      </c>
      <c r="AC230" s="20">
        <f>(1+Y230/2)^(-(DATE(AA231,AB231,5)-TradeSum!$B$2)/182.625)</f>
        <v>0.31550067015650712</v>
      </c>
      <c r="AD230" s="24"/>
      <c r="AF230" s="196">
        <v>43952</v>
      </c>
      <c r="AG230">
        <v>6.0054375867316399E-2</v>
      </c>
      <c r="AI230" s="19">
        <f t="shared" si="14"/>
        <v>2020</v>
      </c>
      <c r="AJ230" s="18">
        <f t="shared" si="15"/>
        <v>5</v>
      </c>
      <c r="AK230" s="20">
        <f>(1+AG230/2)^(-(DATE(AI231,AJ231,5)-TradeSum!$B$2)/182.625)</f>
        <v>0.3324472552408097</v>
      </c>
    </row>
    <row r="231" spans="24:37" x14ac:dyDescent="0.2">
      <c r="X231" s="196">
        <v>43983</v>
      </c>
      <c r="Y231">
        <v>6.2983355565009905E-2</v>
      </c>
      <c r="Z231" s="18"/>
      <c r="AA231" s="19">
        <f t="shared" si="12"/>
        <v>2020</v>
      </c>
      <c r="AB231" s="18">
        <f t="shared" si="13"/>
        <v>6</v>
      </c>
      <c r="AC231" s="20">
        <f>(1+Y231/2)^(-(DATE(AA232,AB232,5)-TradeSum!$B$2)/182.625)</f>
        <v>0.31371994549561993</v>
      </c>
      <c r="AD231" s="24"/>
      <c r="AF231" s="196">
        <v>43983</v>
      </c>
      <c r="AG231">
        <v>6.0112413948444098E-2</v>
      </c>
      <c r="AI231" s="19">
        <f t="shared" si="14"/>
        <v>2020</v>
      </c>
      <c r="AJ231" s="18">
        <f t="shared" si="15"/>
        <v>6</v>
      </c>
      <c r="AK231" s="20">
        <f>(1+AG231/2)^(-(DATE(AI232,AJ232,5)-TradeSum!$B$2)/182.625)</f>
        <v>0.33048719106460556</v>
      </c>
    </row>
    <row r="232" spans="24:37" x14ac:dyDescent="0.2">
      <c r="X232" s="196">
        <v>44013</v>
      </c>
      <c r="Y232">
        <v>6.3013750696316012E-2</v>
      </c>
      <c r="Z232" s="18"/>
      <c r="AA232" s="19">
        <f t="shared" si="12"/>
        <v>2020</v>
      </c>
      <c r="AB232" s="18">
        <f t="shared" si="13"/>
        <v>7</v>
      </c>
      <c r="AC232" s="20">
        <f>(1+Y232/2)^(-(DATE(AA233,AB233,5)-TradeSum!$B$2)/182.625)</f>
        <v>0.31190048295777484</v>
      </c>
      <c r="AD232" s="24"/>
      <c r="AF232" s="196">
        <v>44013</v>
      </c>
      <c r="AG232">
        <v>6.0168579834472005E-2</v>
      </c>
      <c r="AI232" s="19">
        <f t="shared" si="14"/>
        <v>2020</v>
      </c>
      <c r="AJ232" s="18">
        <f t="shared" si="15"/>
        <v>7</v>
      </c>
      <c r="AK232" s="20">
        <f>(1+AG232/2)^(-(DATE(AI233,AJ233,5)-TradeSum!$B$2)/182.625)</f>
        <v>0.3284935439405578</v>
      </c>
    </row>
    <row r="233" spans="24:37" x14ac:dyDescent="0.2">
      <c r="X233" s="196">
        <v>44044</v>
      </c>
      <c r="Y233">
        <v>6.3045158998988007E-2</v>
      </c>
      <c r="Z233" s="18"/>
      <c r="AA233" s="19">
        <f t="shared" si="12"/>
        <v>2020</v>
      </c>
      <c r="AB233" s="18">
        <f t="shared" si="13"/>
        <v>8</v>
      </c>
      <c r="AC233" s="20">
        <f>(1+Y233/2)^(-(DATE(AA234,AB234,5)-TradeSum!$B$2)/182.625)</f>
        <v>0.31008427877992101</v>
      </c>
      <c r="AD233" s="24"/>
      <c r="AF233" s="196">
        <v>44044</v>
      </c>
      <c r="AG233">
        <v>6.02266179178019E-2</v>
      </c>
      <c r="AI233" s="19">
        <f t="shared" si="14"/>
        <v>2020</v>
      </c>
      <c r="AJ233" s="18">
        <f t="shared" si="15"/>
        <v>8</v>
      </c>
      <c r="AK233" s="20">
        <f>(1+AG233/2)^(-(DATE(AI234,AJ234,5)-TradeSum!$B$2)/182.625)</f>
        <v>0.32649771652750248</v>
      </c>
    </row>
    <row r="234" spans="24:37" x14ac:dyDescent="0.2">
      <c r="X234" s="196">
        <v>44075</v>
      </c>
      <c r="Y234">
        <v>6.3076567301987699E-2</v>
      </c>
      <c r="Z234" s="18"/>
      <c r="AA234" s="19">
        <f t="shared" si="12"/>
        <v>2020</v>
      </c>
      <c r="AB234" s="18">
        <f t="shared" si="13"/>
        <v>9</v>
      </c>
      <c r="AC234" s="20">
        <f>(1+Y234/2)^(-(DATE(AA235,AB235,5)-TradeSum!$B$2)/182.625)</f>
        <v>0.30832947961071494</v>
      </c>
      <c r="AD234" s="24"/>
      <c r="AF234" s="196">
        <v>44075</v>
      </c>
      <c r="AG234">
        <v>6.0284656002250504E-2</v>
      </c>
      <c r="AI234" s="19">
        <f t="shared" si="14"/>
        <v>2020</v>
      </c>
      <c r="AJ234" s="18">
        <f t="shared" si="15"/>
        <v>9</v>
      </c>
      <c r="AK234" s="20">
        <f>(1+AG234/2)^(-(DATE(AI235,AJ235,5)-TradeSum!$B$2)/182.625)</f>
        <v>0.32456369488919518</v>
      </c>
    </row>
    <row r="235" spans="24:37" x14ac:dyDescent="0.2">
      <c r="X235" s="196">
        <v>44105</v>
      </c>
      <c r="Y235">
        <v>6.3106962434233999E-2</v>
      </c>
      <c r="Z235" s="18"/>
      <c r="AA235" s="19">
        <f t="shared" si="12"/>
        <v>2020</v>
      </c>
      <c r="AB235" s="18">
        <f t="shared" si="13"/>
        <v>10</v>
      </c>
      <c r="AC235" s="20">
        <f>(1+Y235/2)^(-(DATE(AA236,AB236,5)-TradeSum!$B$2)/182.625)</f>
        <v>0.3065366614005417</v>
      </c>
      <c r="AD235" s="24"/>
      <c r="AF235" s="196">
        <v>44105</v>
      </c>
      <c r="AG235">
        <v>6.0340821891491807E-2</v>
      </c>
      <c r="AI235" s="19">
        <f t="shared" si="14"/>
        <v>2020</v>
      </c>
      <c r="AJ235" s="18">
        <f t="shared" si="15"/>
        <v>10</v>
      </c>
      <c r="AK235" s="20">
        <f>(1+AG235/2)^(-(DATE(AI236,AJ236,5)-TradeSum!$B$2)/182.625)</f>
        <v>0.32259680001862961</v>
      </c>
    </row>
    <row r="236" spans="24:37" x14ac:dyDescent="0.2">
      <c r="X236" s="196">
        <v>44136</v>
      </c>
      <c r="Y236">
        <v>6.3138370737877605E-2</v>
      </c>
      <c r="Z236" s="18"/>
      <c r="AA236" s="19">
        <f t="shared" si="12"/>
        <v>2020</v>
      </c>
      <c r="AB236" s="18">
        <f t="shared" si="13"/>
        <v>11</v>
      </c>
      <c r="AC236" s="20">
        <f>(1+Y236/2)^(-(DATE(AA237,AB237,5)-TradeSum!$B$2)/182.625)</f>
        <v>0.30479889398699705</v>
      </c>
      <c r="AD236" s="24"/>
      <c r="AF236" s="196">
        <v>44136</v>
      </c>
      <c r="AG236">
        <v>6.0398859978143107E-2</v>
      </c>
      <c r="AI236" s="19">
        <f t="shared" si="14"/>
        <v>2020</v>
      </c>
      <c r="AJ236" s="18">
        <f t="shared" si="15"/>
        <v>11</v>
      </c>
      <c r="AK236" s="20">
        <f>(1+AG236/2)^(-(DATE(AI237,AJ237,5)-TradeSum!$B$2)/182.625)</f>
        <v>0.3206799672488343</v>
      </c>
    </row>
    <row r="237" spans="24:37" x14ac:dyDescent="0.2">
      <c r="X237" s="196">
        <v>44166</v>
      </c>
      <c r="Y237">
        <v>6.3168765870747406E-2</v>
      </c>
      <c r="Z237" s="18"/>
      <c r="AA237" s="19">
        <f t="shared" si="12"/>
        <v>2020</v>
      </c>
      <c r="AB237" s="18">
        <f t="shared" si="13"/>
        <v>12</v>
      </c>
      <c r="AC237" s="20">
        <f>(1+Y237/2)^(-(DATE(AA238,AB238,5)-TradeSum!$B$2)/182.625)</f>
        <v>0.30302357783610318</v>
      </c>
      <c r="AD237" s="24"/>
      <c r="AF237" s="196">
        <v>44166</v>
      </c>
      <c r="AG237">
        <v>6.0455025869515601E-2</v>
      </c>
      <c r="AI237" s="19">
        <f t="shared" si="14"/>
        <v>2020</v>
      </c>
      <c r="AJ237" s="18">
        <f t="shared" si="15"/>
        <v>12</v>
      </c>
      <c r="AK237" s="20">
        <f>(1+AG237/2)^(-(DATE(AI238,AJ238,5)-TradeSum!$B$2)/182.625)</f>
        <v>0.31873072548230746</v>
      </c>
    </row>
    <row r="238" spans="24:37" x14ac:dyDescent="0.2">
      <c r="X238" s="196">
        <v>44197</v>
      </c>
      <c r="Y238">
        <v>6.3200174175034499E-2</v>
      </c>
      <c r="Z238" s="18"/>
      <c r="AA238" s="19">
        <f t="shared" si="12"/>
        <v>2021</v>
      </c>
      <c r="AB238" s="18">
        <f t="shared" si="13"/>
        <v>1</v>
      </c>
      <c r="AC238" s="20">
        <f>(1+Y238/2)^(-(DATE(AA239,AB239,5)-TradeSum!$B$2)/182.625)</f>
        <v>0.30125139265033879</v>
      </c>
      <c r="AD238" s="24"/>
      <c r="AF238" s="196">
        <v>44197</v>
      </c>
      <c r="AG238">
        <v>6.0513063958368203E-2</v>
      </c>
      <c r="AI238" s="19">
        <f t="shared" si="14"/>
        <v>2021</v>
      </c>
      <c r="AJ238" s="18">
        <f t="shared" si="15"/>
        <v>1</v>
      </c>
      <c r="AK238" s="20">
        <f>(1+AG238/2)^(-(DATE(AI239,AJ239,5)-TradeSum!$B$2)/182.625)</f>
        <v>0.31677930908799351</v>
      </c>
    </row>
    <row r="239" spans="24:37" x14ac:dyDescent="0.2">
      <c r="X239" s="196">
        <v>44228</v>
      </c>
      <c r="Y239">
        <v>6.3231582479648996E-2</v>
      </c>
      <c r="Z239" s="18"/>
      <c r="AA239" s="19">
        <f t="shared" si="12"/>
        <v>2021</v>
      </c>
      <c r="AB239" s="18">
        <f t="shared" si="13"/>
        <v>2</v>
      </c>
      <c r="AC239" s="20">
        <f>(1+Y239/2)^(-(DATE(AA240,AB240,5)-TradeSum!$B$2)/182.625)</f>
        <v>0.29964119856673843</v>
      </c>
      <c r="AD239" s="24"/>
      <c r="AF239" s="196">
        <v>44228</v>
      </c>
      <c r="AG239">
        <v>6.0571102048339501E-2</v>
      </c>
      <c r="AI239" s="19">
        <f t="shared" si="14"/>
        <v>2021</v>
      </c>
      <c r="AJ239" s="18">
        <f t="shared" si="15"/>
        <v>2</v>
      </c>
      <c r="AK239" s="20">
        <f>(1+AG239/2)^(-(DATE(AI240,AJ240,5)-TradeSum!$B$2)/182.625)</f>
        <v>0.31499118452118274</v>
      </c>
    </row>
    <row r="240" spans="24:37" x14ac:dyDescent="0.2">
      <c r="X240" s="196">
        <v>44256</v>
      </c>
      <c r="Y240">
        <v>6.3259951271195089E-2</v>
      </c>
      <c r="Z240" s="18"/>
      <c r="AA240" s="19">
        <f t="shared" si="12"/>
        <v>2021</v>
      </c>
      <c r="AB240" s="18">
        <f t="shared" si="13"/>
        <v>3</v>
      </c>
      <c r="AC240" s="20">
        <f>(1+Y240/2)^(-(DATE(AA241,AB241,5)-TradeSum!$B$2)/182.625)</f>
        <v>0.29790286151520617</v>
      </c>
      <c r="AD240" s="24"/>
      <c r="AF240" s="196">
        <v>44256</v>
      </c>
      <c r="AG240">
        <v>6.0623523549920802E-2</v>
      </c>
      <c r="AI240" s="19">
        <f t="shared" si="14"/>
        <v>2021</v>
      </c>
      <c r="AJ240" s="18">
        <f t="shared" si="15"/>
        <v>3</v>
      </c>
      <c r="AK240" s="20">
        <f>(1+AG240/2)^(-(DATE(AI241,AJ241,5)-TradeSum!$B$2)/182.625)</f>
        <v>0.31309002506749045</v>
      </c>
    </row>
    <row r="241" spans="24:37" x14ac:dyDescent="0.2">
      <c r="X241" s="196">
        <v>44287</v>
      </c>
      <c r="Y241">
        <v>6.3291359576432601E-2</v>
      </c>
      <c r="Z241" s="18"/>
      <c r="AA241" s="19">
        <f t="shared" si="12"/>
        <v>2021</v>
      </c>
      <c r="AB241" s="18">
        <f t="shared" si="13"/>
        <v>4</v>
      </c>
      <c r="AC241" s="20">
        <f>(1+Y241/2)^(-(DATE(AA242,AB242,5)-TradeSum!$B$2)/182.625)</f>
        <v>0.29620671581631836</v>
      </c>
      <c r="AD241" s="24"/>
      <c r="AF241" s="196">
        <v>44287</v>
      </c>
      <c r="AG241">
        <v>6.06815616420215E-2</v>
      </c>
      <c r="AI241" s="19">
        <f t="shared" si="14"/>
        <v>2021</v>
      </c>
      <c r="AJ241" s="18">
        <f t="shared" si="15"/>
        <v>4</v>
      </c>
      <c r="AK241" s="20">
        <f>(1+AG241/2)^(-(DATE(AI242,AJ242,5)-TradeSum!$B$2)/182.625)</f>
        <v>0.31121546434520764</v>
      </c>
    </row>
    <row r="242" spans="24:37" x14ac:dyDescent="0.2">
      <c r="X242" s="196">
        <v>44317</v>
      </c>
      <c r="Y242">
        <v>6.3321754710845099E-2</v>
      </c>
      <c r="Z242" s="18"/>
      <c r="AA242" s="19">
        <f t="shared" si="12"/>
        <v>2021</v>
      </c>
      <c r="AB242" s="18">
        <f t="shared" si="13"/>
        <v>5</v>
      </c>
      <c r="AC242" s="20">
        <f>(1+Y242/2)^(-(DATE(AA243,AB243,5)-TradeSum!$B$2)/182.625)</f>
        <v>0.2944741642069067</v>
      </c>
      <c r="AD242" s="24"/>
      <c r="AF242" s="196">
        <v>44317</v>
      </c>
      <c r="AG242">
        <v>6.0737727538668899E-2</v>
      </c>
      <c r="AI242" s="19">
        <f t="shared" si="14"/>
        <v>2021</v>
      </c>
      <c r="AJ242" s="18">
        <f t="shared" si="15"/>
        <v>5</v>
      </c>
      <c r="AK242" s="20">
        <f>(1+AG242/2)^(-(DATE(AI243,AJ243,5)-TradeSum!$B$2)/182.625)</f>
        <v>0.30930962227099412</v>
      </c>
    </row>
    <row r="243" spans="24:37" x14ac:dyDescent="0.2">
      <c r="X243" s="196">
        <v>44348</v>
      </c>
      <c r="Y243">
        <v>6.335316301672661E-2</v>
      </c>
      <c r="Z243" s="18"/>
      <c r="AA243" s="19">
        <f t="shared" si="12"/>
        <v>2021</v>
      </c>
      <c r="AB243" s="18">
        <f t="shared" si="13"/>
        <v>6</v>
      </c>
      <c r="AC243" s="20">
        <f>(1+Y243/2)^(-(DATE(AA244,AB244,5)-TradeSum!$B$2)/182.625)</f>
        <v>0.29279461599491208</v>
      </c>
      <c r="AD243" s="24"/>
      <c r="AF243" s="196">
        <v>44348</v>
      </c>
      <c r="AG243">
        <v>6.0795765632971406E-2</v>
      </c>
      <c r="AI243" s="19">
        <f t="shared" si="14"/>
        <v>2021</v>
      </c>
      <c r="AJ243" s="18">
        <f t="shared" si="15"/>
        <v>6</v>
      </c>
      <c r="AK243" s="20">
        <f>(1+AG243/2)^(-(DATE(AI244,AJ244,5)-TradeSum!$B$2)/182.625)</f>
        <v>0.30745202333288718</v>
      </c>
    </row>
    <row r="244" spans="24:37" x14ac:dyDescent="0.2">
      <c r="X244" s="196">
        <v>44378</v>
      </c>
      <c r="Y244">
        <v>6.3383558151762096E-2</v>
      </c>
      <c r="Z244" s="18"/>
      <c r="AA244" s="19">
        <f t="shared" si="12"/>
        <v>2021</v>
      </c>
      <c r="AB244" s="18">
        <f t="shared" si="13"/>
        <v>7</v>
      </c>
      <c r="AC244" s="20">
        <f>(1+Y244/2)^(-(DATE(AA245,AB245,5)-TradeSum!$B$2)/182.625)</f>
        <v>0.29107911501896533</v>
      </c>
      <c r="AD244" s="24"/>
      <c r="AF244" s="196">
        <v>44378</v>
      </c>
      <c r="AG244">
        <v>6.0851931531748601E-2</v>
      </c>
      <c r="AI244" s="19">
        <f t="shared" si="14"/>
        <v>2021</v>
      </c>
      <c r="AJ244" s="18">
        <f t="shared" si="15"/>
        <v>7</v>
      </c>
      <c r="AK244" s="20">
        <f>(1+AG244/2)^(-(DATE(AI245,AJ245,5)-TradeSum!$B$2)/182.625)</f>
        <v>0.30556358996050015</v>
      </c>
    </row>
    <row r="245" spans="24:37" x14ac:dyDescent="0.2">
      <c r="X245" s="196">
        <v>44409</v>
      </c>
      <c r="Y245">
        <v>6.3414966458287009E-2</v>
      </c>
      <c r="Z245" s="18"/>
      <c r="AA245" s="19">
        <f t="shared" si="12"/>
        <v>2021</v>
      </c>
      <c r="AB245" s="18">
        <f t="shared" si="13"/>
        <v>8</v>
      </c>
      <c r="AC245" s="20">
        <f>(1+Y245/2)^(-(DATE(AA246,AB246,5)-TradeSum!$B$2)/182.625)</f>
        <v>0.28936657608831806</v>
      </c>
      <c r="AD245" s="24"/>
      <c r="AF245" s="196">
        <v>44409</v>
      </c>
      <c r="AG245">
        <v>6.0909969628252902E-2</v>
      </c>
      <c r="AI245" s="19">
        <f t="shared" si="14"/>
        <v>2021</v>
      </c>
      <c r="AJ245" s="18">
        <f t="shared" si="15"/>
        <v>8</v>
      </c>
      <c r="AK245" s="20">
        <f>(1+AG245/2)^(-(DATE(AI246,AJ246,5)-TradeSum!$B$2)/182.625)</f>
        <v>0.30367299548594401</v>
      </c>
    </row>
    <row r="246" spans="24:37" x14ac:dyDescent="0.2">
      <c r="X246" s="196">
        <v>44440</v>
      </c>
      <c r="Y246">
        <v>6.3446374765139701E-2</v>
      </c>
      <c r="Z246" s="18"/>
      <c r="AA246" s="19">
        <f t="shared" si="12"/>
        <v>2021</v>
      </c>
      <c r="AB246" s="18">
        <f t="shared" si="13"/>
        <v>9</v>
      </c>
      <c r="AC246" s="20">
        <f>(1+Y246/2)^(-(DATE(AA247,AB247,5)-TradeSum!$B$2)/182.625)</f>
        <v>0.28771182576896553</v>
      </c>
      <c r="AD246" s="24"/>
      <c r="AF246" s="196">
        <v>44440</v>
      </c>
      <c r="AG246">
        <v>6.0968007725875399E-2</v>
      </c>
      <c r="AI246" s="19">
        <f t="shared" si="14"/>
        <v>2021</v>
      </c>
      <c r="AJ246" s="18">
        <f t="shared" si="15"/>
        <v>9</v>
      </c>
      <c r="AK246" s="20">
        <f>(1+AG246/2)^(-(DATE(AI247,AJ247,5)-TradeSum!$B$2)/182.625)</f>
        <v>0.30184084964762459</v>
      </c>
    </row>
    <row r="247" spans="24:37" x14ac:dyDescent="0.2">
      <c r="X247" s="196">
        <v>44470</v>
      </c>
      <c r="Y247">
        <v>6.3476769901115004E-2</v>
      </c>
      <c r="Z247" s="18"/>
      <c r="AA247" s="19">
        <f t="shared" si="12"/>
        <v>2021</v>
      </c>
      <c r="AB247" s="18">
        <f t="shared" si="13"/>
        <v>10</v>
      </c>
      <c r="AC247" s="20">
        <f>(1+Y247/2)^(-(DATE(AA248,AB248,5)-TradeSum!$B$2)/182.625)</f>
        <v>0.28602179696887303</v>
      </c>
      <c r="AD247" s="24"/>
      <c r="AF247" s="196">
        <v>44470</v>
      </c>
      <c r="AG247">
        <v>6.1024173627865601E-2</v>
      </c>
      <c r="AI247" s="19">
        <f t="shared" si="14"/>
        <v>2021</v>
      </c>
      <c r="AJ247" s="18">
        <f t="shared" si="15"/>
        <v>10</v>
      </c>
      <c r="AK247" s="20">
        <f>(1+AG247/2)^(-(DATE(AI248,AJ248,5)-TradeSum!$B$2)/182.625)</f>
        <v>0.29997853412423392</v>
      </c>
    </row>
    <row r="248" spans="24:37" x14ac:dyDescent="0.2">
      <c r="X248" s="196">
        <v>44501</v>
      </c>
      <c r="Y248">
        <v>6.3500361232830607E-2</v>
      </c>
      <c r="Z248" s="18"/>
      <c r="AA248" s="19">
        <f t="shared" si="12"/>
        <v>2021</v>
      </c>
      <c r="AB248" s="18">
        <f t="shared" si="13"/>
        <v>11</v>
      </c>
      <c r="AC248" s="20">
        <f>(1+Y248/2)^(-(DATE(AA249,AB249,5)-TradeSum!$B$2)/182.625)</f>
        <v>0.28442667121748499</v>
      </c>
      <c r="AD248" s="24"/>
      <c r="AF248" s="196">
        <v>44501</v>
      </c>
      <c r="AG248">
        <v>6.1071446079558306E-2</v>
      </c>
      <c r="AI248" s="19">
        <f t="shared" si="14"/>
        <v>2021</v>
      </c>
      <c r="AJ248" s="18">
        <f t="shared" si="15"/>
        <v>11</v>
      </c>
      <c r="AK248" s="20">
        <f>(1+AG248/2)^(-(DATE(AI249,AJ249,5)-TradeSum!$B$2)/182.625)</f>
        <v>0.29822583017602278</v>
      </c>
    </row>
    <row r="249" spans="24:37" x14ac:dyDescent="0.2">
      <c r="X249" s="196">
        <v>44531</v>
      </c>
      <c r="Y249">
        <v>6.3497255044468098E-2</v>
      </c>
      <c r="Z249" s="18"/>
      <c r="AA249" s="19">
        <f t="shared" si="12"/>
        <v>2021</v>
      </c>
      <c r="AB249" s="18">
        <f t="shared" si="13"/>
        <v>12</v>
      </c>
      <c r="AC249" s="20">
        <f>(1+Y249/2)^(-(DATE(AA250,AB250,5)-TradeSum!$B$2)/182.625)</f>
        <v>0.28293878858117921</v>
      </c>
      <c r="AD249" s="24"/>
      <c r="AF249" s="196">
        <v>44531</v>
      </c>
      <c r="AG249">
        <v>6.1073783742393098E-2</v>
      </c>
      <c r="AI249" s="19">
        <f t="shared" si="14"/>
        <v>2021</v>
      </c>
      <c r="AJ249" s="18">
        <f t="shared" si="15"/>
        <v>12</v>
      </c>
      <c r="AK249" s="20">
        <f>(1+AG249/2)^(-(DATE(AI250,AJ250,5)-TradeSum!$B$2)/182.625)</f>
        <v>0.29669344310069046</v>
      </c>
    </row>
    <row r="250" spans="24:37" x14ac:dyDescent="0.2">
      <c r="X250" s="196">
        <v>44562</v>
      </c>
      <c r="Y250">
        <v>6.34940453164963E-2</v>
      </c>
      <c r="Z250" s="18"/>
      <c r="AA250" s="19">
        <f t="shared" si="12"/>
        <v>2022</v>
      </c>
      <c r="AB250" s="18">
        <f t="shared" si="13"/>
        <v>1</v>
      </c>
      <c r="AC250" s="20">
        <f>(1+Y250/2)^(-(DATE(AA251,AB251,5)-TradeSum!$B$2)/182.625)</f>
        <v>0.28145940604026687</v>
      </c>
      <c r="AD250" s="24"/>
      <c r="AF250" s="196">
        <v>44562</v>
      </c>
      <c r="AG250">
        <v>6.1076199327324804E-2</v>
      </c>
      <c r="AI250" s="19">
        <f t="shared" si="14"/>
        <v>2022</v>
      </c>
      <c r="AJ250" s="18">
        <f t="shared" si="15"/>
        <v>1</v>
      </c>
      <c r="AK250" s="20">
        <f>(1+AG250/2)^(-(DATE(AI251,AJ251,5)-TradeSum!$B$2)/182.625)</f>
        <v>0.29516836365244947</v>
      </c>
    </row>
    <row r="251" spans="24:37" x14ac:dyDescent="0.2">
      <c r="X251" s="196">
        <v>44593</v>
      </c>
      <c r="Y251">
        <v>6.3490835588528E-2</v>
      </c>
      <c r="Z251" s="18"/>
      <c r="AA251" s="19">
        <f t="shared" si="12"/>
        <v>2022</v>
      </c>
      <c r="AB251" s="18">
        <f t="shared" si="13"/>
        <v>2</v>
      </c>
      <c r="AC251" s="20">
        <f>(1+Y251/2)^(-(DATE(AA252,AB252,5)-TradeSum!$B$2)/182.625)</f>
        <v>0.28013168334987165</v>
      </c>
      <c r="AD251" s="24"/>
      <c r="AF251" s="196">
        <v>44593</v>
      </c>
      <c r="AG251">
        <v>6.1078614912258196E-2</v>
      </c>
      <c r="AI251" s="19">
        <f t="shared" si="14"/>
        <v>2022</v>
      </c>
      <c r="AJ251" s="18">
        <f t="shared" si="15"/>
        <v>2</v>
      </c>
      <c r="AK251" s="20">
        <f>(1+AG251/2)^(-(DATE(AI252,AJ252,5)-TradeSum!$B$2)/182.625)</f>
        <v>0.2937961544422521</v>
      </c>
    </row>
    <row r="252" spans="24:37" x14ac:dyDescent="0.2">
      <c r="X252" s="196">
        <v>44621</v>
      </c>
      <c r="Y252">
        <v>6.3487936479398294E-2</v>
      </c>
      <c r="Z252" s="18"/>
      <c r="AA252" s="19">
        <f t="shared" si="12"/>
        <v>2022</v>
      </c>
      <c r="AB252" s="18">
        <f t="shared" si="13"/>
        <v>3</v>
      </c>
      <c r="AC252" s="20">
        <f>(1+Y252/2)^(-(DATE(AA253,AB253,5)-TradeSum!$B$2)/182.625)</f>
        <v>0.27866555024835393</v>
      </c>
      <c r="AD252" s="24"/>
      <c r="AF252" s="196">
        <v>44621</v>
      </c>
      <c r="AG252">
        <v>6.1080796730909305E-2</v>
      </c>
      <c r="AI252" s="19">
        <f t="shared" si="14"/>
        <v>2022</v>
      </c>
      <c r="AJ252" s="18">
        <f t="shared" si="15"/>
        <v>3</v>
      </c>
      <c r="AK252" s="20">
        <f>(1+AG252/2)^(-(DATE(AI253,AJ253,5)-TradeSum!$B$2)/182.625)</f>
        <v>0.29228709630152749</v>
      </c>
    </row>
    <row r="253" spans="24:37" x14ac:dyDescent="0.2">
      <c r="X253" s="196">
        <v>44652</v>
      </c>
      <c r="Y253">
        <v>6.3484726751437098E-2</v>
      </c>
      <c r="Z253" s="18"/>
      <c r="AA253" s="19">
        <f t="shared" si="12"/>
        <v>2022</v>
      </c>
      <c r="AB253" s="18">
        <f t="shared" si="13"/>
        <v>4</v>
      </c>
      <c r="AC253" s="20">
        <f>(1+Y253/2)^(-(DATE(AA254,AB254,5)-TradeSum!$B$2)/182.625)</f>
        <v>0.27725637328560948</v>
      </c>
      <c r="AD253" s="24"/>
      <c r="AF253" s="196">
        <v>44652</v>
      </c>
      <c r="AG253">
        <v>6.1083212315846201E-2</v>
      </c>
      <c r="AI253" s="19">
        <f t="shared" si="14"/>
        <v>2022</v>
      </c>
      <c r="AJ253" s="18">
        <f t="shared" si="15"/>
        <v>4</v>
      </c>
      <c r="AK253" s="20">
        <f>(1+AG253/2)^(-(DATE(AI254,AJ254,5)-TradeSum!$B$2)/182.625)</f>
        <v>0.29083223666783342</v>
      </c>
    </row>
    <row r="254" spans="24:37" x14ac:dyDescent="0.2">
      <c r="X254" s="196">
        <v>44682</v>
      </c>
      <c r="Y254">
        <v>6.3481620563090202E-2</v>
      </c>
      <c r="Z254" s="18"/>
      <c r="AA254" s="19">
        <f t="shared" si="12"/>
        <v>2022</v>
      </c>
      <c r="AB254" s="18">
        <f t="shared" si="13"/>
        <v>5</v>
      </c>
      <c r="AC254" s="20">
        <f>(1+Y254/2)^(-(DATE(AA255,AB255,5)-TradeSum!$B$2)/182.625)</f>
        <v>0.27580669778252154</v>
      </c>
      <c r="AD254" s="24"/>
      <c r="AF254" s="196">
        <v>44682</v>
      </c>
      <c r="AG254">
        <v>6.1085549978690902E-2</v>
      </c>
      <c r="AI254" s="19">
        <f t="shared" si="14"/>
        <v>2022</v>
      </c>
      <c r="AJ254" s="18">
        <f t="shared" si="15"/>
        <v>5</v>
      </c>
      <c r="AK254" s="20">
        <f>(1+AG254/2)^(-(DATE(AI255,AJ255,5)-TradeSum!$B$2)/182.625)</f>
        <v>0.28933728878140619</v>
      </c>
    </row>
    <row r="255" spans="24:37" x14ac:dyDescent="0.2">
      <c r="X255" s="196">
        <v>44713</v>
      </c>
      <c r="Y255">
        <v>6.3478410835135196E-2</v>
      </c>
      <c r="Z255" s="18"/>
      <c r="AA255" s="19">
        <f t="shared" si="12"/>
        <v>2022</v>
      </c>
      <c r="AB255" s="18">
        <f t="shared" si="13"/>
        <v>6</v>
      </c>
      <c r="AC255" s="20">
        <f>(1+Y255/2)^(-(DATE(AA256,AB256,5)-TradeSum!$B$2)/182.625)</f>
        <v>0.27441225828290416</v>
      </c>
      <c r="AD255" s="24"/>
      <c r="AF255" s="196">
        <v>44713</v>
      </c>
      <c r="AG255">
        <v>6.1087965563631802E-2</v>
      </c>
      <c r="AI255" s="19">
        <f t="shared" si="14"/>
        <v>2022</v>
      </c>
      <c r="AJ255" s="18">
        <f t="shared" si="15"/>
        <v>6</v>
      </c>
      <c r="AK255" s="20">
        <f>(1+AG255/2)^(-(DATE(AI256,AJ256,5)-TradeSum!$B$2)/182.625)</f>
        <v>0.28789689008350355</v>
      </c>
    </row>
    <row r="256" spans="24:37" x14ac:dyDescent="0.2">
      <c r="X256" s="196">
        <v>44743</v>
      </c>
      <c r="Y256">
        <v>6.3475304646794795E-2</v>
      </c>
      <c r="Z256" s="18"/>
      <c r="AA256" s="19">
        <f t="shared" si="12"/>
        <v>2022</v>
      </c>
      <c r="AB256" s="18">
        <f t="shared" si="13"/>
        <v>7</v>
      </c>
      <c r="AC256" s="20">
        <f>(1+Y256/2)^(-(DATE(AA257,AB257,5)-TradeSum!$B$2)/182.625)</f>
        <v>0.27297773278560444</v>
      </c>
      <c r="AD256" s="24"/>
      <c r="AF256" s="196">
        <v>44743</v>
      </c>
      <c r="AG256">
        <v>6.1090303226479598E-2</v>
      </c>
      <c r="AI256" s="19">
        <f t="shared" si="14"/>
        <v>2022</v>
      </c>
      <c r="AJ256" s="18">
        <f t="shared" si="15"/>
        <v>7</v>
      </c>
      <c r="AK256" s="20">
        <f>(1+AG256/2)^(-(DATE(AI257,AJ257,5)-TradeSum!$B$2)/182.625)</f>
        <v>0.28641680998893676</v>
      </c>
    </row>
    <row r="257" spans="24:37" x14ac:dyDescent="0.2">
      <c r="X257" s="196">
        <v>44774</v>
      </c>
      <c r="Y257">
        <v>6.3472094918846991E-2</v>
      </c>
      <c r="Z257" s="18"/>
      <c r="AA257" s="19">
        <f t="shared" si="12"/>
        <v>2022</v>
      </c>
      <c r="AB257" s="18">
        <f t="shared" si="13"/>
        <v>8</v>
      </c>
      <c r="AC257" s="20">
        <f>(1+Y257/2)^(-(DATE(AA258,AB258,5)-TradeSum!$B$2)/182.625)</f>
        <v>0.27155141378713299</v>
      </c>
      <c r="AD257" s="24"/>
      <c r="AF257" s="196">
        <v>44774</v>
      </c>
      <c r="AG257">
        <v>6.1092718811424501E-2</v>
      </c>
      <c r="AI257" s="19">
        <f t="shared" si="14"/>
        <v>2022</v>
      </c>
      <c r="AJ257" s="18">
        <f t="shared" si="15"/>
        <v>8</v>
      </c>
      <c r="AK257" s="20">
        <f>(1+AG257/2)^(-(DATE(AI258,AJ258,5)-TradeSum!$B$2)/182.625)</f>
        <v>0.28494377980774699</v>
      </c>
    </row>
    <row r="258" spans="24:37" x14ac:dyDescent="0.2">
      <c r="X258" s="196">
        <v>44805</v>
      </c>
      <c r="Y258">
        <v>6.3468885190901811E-2</v>
      </c>
      <c r="Z258" s="18"/>
      <c r="AA258" s="19">
        <f t="shared" si="12"/>
        <v>2022</v>
      </c>
      <c r="AB258" s="18">
        <f t="shared" si="13"/>
        <v>9</v>
      </c>
      <c r="AC258" s="20">
        <f>(1+Y258/2)^(-(DATE(AA259,AB259,5)-TradeSum!$B$2)/182.625)</f>
        <v>0.27017890507639181</v>
      </c>
      <c r="AD258" s="24"/>
      <c r="AF258" s="196">
        <v>44805</v>
      </c>
      <c r="AG258">
        <v>6.1095134396370807E-2</v>
      </c>
      <c r="AI258" s="19">
        <f t="shared" si="14"/>
        <v>2022</v>
      </c>
      <c r="AJ258" s="18">
        <f t="shared" si="15"/>
        <v>9</v>
      </c>
      <c r="AK258" s="20">
        <f>(1+AG258/2)^(-(DATE(AI259,AJ259,5)-TradeSum!$B$2)/182.625)</f>
        <v>0.28352492383337657</v>
      </c>
    </row>
    <row r="259" spans="24:37" x14ac:dyDescent="0.2">
      <c r="X259" s="196">
        <v>44835</v>
      </c>
      <c r="Y259">
        <v>6.3465779002571707E-2</v>
      </c>
      <c r="Z259" s="18"/>
      <c r="AA259" s="19">
        <f t="shared" si="12"/>
        <v>2022</v>
      </c>
      <c r="AB259" s="18">
        <f t="shared" si="13"/>
        <v>10</v>
      </c>
      <c r="AC259" s="20">
        <f>(1+Y259/2)^(-(DATE(AA260,AB260,5)-TradeSum!$B$2)/182.625)</f>
        <v>0.268766924477363</v>
      </c>
      <c r="AD259" s="24"/>
      <c r="AF259" s="196">
        <v>44835</v>
      </c>
      <c r="AG259">
        <v>6.1097472059224299E-2</v>
      </c>
      <c r="AI259" s="19">
        <f t="shared" si="14"/>
        <v>2022</v>
      </c>
      <c r="AJ259" s="18">
        <f t="shared" si="15"/>
        <v>10</v>
      </c>
      <c r="AK259" s="20">
        <f>(1+AG259/2)^(-(DATE(AI260,AJ260,5)-TradeSum!$B$2)/182.625)</f>
        <v>0.28206699239940214</v>
      </c>
    </row>
    <row r="260" spans="24:37" x14ac:dyDescent="0.2">
      <c r="X260" s="196">
        <v>44866</v>
      </c>
      <c r="Y260">
        <v>6.3462569274633104E-2</v>
      </c>
      <c r="Z260" s="18"/>
      <c r="AA260" s="19">
        <f t="shared" si="12"/>
        <v>2022</v>
      </c>
      <c r="AB260" s="18">
        <f t="shared" si="13"/>
        <v>11</v>
      </c>
      <c r="AC260" s="20">
        <f>(1+Y260/2)^(-(DATE(AA261,AB261,5)-TradeSum!$B$2)/182.625)</f>
        <v>0.26740876292070026</v>
      </c>
      <c r="AD260" s="24"/>
      <c r="AF260" s="196">
        <v>44866</v>
      </c>
      <c r="AG260">
        <v>6.1099887644175101E-2</v>
      </c>
      <c r="AI260" s="19">
        <f t="shared" si="14"/>
        <v>2022</v>
      </c>
      <c r="AJ260" s="18">
        <f t="shared" si="15"/>
        <v>11</v>
      </c>
      <c r="AK260" s="20">
        <f>(1+AG260/2)^(-(DATE(AI261,AJ261,5)-TradeSum!$B$2)/182.625)</f>
        <v>0.28066224500675746</v>
      </c>
    </row>
    <row r="261" spans="24:37" x14ac:dyDescent="0.2">
      <c r="X261" s="196">
        <v>44896</v>
      </c>
      <c r="Y261">
        <v>6.345946308630919E-2</v>
      </c>
      <c r="Z261" s="18"/>
      <c r="AA261" s="19">
        <f t="shared" si="12"/>
        <v>2022</v>
      </c>
      <c r="AB261" s="18">
        <f t="shared" si="13"/>
        <v>12</v>
      </c>
      <c r="AC261" s="20">
        <f>(1+Y261/2)^(-(DATE(AA262,AB262,5)-TradeSum!$B$2)/182.625)</f>
        <v>0.26601153136175049</v>
      </c>
      <c r="AD261" s="24"/>
      <c r="AF261" s="196">
        <v>44896</v>
      </c>
      <c r="AG261">
        <v>6.1102225307032097E-2</v>
      </c>
      <c r="AI261" s="19">
        <f t="shared" si="14"/>
        <v>2022</v>
      </c>
      <c r="AJ261" s="18">
        <f t="shared" si="15"/>
        <v>12</v>
      </c>
      <c r="AK261" s="20">
        <f>(1+AG261/2)^(-(DATE(AI262,AJ262,5)-TradeSum!$B$2)/182.625)</f>
        <v>0.27921881888227712</v>
      </c>
    </row>
    <row r="262" spans="24:37" x14ac:dyDescent="0.2">
      <c r="X262" s="196">
        <v>44927</v>
      </c>
      <c r="Y262">
        <v>6.3456253358377804E-2</v>
      </c>
      <c r="Z262" s="18"/>
      <c r="AA262" s="19">
        <f t="shared" si="12"/>
        <v>2023</v>
      </c>
      <c r="AB262" s="18">
        <f t="shared" si="13"/>
        <v>1</v>
      </c>
      <c r="AC262" s="20">
        <f>(1+Y262/2)^(-(DATE(AA263,AB263,5)-TradeSum!$B$2)/182.625)</f>
        <v>0.26462230085903182</v>
      </c>
      <c r="AD262" s="24"/>
      <c r="AF262" s="196">
        <v>44927</v>
      </c>
      <c r="AG262">
        <v>6.1104640891986403E-2</v>
      </c>
      <c r="AI262" s="19">
        <f t="shared" si="14"/>
        <v>2023</v>
      </c>
      <c r="AJ262" s="18">
        <f t="shared" si="15"/>
        <v>1</v>
      </c>
      <c r="AK262" s="20">
        <f>(1+AG262/2)^(-(DATE(AI263,AJ263,5)-TradeSum!$B$2)/182.625)</f>
        <v>0.27778226226625369</v>
      </c>
    </row>
    <row r="263" spans="24:37" x14ac:dyDescent="0.2">
      <c r="X263" s="196">
        <v>44958</v>
      </c>
      <c r="Y263">
        <v>6.3453043630450401E-2</v>
      </c>
      <c r="Z263" s="18"/>
      <c r="AA263" s="19">
        <f t="shared" si="12"/>
        <v>2023</v>
      </c>
      <c r="AB263" s="18">
        <f t="shared" si="13"/>
        <v>2</v>
      </c>
      <c r="AC263" s="20">
        <f>(1+Y263/2)^(-(DATE(AA264,AB264,5)-TradeSum!$B$2)/182.625)</f>
        <v>0.26337556216744101</v>
      </c>
      <c r="AD263" s="24"/>
      <c r="AF263" s="196">
        <v>44958</v>
      </c>
      <c r="AG263">
        <v>6.1107056476942902E-2</v>
      </c>
      <c r="AI263" s="19">
        <f t="shared" si="14"/>
        <v>2023</v>
      </c>
      <c r="AJ263" s="18">
        <f t="shared" si="15"/>
        <v>2</v>
      </c>
      <c r="AK263" s="20">
        <f>(1+AG263/2)^(-(DATE(AI264,AJ264,5)-TradeSum!$B$2)/182.625)</f>
        <v>0.27648964693199374</v>
      </c>
    </row>
    <row r="264" spans="24:37" x14ac:dyDescent="0.2">
      <c r="X264" s="196">
        <v>44986</v>
      </c>
      <c r="Y264">
        <v>6.3450144521357096E-2</v>
      </c>
      <c r="Z264" s="18"/>
      <c r="AA264" s="19">
        <f t="shared" si="12"/>
        <v>2023</v>
      </c>
      <c r="AB264" s="18">
        <f t="shared" si="13"/>
        <v>3</v>
      </c>
      <c r="AC264" s="20">
        <f>(1+Y264/2)^(-(DATE(AA265,AB265,5)-TradeSum!$B$2)/182.625)</f>
        <v>0.26199867654282094</v>
      </c>
      <c r="AD264" s="24"/>
      <c r="AF264" s="196">
        <v>44986</v>
      </c>
      <c r="AG264">
        <v>6.1109238295614397E-2</v>
      </c>
      <c r="AI264" s="19">
        <f t="shared" si="14"/>
        <v>2023</v>
      </c>
      <c r="AJ264" s="18">
        <f t="shared" si="15"/>
        <v>3</v>
      </c>
      <c r="AK264" s="20">
        <f>(1+AG264/2)^(-(DATE(AI265,AJ265,5)-TradeSum!$B$2)/182.625)</f>
        <v>0.27506825603679835</v>
      </c>
    </row>
    <row r="265" spans="24:37" x14ac:dyDescent="0.2">
      <c r="X265" s="196">
        <v>45017</v>
      </c>
      <c r="Y265">
        <v>6.3446934793435397E-2</v>
      </c>
      <c r="Z265" s="18"/>
      <c r="AA265" s="19">
        <f t="shared" ref="AA265:AA328" si="16">YEAR(X265)</f>
        <v>2023</v>
      </c>
      <c r="AB265" s="18">
        <f t="shared" ref="AB265:AB328" si="17">MONTH(X265)</f>
        <v>4</v>
      </c>
      <c r="AC265" s="20">
        <f>(1+Y265/2)^(-(DATE(AA266,AB266,5)-TradeSum!$B$2)/182.625)</f>
        <v>0.26067537686218584</v>
      </c>
      <c r="AD265" s="24"/>
      <c r="AF265" s="196">
        <v>45017</v>
      </c>
      <c r="AG265">
        <v>6.1111653880574504E-2</v>
      </c>
      <c r="AI265" s="19">
        <f t="shared" ref="AI265:AI328" si="18">YEAR(AF265)</f>
        <v>2023</v>
      </c>
      <c r="AJ265" s="18">
        <f t="shared" ref="AJ265:AJ328" si="19">MONTH(AF265)</f>
        <v>4</v>
      </c>
      <c r="AK265" s="20">
        <f>(1+AG265/2)^(-(DATE(AI266,AJ266,5)-TradeSum!$B$2)/182.625)</f>
        <v>0.27369784187332752</v>
      </c>
    </row>
    <row r="266" spans="24:37" x14ac:dyDescent="0.2">
      <c r="X266" s="196">
        <v>45047</v>
      </c>
      <c r="Y266">
        <v>6.3443828605127997E-2</v>
      </c>
      <c r="Z266" s="18"/>
      <c r="AA266" s="19">
        <f t="shared" si="16"/>
        <v>2023</v>
      </c>
      <c r="AB266" s="18">
        <f t="shared" si="17"/>
        <v>5</v>
      </c>
      <c r="AC266" s="20">
        <f>(1+Y266/2)^(-(DATE(AA267,AB267,5)-TradeSum!$B$2)/182.625)</f>
        <v>0.25931398416667234</v>
      </c>
      <c r="AD266" s="24"/>
      <c r="AF266" s="196">
        <v>45047</v>
      </c>
      <c r="AG266">
        <v>6.1113991543440903E-2</v>
      </c>
      <c r="AI266" s="19">
        <f t="shared" si="18"/>
        <v>2023</v>
      </c>
      <c r="AJ266" s="18">
        <f t="shared" si="19"/>
        <v>5</v>
      </c>
      <c r="AK266" s="20">
        <f>(1+AG266/2)^(-(DATE(AI267,AJ267,5)-TradeSum!$B$2)/182.625)</f>
        <v>0.27228971405374341</v>
      </c>
    </row>
    <row r="267" spans="24:37" x14ac:dyDescent="0.2">
      <c r="X267" s="196">
        <v>45078</v>
      </c>
      <c r="Y267">
        <v>6.3440618877213001E-2</v>
      </c>
      <c r="Z267" s="18"/>
      <c r="AA267" s="19">
        <f t="shared" si="16"/>
        <v>2023</v>
      </c>
      <c r="AB267" s="18">
        <f t="shared" si="17"/>
        <v>6</v>
      </c>
      <c r="AC267" s="20">
        <f>(1+Y267/2)^(-(DATE(AA268,AB268,5)-TradeSum!$B$2)/182.625)</f>
        <v>0.25800450812900028</v>
      </c>
      <c r="AD267" s="24"/>
      <c r="AF267" s="196">
        <v>45078</v>
      </c>
      <c r="AG267">
        <v>6.11164071284045E-2</v>
      </c>
      <c r="AI267" s="19">
        <f t="shared" si="18"/>
        <v>2023</v>
      </c>
      <c r="AJ267" s="18">
        <f t="shared" si="19"/>
        <v>6</v>
      </c>
      <c r="AK267" s="20">
        <f>(1+AG267/2)^(-(DATE(AI268,AJ268,5)-TradeSum!$B$2)/182.625)</f>
        <v>0.27093293416260805</v>
      </c>
    </row>
    <row r="268" spans="24:37" x14ac:dyDescent="0.2">
      <c r="X268" s="196">
        <v>45108</v>
      </c>
      <c r="Y268">
        <v>6.3437512688911707E-2</v>
      </c>
      <c r="Z268" s="18"/>
      <c r="AA268" s="19">
        <f t="shared" si="16"/>
        <v>2023</v>
      </c>
      <c r="AB268" s="18">
        <f t="shared" si="17"/>
        <v>7</v>
      </c>
      <c r="AC268" s="20">
        <f>(1+Y268/2)^(-(DATE(AA269,AB269,5)-TradeSum!$B$2)/182.625)</f>
        <v>0.25665732665781521</v>
      </c>
      <c r="AD268" s="19"/>
      <c r="AF268" s="196">
        <v>45108</v>
      </c>
      <c r="AG268">
        <v>6.1118744791274403E-2</v>
      </c>
      <c r="AI268" s="19">
        <f t="shared" si="18"/>
        <v>2023</v>
      </c>
      <c r="AJ268" s="18">
        <f t="shared" si="19"/>
        <v>7</v>
      </c>
      <c r="AK268" s="20">
        <f>(1+AG268/2)^(-(DATE(AI269,AJ269,5)-TradeSum!$B$2)/182.625)</f>
        <v>0.26953882371824756</v>
      </c>
    </row>
    <row r="269" spans="24:37" x14ac:dyDescent="0.2">
      <c r="X269" s="196">
        <v>45139</v>
      </c>
      <c r="Y269">
        <v>6.3434302961003802E-2</v>
      </c>
      <c r="Z269" s="18"/>
      <c r="AA269" s="19">
        <f t="shared" si="16"/>
        <v>2023</v>
      </c>
      <c r="AB269" s="18">
        <f t="shared" si="17"/>
        <v>8</v>
      </c>
      <c r="AC269" s="20">
        <f>(1+Y269/2)^(-(DATE(AA270,AB270,5)-TradeSum!$B$2)/182.625)</f>
        <v>0.25531787021715363</v>
      </c>
      <c r="AD269" s="19"/>
      <c r="AF269" s="196">
        <v>45139</v>
      </c>
      <c r="AG269">
        <v>6.1121160376242004E-2</v>
      </c>
      <c r="AI269" s="19">
        <f t="shared" si="18"/>
        <v>2023</v>
      </c>
      <c r="AJ269" s="18">
        <f t="shared" si="19"/>
        <v>8</v>
      </c>
      <c r="AK269" s="20">
        <f>(1+AG269/2)^(-(DATE(AI270,AJ270,5)-TradeSum!$B$2)/182.625)</f>
        <v>0.26815134030928728</v>
      </c>
    </row>
    <row r="270" spans="24:37" x14ac:dyDescent="0.2">
      <c r="X270" s="196">
        <v>45170</v>
      </c>
      <c r="Y270">
        <v>6.3431093233098992E-2</v>
      </c>
      <c r="Z270" s="18"/>
      <c r="AA270" s="19">
        <f t="shared" si="16"/>
        <v>2023</v>
      </c>
      <c r="AB270" s="18">
        <f t="shared" si="17"/>
        <v>9</v>
      </c>
      <c r="AC270" s="20">
        <f>(1+Y270/2)^(-(DATE(AA271,AB271,5)-TradeSum!$B$2)/182.625)</f>
        <v>0.25402896541792302</v>
      </c>
      <c r="AD270" s="19"/>
      <c r="AF270" s="196">
        <v>45170</v>
      </c>
      <c r="AG270">
        <v>6.1123575961211402E-2</v>
      </c>
      <c r="AI270" s="19">
        <f t="shared" si="18"/>
        <v>2023</v>
      </c>
      <c r="AJ270" s="18">
        <f t="shared" si="19"/>
        <v>9</v>
      </c>
      <c r="AK270" s="20">
        <f>(1+AG270/2)^(-(DATE(AI271,AJ271,5)-TradeSum!$B$2)/182.625)</f>
        <v>0.26681487140362159</v>
      </c>
    </row>
    <row r="271" spans="24:37" x14ac:dyDescent="0.2">
      <c r="X271" s="196">
        <v>45200</v>
      </c>
      <c r="Y271">
        <v>6.3427987044807593E-2</v>
      </c>
      <c r="Z271" s="18"/>
      <c r="AA271" s="19">
        <f t="shared" si="16"/>
        <v>2023</v>
      </c>
      <c r="AB271" s="18">
        <f t="shared" si="17"/>
        <v>10</v>
      </c>
      <c r="AC271" s="20">
        <f>(1+Y271/2)^(-(DATE(AA272,AB272,5)-TradeSum!$B$2)/182.625)</f>
        <v>0.25270293214587436</v>
      </c>
      <c r="AD271" s="19"/>
      <c r="AF271" s="196">
        <v>45200</v>
      </c>
      <c r="AG271">
        <v>6.1125913624087196E-2</v>
      </c>
      <c r="AI271" s="19">
        <f t="shared" si="18"/>
        <v>2023</v>
      </c>
      <c r="AJ271" s="18">
        <f t="shared" si="19"/>
        <v>10</v>
      </c>
      <c r="AK271" s="20">
        <f>(1+AG271/2)^(-(DATE(AI272,AJ272,5)-TradeSum!$B$2)/182.625)</f>
        <v>0.26544164249908081</v>
      </c>
    </row>
    <row r="272" spans="24:37" x14ac:dyDescent="0.2">
      <c r="X272" s="196">
        <v>45231</v>
      </c>
      <c r="Y272">
        <v>6.3424777316909403E-2</v>
      </c>
      <c r="Z272" s="18"/>
      <c r="AA272" s="19">
        <f t="shared" si="16"/>
        <v>2023</v>
      </c>
      <c r="AB272" s="18">
        <f t="shared" si="17"/>
        <v>11</v>
      </c>
      <c r="AC272" s="20">
        <f>(1+Y272/2)^(-(DATE(AA273,AB273,5)-TradeSum!$B$2)/182.625)</f>
        <v>0.25142748527975001</v>
      </c>
      <c r="AD272" s="19"/>
      <c r="AF272" s="196">
        <v>45231</v>
      </c>
      <c r="AG272">
        <v>6.11283292090605E-2</v>
      </c>
      <c r="AI272" s="19">
        <f t="shared" si="18"/>
        <v>2023</v>
      </c>
      <c r="AJ272" s="18">
        <f t="shared" si="19"/>
        <v>11</v>
      </c>
      <c r="AK272" s="20">
        <f>(1+AG272/2)^(-(DATE(AI273,AJ273,5)-TradeSum!$B$2)/182.625)</f>
        <v>0.26411847533658489</v>
      </c>
    </row>
    <row r="273" spans="24:37" x14ac:dyDescent="0.2">
      <c r="X273" s="196">
        <v>45261</v>
      </c>
      <c r="Y273">
        <v>6.3421671128625096E-2</v>
      </c>
      <c r="Z273" s="18"/>
      <c r="AA273" s="19">
        <f t="shared" si="16"/>
        <v>2023</v>
      </c>
      <c r="AB273" s="18">
        <f t="shared" si="17"/>
        <v>12</v>
      </c>
      <c r="AC273" s="20">
        <f>(1+Y273/2)^(-(DATE(AA274,AB274,5)-TradeSum!$B$2)/182.625)</f>
        <v>0.25011528752154777</v>
      </c>
      <c r="AD273" s="19"/>
      <c r="AF273" s="196">
        <v>45261</v>
      </c>
      <c r="AG273">
        <v>6.1130666871939805E-2</v>
      </c>
      <c r="AI273" s="19">
        <f t="shared" si="18"/>
        <v>2023</v>
      </c>
      <c r="AJ273" s="18">
        <f t="shared" si="19"/>
        <v>12</v>
      </c>
      <c r="AK273" s="20">
        <f>(1+AG273/2)^(-(DATE(AI274,AJ274,5)-TradeSum!$B$2)/182.625)</f>
        <v>0.2627589217322851</v>
      </c>
    </row>
    <row r="274" spans="24:37" x14ac:dyDescent="0.2">
      <c r="X274" s="196">
        <v>45292</v>
      </c>
      <c r="Y274">
        <v>6.3418461400733997E-2</v>
      </c>
      <c r="Z274" s="18"/>
      <c r="AA274" s="19">
        <f t="shared" si="16"/>
        <v>2024</v>
      </c>
      <c r="AB274" s="18">
        <f t="shared" si="17"/>
        <v>1</v>
      </c>
      <c r="AC274" s="20">
        <f>(1+Y274/2)^(-(DATE(AA275,AB275,5)-TradeSum!$B$2)/182.625)</f>
        <v>0.24881062163932363</v>
      </c>
      <c r="AD274" s="19"/>
      <c r="AF274" s="196">
        <v>45292</v>
      </c>
      <c r="AG274">
        <v>6.1133082456916697E-2</v>
      </c>
      <c r="AI274" s="19">
        <f t="shared" si="18"/>
        <v>2024</v>
      </c>
      <c r="AJ274" s="18">
        <f t="shared" si="19"/>
        <v>1</v>
      </c>
      <c r="AK274" s="20">
        <f>(1+AG274/2)^(-(DATE(AI275,AJ275,5)-TradeSum!$B$2)/182.625)</f>
        <v>0.26140582543195479</v>
      </c>
    </row>
    <row r="275" spans="24:37" x14ac:dyDescent="0.2">
      <c r="X275" s="196">
        <v>45323</v>
      </c>
      <c r="Y275">
        <v>6.3415251672846104E-2</v>
      </c>
      <c r="Z275" s="18"/>
      <c r="AA275" s="19">
        <f t="shared" si="16"/>
        <v>2024</v>
      </c>
      <c r="AB275" s="18">
        <f t="shared" si="17"/>
        <v>2</v>
      </c>
      <c r="AC275" s="20">
        <f>(1+Y275/2)^(-(DATE(AA276,AB276,5)-TradeSum!$B$2)/182.625)</f>
        <v>0.24759751909514691</v>
      </c>
      <c r="AD275" s="19"/>
      <c r="AF275" s="196">
        <v>45323</v>
      </c>
      <c r="AG275">
        <v>6.11354980418959E-2</v>
      </c>
      <c r="AI275" s="19">
        <f t="shared" si="18"/>
        <v>2024</v>
      </c>
      <c r="AJ275" s="18">
        <f t="shared" si="19"/>
        <v>2</v>
      </c>
      <c r="AK275" s="20">
        <f>(1+AG275/2)^(-(DATE(AI276,AJ276,5)-TradeSum!$B$2)/182.625)</f>
        <v>0.2601453610997696</v>
      </c>
    </row>
    <row r="276" spans="24:37" x14ac:dyDescent="0.2">
      <c r="X276" s="196">
        <v>45352</v>
      </c>
      <c r="Y276">
        <v>6.3412249024179995E-2</v>
      </c>
      <c r="Z276" s="18"/>
      <c r="AA276" s="19">
        <f t="shared" si="16"/>
        <v>2024</v>
      </c>
      <c r="AB276" s="18">
        <f t="shared" si="17"/>
        <v>3</v>
      </c>
      <c r="AC276" s="20">
        <f>(1+Y276/2)^(-(DATE(AA277,AB277,5)-TradeSum!$B$2)/182.625)</f>
        <v>0.24630513293058348</v>
      </c>
      <c r="AD276" s="19"/>
      <c r="AF276" s="196">
        <v>45352</v>
      </c>
      <c r="AG276">
        <v>6.1137757782684606E-2</v>
      </c>
      <c r="AI276" s="19">
        <f t="shared" si="18"/>
        <v>2024</v>
      </c>
      <c r="AJ276" s="18">
        <f t="shared" si="19"/>
        <v>3</v>
      </c>
      <c r="AK276" s="20">
        <f>(1+AG276/2)^(-(DATE(AI277,AJ277,5)-TradeSum!$B$2)/182.625)</f>
        <v>0.25880639935638894</v>
      </c>
    </row>
    <row r="277" spans="24:37" x14ac:dyDescent="0.2">
      <c r="X277" s="196">
        <v>45383</v>
      </c>
      <c r="Y277">
        <v>6.3409039296298708E-2</v>
      </c>
      <c r="Z277" s="18"/>
      <c r="AA277" s="19">
        <f t="shared" si="16"/>
        <v>2024</v>
      </c>
      <c r="AB277" s="18">
        <f t="shared" si="17"/>
        <v>4</v>
      </c>
      <c r="AC277" s="20">
        <f>(1+Y277/2)^(-(DATE(AA278,AB278,5)-TradeSum!$B$2)/182.625)</f>
        <v>0.24506260160560542</v>
      </c>
      <c r="AD277" s="19"/>
      <c r="AF277" s="196">
        <v>45383</v>
      </c>
      <c r="AG277">
        <v>6.1140173367667298E-2</v>
      </c>
      <c r="AI277" s="19">
        <f t="shared" si="18"/>
        <v>2024</v>
      </c>
      <c r="AJ277" s="18">
        <f t="shared" si="19"/>
        <v>4</v>
      </c>
      <c r="AK277" s="20">
        <f>(1+AG277/2)^(-(DATE(AI278,AJ278,5)-TradeSum!$B$2)/182.625)</f>
        <v>0.2575158131937757</v>
      </c>
    </row>
    <row r="278" spans="24:37" x14ac:dyDescent="0.2">
      <c r="X278" s="196">
        <v>45413</v>
      </c>
      <c r="Y278">
        <v>6.3405933108029902E-2</v>
      </c>
      <c r="Z278" s="18"/>
      <c r="AA278" s="19">
        <f t="shared" si="16"/>
        <v>2024</v>
      </c>
      <c r="AB278" s="18">
        <f t="shared" si="17"/>
        <v>5</v>
      </c>
      <c r="AC278" s="20">
        <f>(1+Y278/2)^(-(DATE(AA279,AB279,5)-TradeSum!$B$2)/182.625)</f>
        <v>0.24378424330903578</v>
      </c>
      <c r="AD278" s="19"/>
      <c r="AF278" s="196">
        <v>45413</v>
      </c>
      <c r="AG278">
        <v>6.1142511030555902E-2</v>
      </c>
      <c r="AI278" s="19">
        <f t="shared" si="18"/>
        <v>2024</v>
      </c>
      <c r="AJ278" s="18">
        <f t="shared" si="19"/>
        <v>5</v>
      </c>
      <c r="AK278" s="20">
        <f>(1+AG278/2)^(-(DATE(AI279,AJ279,5)-TradeSum!$B$2)/182.625)</f>
        <v>0.25618975522815546</v>
      </c>
    </row>
    <row r="279" spans="24:37" x14ac:dyDescent="0.2">
      <c r="X279" s="196">
        <v>45444</v>
      </c>
      <c r="Y279">
        <v>6.3402723380155693E-2</v>
      </c>
      <c r="Z279" s="18"/>
      <c r="AA279" s="19">
        <f t="shared" si="16"/>
        <v>2024</v>
      </c>
      <c r="AB279" s="18">
        <f t="shared" si="17"/>
        <v>6</v>
      </c>
      <c r="AC279" s="20">
        <f>(1+Y279/2)^(-(DATE(AA280,AB280,5)-TradeSum!$B$2)/182.625)</f>
        <v>0.24255467711309503</v>
      </c>
      <c r="AD279" s="19"/>
      <c r="AF279" s="196">
        <v>45444</v>
      </c>
      <c r="AG279">
        <v>6.1144926615542598E-2</v>
      </c>
      <c r="AI279" s="19">
        <f t="shared" si="18"/>
        <v>2024</v>
      </c>
      <c r="AJ279" s="18">
        <f t="shared" si="19"/>
        <v>6</v>
      </c>
      <c r="AK279" s="20">
        <f>(1+AG279/2)^(-(DATE(AI280,AJ280,5)-TradeSum!$B$2)/182.625)</f>
        <v>0.2549120211230248</v>
      </c>
    </row>
    <row r="280" spans="24:37" x14ac:dyDescent="0.2">
      <c r="X280" s="196">
        <v>45474</v>
      </c>
      <c r="Y280">
        <v>6.339961719189359E-2</v>
      </c>
      <c r="Z280" s="18"/>
      <c r="AA280" s="19">
        <f t="shared" si="16"/>
        <v>2024</v>
      </c>
      <c r="AB280" s="18">
        <f t="shared" si="17"/>
        <v>7</v>
      </c>
      <c r="AC280" s="20">
        <f>(1+Y280/2)^(-(DATE(AA281,AB281,5)-TradeSum!$B$2)/182.625)</f>
        <v>0.24128964803966826</v>
      </c>
      <c r="AD280" s="19"/>
      <c r="AF280" s="196">
        <v>45474</v>
      </c>
      <c r="AG280">
        <v>6.1147264278434803E-2</v>
      </c>
      <c r="AI280" s="19">
        <f t="shared" si="18"/>
        <v>2024</v>
      </c>
      <c r="AJ280" s="18">
        <f t="shared" si="19"/>
        <v>7</v>
      </c>
      <c r="AK280" s="20">
        <f>(1+AG280/2)^(-(DATE(AI281,AJ281,5)-TradeSum!$B$2)/182.625)</f>
        <v>0.25359917587149255</v>
      </c>
    </row>
    <row r="281" spans="24:37" x14ac:dyDescent="0.2">
      <c r="X281" s="196">
        <v>45505</v>
      </c>
      <c r="Y281">
        <v>6.3396407464025611E-2</v>
      </c>
      <c r="Z281" s="18"/>
      <c r="AA281" s="19">
        <f t="shared" si="16"/>
        <v>2024</v>
      </c>
      <c r="AB281" s="18">
        <f t="shared" si="17"/>
        <v>8</v>
      </c>
      <c r="AC281" s="20">
        <f>(1+Y281/2)^(-(DATE(AA282,AB282,5)-TradeSum!$B$2)/182.625)</f>
        <v>0.24003189011456411</v>
      </c>
      <c r="AD281" s="19"/>
      <c r="AF281" s="196">
        <v>45505</v>
      </c>
      <c r="AG281">
        <v>6.1149679863425004E-2</v>
      </c>
      <c r="AI281" s="19">
        <f t="shared" si="18"/>
        <v>2024</v>
      </c>
      <c r="AJ281" s="18">
        <f t="shared" si="19"/>
        <v>8</v>
      </c>
      <c r="AK281" s="20">
        <f>(1+AG281/2)^(-(DATE(AI282,AJ282,5)-TradeSum!$B$2)/182.625)</f>
        <v>0.25229255874589085</v>
      </c>
    </row>
    <row r="282" spans="24:37" x14ac:dyDescent="0.2">
      <c r="X282" s="196">
        <v>45536</v>
      </c>
      <c r="Y282">
        <v>6.3393197736161297E-2</v>
      </c>
      <c r="Z282" s="18"/>
      <c r="AA282" s="19">
        <f t="shared" si="16"/>
        <v>2024</v>
      </c>
      <c r="AB282" s="18">
        <f t="shared" si="17"/>
        <v>9</v>
      </c>
      <c r="AC282" s="20">
        <f>(1+Y282/2)^(-(DATE(AA283,AB283,5)-TradeSum!$B$2)/182.625)</f>
        <v>0.23882161787080641</v>
      </c>
      <c r="AD282" s="19"/>
      <c r="AF282" s="196">
        <v>45536</v>
      </c>
      <c r="AG282">
        <v>6.1152095448417501E-2</v>
      </c>
      <c r="AI282" s="19">
        <f t="shared" si="18"/>
        <v>2024</v>
      </c>
      <c r="AJ282" s="18">
        <f t="shared" si="19"/>
        <v>9</v>
      </c>
      <c r="AK282" s="20">
        <f>(1+AG282/2)^(-(DATE(AI283,AJ283,5)-TradeSum!$B$2)/182.625)</f>
        <v>0.25103397013127243</v>
      </c>
    </row>
    <row r="283" spans="24:37" x14ac:dyDescent="0.2">
      <c r="X283" s="196">
        <v>45566</v>
      </c>
      <c r="Y283">
        <v>6.3390091547909297E-2</v>
      </c>
      <c r="Z283" s="18"/>
      <c r="AA283" s="19">
        <f t="shared" si="16"/>
        <v>2024</v>
      </c>
      <c r="AB283" s="18">
        <f t="shared" si="17"/>
        <v>10</v>
      </c>
      <c r="AC283" s="20">
        <f>(1+Y283/2)^(-(DATE(AA284,AB284,5)-TradeSum!$B$2)/182.625)</f>
        <v>0.23757642475478033</v>
      </c>
      <c r="AD283" s="19"/>
      <c r="AF283" s="196">
        <v>45566</v>
      </c>
      <c r="AG283">
        <v>6.1154433111315E-2</v>
      </c>
      <c r="AI283" s="19">
        <f t="shared" si="18"/>
        <v>2024</v>
      </c>
      <c r="AJ283" s="18">
        <f t="shared" si="19"/>
        <v>10</v>
      </c>
      <c r="AK283" s="20">
        <f>(1+AG283/2)^(-(DATE(AI284,AJ284,5)-TradeSum!$B$2)/182.625)</f>
        <v>0.24974080748903724</v>
      </c>
    </row>
    <row r="284" spans="24:37" x14ac:dyDescent="0.2">
      <c r="X284" s="196">
        <v>45597</v>
      </c>
      <c r="Y284">
        <v>6.3386881820052005E-2</v>
      </c>
      <c r="Z284" s="18"/>
      <c r="AA284" s="19">
        <f t="shared" si="16"/>
        <v>2024</v>
      </c>
      <c r="AB284" s="18">
        <f t="shared" si="17"/>
        <v>11</v>
      </c>
      <c r="AC284" s="20">
        <f>(1+Y284/2)^(-(DATE(AA285,AB285,5)-TradeSum!$B$2)/182.625)</f>
        <v>0.2363787750162972</v>
      </c>
      <c r="AD284" s="19"/>
      <c r="AF284" s="196">
        <v>45597</v>
      </c>
      <c r="AG284">
        <v>6.1156848696311404E-2</v>
      </c>
      <c r="AI284" s="19">
        <f t="shared" si="18"/>
        <v>2024</v>
      </c>
      <c r="AJ284" s="18">
        <f t="shared" si="19"/>
        <v>11</v>
      </c>
      <c r="AK284" s="20">
        <f>(1+AG284/2)^(-(DATE(AI285,AJ285,5)-TradeSum!$B$2)/182.625)</f>
        <v>0.24849475718025105</v>
      </c>
    </row>
    <row r="285" spans="24:37" x14ac:dyDescent="0.2">
      <c r="X285" s="196">
        <v>45627</v>
      </c>
      <c r="Y285">
        <v>6.3383775631805903E-2</v>
      </c>
      <c r="Z285" s="18"/>
      <c r="AA285" s="19">
        <f t="shared" si="16"/>
        <v>2024</v>
      </c>
      <c r="AB285" s="18">
        <f t="shared" si="17"/>
        <v>12</v>
      </c>
      <c r="AC285" s="20">
        <f>(1+Y285/2)^(-(DATE(AA286,AB286,5)-TradeSum!$B$2)/182.625)</f>
        <v>0.23514655911566879</v>
      </c>
      <c r="AD285" s="19"/>
      <c r="AF285" s="196">
        <v>45627</v>
      </c>
      <c r="AG285">
        <v>6.11591863592129E-2</v>
      </c>
      <c r="AI285" s="19">
        <f t="shared" si="18"/>
        <v>2024</v>
      </c>
      <c r="AJ285" s="18">
        <f t="shared" si="19"/>
        <v>12</v>
      </c>
      <c r="AK285" s="20">
        <f>(1+AG285/2)^(-(DATE(AI286,AJ286,5)-TradeSum!$B$2)/182.625)</f>
        <v>0.24721448450559225</v>
      </c>
    </row>
    <row r="286" spans="24:37" x14ac:dyDescent="0.2">
      <c r="X286" s="196">
        <v>45658</v>
      </c>
      <c r="Y286">
        <v>6.3380565903955202E-2</v>
      </c>
      <c r="Z286" s="18"/>
      <c r="AA286" s="19">
        <f t="shared" si="16"/>
        <v>2025</v>
      </c>
      <c r="AB286" s="18">
        <f t="shared" si="17"/>
        <v>1</v>
      </c>
      <c r="AC286" s="20">
        <f>(1+Y286/2)^(-(DATE(AA287,AB287,5)-TradeSum!$B$2)/182.625)</f>
        <v>0.23392143277926583</v>
      </c>
      <c r="AD286" s="19"/>
      <c r="AF286" s="196">
        <v>45658</v>
      </c>
      <c r="AG286">
        <v>6.1161601944212905E-2</v>
      </c>
      <c r="AI286" s="19">
        <f t="shared" si="18"/>
        <v>2025</v>
      </c>
      <c r="AJ286" s="18">
        <f t="shared" si="19"/>
        <v>1</v>
      </c>
      <c r="AK286" s="20">
        <f>(1+AG286/2)^(-(DATE(AI287,AJ287,5)-TradeSum!$B$2)/182.625)</f>
        <v>0.24594028030300263</v>
      </c>
    </row>
    <row r="287" spans="24:37" x14ac:dyDescent="0.2">
      <c r="X287" s="196">
        <v>45689</v>
      </c>
      <c r="Y287">
        <v>6.3377356176107694E-2</v>
      </c>
      <c r="Z287" s="18"/>
      <c r="AA287" s="19">
        <f t="shared" si="16"/>
        <v>2025</v>
      </c>
      <c r="AB287" s="18">
        <f t="shared" si="17"/>
        <v>2</v>
      </c>
      <c r="AC287" s="20">
        <f>(1+Y287/2)^(-(DATE(AA288,AB288,5)-TradeSum!$B$2)/182.625)</f>
        <v>0.23282209741474955</v>
      </c>
      <c r="AD287" s="19"/>
      <c r="AF287" s="196">
        <v>45689</v>
      </c>
      <c r="AG287">
        <v>6.1164017529214701E-2</v>
      </c>
      <c r="AI287" s="19">
        <f t="shared" si="18"/>
        <v>2025</v>
      </c>
      <c r="AJ287" s="18">
        <f t="shared" si="19"/>
        <v>2</v>
      </c>
      <c r="AK287" s="20">
        <f>(1+AG287/2)^(-(DATE(AI288,AJ288,5)-TradeSum!$B$2)/182.625)</f>
        <v>0.24479365131898681</v>
      </c>
    </row>
    <row r="288" spans="24:37" x14ac:dyDescent="0.2">
      <c r="X288" s="196">
        <v>45717</v>
      </c>
      <c r="Y288">
        <v>6.3374457067087303E-2</v>
      </c>
      <c r="Z288" s="18"/>
      <c r="AA288" s="19">
        <f t="shared" si="16"/>
        <v>2025</v>
      </c>
      <c r="AB288" s="18">
        <f t="shared" si="17"/>
        <v>3</v>
      </c>
      <c r="AC288" s="20">
        <f>(1+Y288/2)^(-(DATE(AA289,AB289,5)-TradeSum!$B$2)/182.625)</f>
        <v>0.23160768559187828</v>
      </c>
      <c r="AD288" s="19"/>
      <c r="AF288" s="196">
        <v>45717</v>
      </c>
      <c r="AG288">
        <v>6.1166199347927601E-2</v>
      </c>
      <c r="AI288" s="19">
        <f t="shared" si="18"/>
        <v>2025</v>
      </c>
      <c r="AJ288" s="18">
        <f t="shared" si="19"/>
        <v>3</v>
      </c>
      <c r="AK288" s="20">
        <f>(1+AG288/2)^(-(DATE(AI289,AJ289,5)-TradeSum!$B$2)/182.625)</f>
        <v>0.24353303068113727</v>
      </c>
    </row>
    <row r="289" spans="24:37" x14ac:dyDescent="0.2">
      <c r="X289" s="196">
        <v>45748</v>
      </c>
      <c r="Y289">
        <v>6.3371247339245998E-2</v>
      </c>
      <c r="Z289" s="18"/>
      <c r="AA289" s="19">
        <f t="shared" si="16"/>
        <v>2025</v>
      </c>
      <c r="AB289" s="18">
        <f t="shared" si="17"/>
        <v>4</v>
      </c>
      <c r="AC289" s="20">
        <f>(1+Y289/2)^(-(DATE(AA290,AB290,5)-TradeSum!$B$2)/182.625)</f>
        <v>0.23044070829169128</v>
      </c>
      <c r="AD289" s="19"/>
      <c r="AF289" s="196">
        <v>45748</v>
      </c>
      <c r="AG289">
        <v>6.11686149329334E-2</v>
      </c>
      <c r="AI289" s="19">
        <f t="shared" si="18"/>
        <v>2025</v>
      </c>
      <c r="AJ289" s="18">
        <f t="shared" si="19"/>
        <v>4</v>
      </c>
      <c r="AK289" s="20">
        <f>(1+AG289/2)^(-(DATE(AI290,AJ290,5)-TradeSum!$B$2)/182.625)</f>
        <v>0.24231749132759697</v>
      </c>
    </row>
    <row r="290" spans="24:37" x14ac:dyDescent="0.2">
      <c r="X290" s="196">
        <v>45778</v>
      </c>
      <c r="Y290">
        <v>6.33681411510163E-2</v>
      </c>
      <c r="Z290" s="18"/>
      <c r="AA290" s="19">
        <f t="shared" si="16"/>
        <v>2025</v>
      </c>
      <c r="AB290" s="18">
        <f t="shared" si="17"/>
        <v>5</v>
      </c>
      <c r="AC290" s="20">
        <f>(1+Y290/2)^(-(DATE(AA291,AB291,5)-TradeSum!$B$2)/182.625)</f>
        <v>0.22924002716746242</v>
      </c>
      <c r="AD290" s="19"/>
      <c r="AF290" s="196">
        <v>45778</v>
      </c>
      <c r="AG290">
        <v>6.1170952595844201E-2</v>
      </c>
      <c r="AI290" s="19">
        <f t="shared" si="18"/>
        <v>2025</v>
      </c>
      <c r="AJ290" s="18">
        <f t="shared" si="19"/>
        <v>5</v>
      </c>
      <c r="AK290" s="20">
        <f>(1+AG290/2)^(-(DATE(AI291,AJ291,5)-TradeSum!$B$2)/182.625)</f>
        <v>0.24106858502879908</v>
      </c>
    </row>
    <row r="291" spans="24:37" x14ac:dyDescent="0.2">
      <c r="X291" s="196">
        <v>45809</v>
      </c>
      <c r="Y291">
        <v>6.33649314231821E-2</v>
      </c>
      <c r="Z291" s="18"/>
      <c r="AA291" s="19">
        <f t="shared" si="16"/>
        <v>2025</v>
      </c>
      <c r="AB291" s="18">
        <f t="shared" si="17"/>
        <v>6</v>
      </c>
      <c r="AC291" s="20">
        <f>(1+Y291/2)^(-(DATE(AA292,AB292,5)-TradeSum!$B$2)/182.625)</f>
        <v>0.22808521278859531</v>
      </c>
      <c r="AD291" s="19"/>
      <c r="AF291" s="196">
        <v>45809</v>
      </c>
      <c r="AG291">
        <v>6.1173368180853505E-2</v>
      </c>
      <c r="AI291" s="19">
        <f t="shared" si="18"/>
        <v>2025</v>
      </c>
      <c r="AJ291" s="18">
        <f t="shared" si="19"/>
        <v>6</v>
      </c>
      <c r="AK291" s="20">
        <f>(1+AG291/2)^(-(DATE(AI292,AJ292,5)-TradeSum!$B$2)/182.625)</f>
        <v>0.23986516165948962</v>
      </c>
    </row>
    <row r="292" spans="24:37" x14ac:dyDescent="0.2">
      <c r="X292" s="196">
        <v>45839</v>
      </c>
      <c r="Y292">
        <v>6.3361825234958993E-2</v>
      </c>
      <c r="Z292" s="18"/>
      <c r="AA292" s="19">
        <f t="shared" si="16"/>
        <v>2025</v>
      </c>
      <c r="AB292" s="18">
        <f t="shared" si="17"/>
        <v>7</v>
      </c>
      <c r="AC292" s="20">
        <f>(1+Y292/2)^(-(DATE(AA293,AB293,5)-TradeSum!$B$2)/182.625)</f>
        <v>0.22689703669862987</v>
      </c>
      <c r="AD292" s="19"/>
      <c r="AF292" s="196">
        <v>45839</v>
      </c>
      <c r="AG292">
        <v>6.11757058437679E-2</v>
      </c>
      <c r="AI292" s="19">
        <f t="shared" si="18"/>
        <v>2025</v>
      </c>
      <c r="AJ292" s="18">
        <f t="shared" si="19"/>
        <v>7</v>
      </c>
      <c r="AK292" s="20">
        <f>(1+AG292/2)^(-(DATE(AI293,AJ293,5)-TradeSum!$B$2)/182.625)</f>
        <v>0.23862871090722254</v>
      </c>
    </row>
    <row r="293" spans="24:37" x14ac:dyDescent="0.2">
      <c r="X293" s="196">
        <v>45870</v>
      </c>
      <c r="Y293">
        <v>6.3358615507131996E-2</v>
      </c>
      <c r="Z293" s="18"/>
      <c r="AA293" s="19">
        <f t="shared" si="16"/>
        <v>2025</v>
      </c>
      <c r="AB293" s="18">
        <f t="shared" si="17"/>
        <v>8</v>
      </c>
      <c r="AC293" s="20">
        <f>(1+Y293/2)^(-(DATE(AA294,AB294,5)-TradeSum!$B$2)/182.625)</f>
        <v>0.22571570618487324</v>
      </c>
      <c r="AD293" s="19"/>
      <c r="AF293" s="196">
        <v>45870</v>
      </c>
      <c r="AG293">
        <v>6.11781214287812E-2</v>
      </c>
      <c r="AI293" s="19">
        <f t="shared" si="18"/>
        <v>2025</v>
      </c>
      <c r="AJ293" s="18">
        <f t="shared" si="19"/>
        <v>8</v>
      </c>
      <c r="AK293" s="20">
        <f>(1+AG293/2)^(-(DATE(AI294,AJ294,5)-TradeSum!$B$2)/182.625)</f>
        <v>0.23739811405630729</v>
      </c>
    </row>
    <row r="294" spans="24:37" x14ac:dyDescent="0.2">
      <c r="X294" s="196">
        <v>45901</v>
      </c>
      <c r="Y294">
        <v>6.3355405779308011E-2</v>
      </c>
      <c r="Z294" s="18"/>
      <c r="AA294" s="19">
        <f t="shared" si="16"/>
        <v>2025</v>
      </c>
      <c r="AB294" s="18">
        <f t="shared" si="17"/>
        <v>9</v>
      </c>
      <c r="AC294" s="20">
        <f>(1+Y294/2)^(-(DATE(AA295,AB295,5)-TradeSum!$B$2)/182.625)</f>
        <v>0.22457899222624911</v>
      </c>
      <c r="AD294" s="19"/>
      <c r="AF294" s="196">
        <v>45901</v>
      </c>
      <c r="AG294">
        <v>6.1180537013795902E-2</v>
      </c>
      <c r="AI294" s="19">
        <f t="shared" si="18"/>
        <v>2025</v>
      </c>
      <c r="AJ294" s="18">
        <f t="shared" si="19"/>
        <v>9</v>
      </c>
      <c r="AK294" s="20">
        <f>(1+AG294/2)^(-(DATE(AI295,AJ295,5)-TradeSum!$B$2)/182.625)</f>
        <v>0.23621273944655619</v>
      </c>
    </row>
    <row r="295" spans="24:37" x14ac:dyDescent="0.2">
      <c r="X295" s="196">
        <v>45931</v>
      </c>
      <c r="Y295">
        <v>6.3352299591094202E-2</v>
      </c>
      <c r="Z295" s="18"/>
      <c r="AA295" s="19">
        <f t="shared" si="16"/>
        <v>2025</v>
      </c>
      <c r="AB295" s="18">
        <f t="shared" si="17"/>
        <v>10</v>
      </c>
      <c r="AC295" s="20">
        <f>(1+Y295/2)^(-(DATE(AA296,AB296,5)-TradeSum!$B$2)/182.625)</f>
        <v>0.22340942584728679</v>
      </c>
      <c r="AD295" s="19"/>
      <c r="AF295" s="196">
        <v>45931</v>
      </c>
      <c r="AG295">
        <v>6.1182874676715598E-2</v>
      </c>
      <c r="AI295" s="19">
        <f t="shared" si="18"/>
        <v>2025</v>
      </c>
      <c r="AJ295" s="18">
        <f t="shared" si="19"/>
        <v>10</v>
      </c>
      <c r="AK295" s="20">
        <f>(1+AG295/2)^(-(DATE(AI296,AJ296,5)-TradeSum!$B$2)/182.625)</f>
        <v>0.23499484315132732</v>
      </c>
    </row>
    <row r="296" spans="24:37" x14ac:dyDescent="0.2">
      <c r="X296" s="196">
        <v>45962</v>
      </c>
      <c r="Y296">
        <v>6.3349089863276906E-2</v>
      </c>
      <c r="Z296" s="18"/>
      <c r="AA296" s="19">
        <f t="shared" si="16"/>
        <v>2025</v>
      </c>
      <c r="AB296" s="18">
        <f t="shared" si="17"/>
        <v>11</v>
      </c>
      <c r="AC296" s="20">
        <f>(1+Y296/2)^(-(DATE(AA297,AB297,5)-TradeSum!$B$2)/182.625)</f>
        <v>0.22228455373549003</v>
      </c>
      <c r="AD296" s="19"/>
      <c r="AF296" s="196">
        <v>45962</v>
      </c>
      <c r="AG296">
        <v>6.1185290261734707E-2</v>
      </c>
      <c r="AI296" s="19">
        <f t="shared" si="18"/>
        <v>2025</v>
      </c>
      <c r="AJ296" s="18">
        <f t="shared" si="19"/>
        <v>11</v>
      </c>
      <c r="AK296" s="20">
        <f>(1+AG296/2)^(-(DATE(AI297,AJ297,5)-TradeSum!$B$2)/182.625)</f>
        <v>0.23382128846148417</v>
      </c>
    </row>
    <row r="297" spans="24:37" x14ac:dyDescent="0.2">
      <c r="X297" s="196">
        <v>45992</v>
      </c>
      <c r="Y297">
        <v>6.33459836750698E-2</v>
      </c>
      <c r="Z297" s="18"/>
      <c r="AA297" s="19">
        <f t="shared" si="16"/>
        <v>2025</v>
      </c>
      <c r="AB297" s="18">
        <f t="shared" si="17"/>
        <v>12</v>
      </c>
      <c r="AC297" s="20">
        <f>(1+Y297/2)^(-(DATE(AA298,AB298,5)-TradeSum!$B$2)/182.625)</f>
        <v>0.22112716250877454</v>
      </c>
      <c r="AD297" s="19"/>
      <c r="AF297" s="196">
        <v>45992</v>
      </c>
      <c r="AG297">
        <v>6.11876279246584E-2</v>
      </c>
      <c r="AI297" s="19">
        <f t="shared" si="18"/>
        <v>2025</v>
      </c>
      <c r="AJ297" s="18">
        <f t="shared" si="19"/>
        <v>12</v>
      </c>
      <c r="AK297" s="20">
        <f>(1+AG297/2)^(-(DATE(AI298,AJ298,5)-TradeSum!$B$2)/182.625)</f>
        <v>0.2326155431718768</v>
      </c>
    </row>
    <row r="298" spans="24:37" x14ac:dyDescent="0.2">
      <c r="X298" s="196">
        <v>46023</v>
      </c>
      <c r="Y298">
        <v>6.3342773947259207E-2</v>
      </c>
      <c r="Z298" s="18"/>
      <c r="AA298" s="19">
        <f t="shared" si="16"/>
        <v>2026</v>
      </c>
      <c r="AB298" s="18">
        <f t="shared" si="17"/>
        <v>1</v>
      </c>
      <c r="AC298" s="20">
        <f>(1+Y298/2)^(-(DATE(AA299,AB299,5)-TradeSum!$B$2)/182.625)</f>
        <v>0.21997644611024603</v>
      </c>
      <c r="AD298" s="19"/>
      <c r="AF298" s="196">
        <v>46023</v>
      </c>
      <c r="AG298">
        <v>6.1190043509681498E-2</v>
      </c>
      <c r="AI298" s="19">
        <f t="shared" si="18"/>
        <v>2026</v>
      </c>
      <c r="AJ298" s="18">
        <f t="shared" si="19"/>
        <v>1</v>
      </c>
      <c r="AK298" s="20">
        <f>(1+AG298/2)^(-(DATE(AI299,AJ299,5)-TradeSum!$B$2)/182.625)</f>
        <v>0.23141550159221277</v>
      </c>
    </row>
    <row r="299" spans="24:37" x14ac:dyDescent="0.2">
      <c r="X299" s="196">
        <v>46054</v>
      </c>
      <c r="Y299">
        <v>6.3339564219452096E-2</v>
      </c>
      <c r="Z299" s="18"/>
      <c r="AA299" s="19">
        <f t="shared" si="16"/>
        <v>2026</v>
      </c>
      <c r="AB299" s="18">
        <f t="shared" si="17"/>
        <v>2</v>
      </c>
      <c r="AC299" s="20">
        <f>(1+Y299/2)^(-(DATE(AA300,AB300,5)-TradeSum!$B$2)/182.625)</f>
        <v>0.21894394232563902</v>
      </c>
      <c r="AD299" s="19"/>
      <c r="AF299" s="196">
        <v>46054</v>
      </c>
      <c r="AG299">
        <v>6.1192459094705901E-2</v>
      </c>
      <c r="AI299" s="19">
        <f t="shared" si="18"/>
        <v>2026</v>
      </c>
      <c r="AJ299" s="18">
        <f t="shared" si="19"/>
        <v>2</v>
      </c>
      <c r="AK299" s="20">
        <f>(1+AG299/2)^(-(DATE(AI300,AJ300,5)-TradeSum!$B$2)/182.625)</f>
        <v>0.23033556376113842</v>
      </c>
    </row>
    <row r="300" spans="24:37" x14ac:dyDescent="0.2">
      <c r="X300" s="196">
        <v>46082</v>
      </c>
      <c r="Y300">
        <v>6.3336665110468107E-2</v>
      </c>
      <c r="Z300" s="18"/>
      <c r="AA300" s="19">
        <f t="shared" si="16"/>
        <v>2026</v>
      </c>
      <c r="AB300" s="18">
        <f t="shared" si="17"/>
        <v>3</v>
      </c>
      <c r="AC300" s="20">
        <f>(1+Y300/2)^(-(DATE(AA301,AB301,5)-TradeSum!$B$2)/182.625)</f>
        <v>0.21780320871154166</v>
      </c>
      <c r="AD300" s="19"/>
      <c r="AF300" s="196">
        <v>46082</v>
      </c>
      <c r="AG300">
        <v>6.1194640913439603E-2</v>
      </c>
      <c r="AI300" s="19">
        <f t="shared" si="18"/>
        <v>2026</v>
      </c>
      <c r="AJ300" s="18">
        <f t="shared" si="19"/>
        <v>3</v>
      </c>
      <c r="AK300" s="20">
        <f>(1+AG300/2)^(-(DATE(AI301,AJ301,5)-TradeSum!$B$2)/182.625)</f>
        <v>0.22914837697572488</v>
      </c>
    </row>
    <row r="301" spans="24:37" x14ac:dyDescent="0.2">
      <c r="X301" s="196">
        <v>46113</v>
      </c>
      <c r="Y301">
        <v>6.33334553826672E-2</v>
      </c>
      <c r="Z301" s="18"/>
      <c r="AA301" s="19">
        <f t="shared" si="16"/>
        <v>2026</v>
      </c>
      <c r="AB301" s="18">
        <f t="shared" si="17"/>
        <v>4</v>
      </c>
      <c r="AC301" s="20">
        <f>(1+Y301/2)^(-(DATE(AA302,AB302,5)-TradeSum!$B$2)/182.625)</f>
        <v>0.2167071126405832</v>
      </c>
      <c r="AD301" s="19"/>
      <c r="AF301" s="196">
        <v>46113</v>
      </c>
      <c r="AG301">
        <v>6.11970564984681E-2</v>
      </c>
      <c r="AI301" s="19">
        <f t="shared" si="18"/>
        <v>2026</v>
      </c>
      <c r="AJ301" s="18">
        <f t="shared" si="19"/>
        <v>4</v>
      </c>
      <c r="AK301" s="20">
        <f>(1+AG301/2)^(-(DATE(AI302,AJ302,5)-TradeSum!$B$2)/182.625)</f>
        <v>0.22800358463255235</v>
      </c>
    </row>
    <row r="302" spans="24:37" x14ac:dyDescent="0.2">
      <c r="X302" s="196">
        <v>46143</v>
      </c>
      <c r="Y302">
        <v>6.3330349194476596E-2</v>
      </c>
      <c r="Z302" s="18"/>
      <c r="AA302" s="19">
        <f t="shared" si="16"/>
        <v>2026</v>
      </c>
      <c r="AB302" s="18">
        <f t="shared" si="17"/>
        <v>5</v>
      </c>
      <c r="AC302" s="20">
        <f>(1+Y302/2)^(-(DATE(AA303,AB303,5)-TradeSum!$B$2)/182.625)</f>
        <v>0.21557930777240103</v>
      </c>
      <c r="AD302" s="19"/>
      <c r="AF302" s="196">
        <v>46143</v>
      </c>
      <c r="AG302">
        <v>6.1199394161400598E-2</v>
      </c>
      <c r="AI302" s="19">
        <f t="shared" si="18"/>
        <v>2026</v>
      </c>
      <c r="AJ302" s="18">
        <f t="shared" si="19"/>
        <v>5</v>
      </c>
      <c r="AK302" s="20">
        <f>(1+AG302/2)^(-(DATE(AI303,AJ303,5)-TradeSum!$B$2)/182.625)</f>
        <v>0.2268274070456755</v>
      </c>
    </row>
    <row r="303" spans="24:37" x14ac:dyDescent="0.2">
      <c r="X303" s="196">
        <v>46174</v>
      </c>
      <c r="Y303">
        <v>6.3327139466682794E-2</v>
      </c>
      <c r="Z303" s="18"/>
      <c r="AA303" s="19">
        <f t="shared" si="16"/>
        <v>2026</v>
      </c>
      <c r="AB303" s="18">
        <f t="shared" si="17"/>
        <v>6</v>
      </c>
      <c r="AC303" s="20">
        <f>(1+Y303/2)^(-(DATE(AA304,AB304,5)-TradeSum!$B$2)/182.625)</f>
        <v>0.21449462285487775</v>
      </c>
      <c r="AD303" s="19"/>
      <c r="AF303" s="196">
        <v>46174</v>
      </c>
      <c r="AG303">
        <v>6.1201809746433099E-2</v>
      </c>
      <c r="AI303" s="19">
        <f t="shared" si="18"/>
        <v>2026</v>
      </c>
      <c r="AJ303" s="18">
        <f t="shared" si="19"/>
        <v>6</v>
      </c>
      <c r="AK303" s="20">
        <f>(1+AG303/2)^(-(DATE(AI304,AJ304,5)-TradeSum!$B$2)/182.625)</f>
        <v>0.22569403612015621</v>
      </c>
    </row>
    <row r="304" spans="24:37" x14ac:dyDescent="0.2">
      <c r="X304" s="196">
        <v>46204</v>
      </c>
      <c r="Y304">
        <v>6.332403327849831E-2</v>
      </c>
      <c r="Z304" s="18"/>
      <c r="AA304" s="19">
        <f t="shared" si="16"/>
        <v>2026</v>
      </c>
      <c r="AB304" s="18">
        <f t="shared" si="17"/>
        <v>7</v>
      </c>
      <c r="AC304" s="20">
        <f>(1+Y304/2)^(-(DATE(AA305,AB305,5)-TradeSum!$B$2)/182.625)</f>
        <v>0.21337855062182179</v>
      </c>
      <c r="AD304" s="19"/>
      <c r="AF304" s="196">
        <v>46204</v>
      </c>
      <c r="AG304">
        <v>6.1204147409369206E-2</v>
      </c>
      <c r="AI304" s="19">
        <f t="shared" si="18"/>
        <v>2026</v>
      </c>
      <c r="AJ304" s="18">
        <f t="shared" si="19"/>
        <v>7</v>
      </c>
      <c r="AK304" s="20">
        <f>(1+AG304/2)^(-(DATE(AI305,AJ305,5)-TradeSum!$B$2)/182.625)</f>
        <v>0.22452959963467956</v>
      </c>
    </row>
    <row r="305" spans="24:37" x14ac:dyDescent="0.2">
      <c r="X305" s="196">
        <v>46235</v>
      </c>
      <c r="Y305">
        <v>6.3320823550711197E-2</v>
      </c>
      <c r="Z305" s="18"/>
      <c r="AA305" s="19">
        <f t="shared" si="16"/>
        <v>2026</v>
      </c>
      <c r="AB305" s="18">
        <f t="shared" si="17"/>
        <v>8</v>
      </c>
      <c r="AC305" s="20">
        <f>(1+Y305/2)^(-(DATE(AA306,AB306,5)-TradeSum!$B$2)/182.625)</f>
        <v>0.21226892378061946</v>
      </c>
      <c r="AD305" s="19"/>
      <c r="AF305" s="196">
        <v>46235</v>
      </c>
      <c r="AG305">
        <v>6.1206562994405599E-2</v>
      </c>
      <c r="AI305" s="19">
        <f t="shared" si="18"/>
        <v>2026</v>
      </c>
      <c r="AJ305" s="18">
        <f t="shared" si="19"/>
        <v>8</v>
      </c>
      <c r="AK305" s="20">
        <f>(1+AG305/2)^(-(DATE(AI306,AJ306,5)-TradeSum!$B$2)/182.625)</f>
        <v>0.22337066501130801</v>
      </c>
    </row>
    <row r="306" spans="24:37" x14ac:dyDescent="0.2">
      <c r="X306" s="196">
        <v>46266</v>
      </c>
      <c r="Y306">
        <v>6.3317613822927693E-2</v>
      </c>
      <c r="Z306" s="18"/>
      <c r="AA306" s="19">
        <f t="shared" si="16"/>
        <v>2026</v>
      </c>
      <c r="AB306" s="18">
        <f t="shared" si="17"/>
        <v>9</v>
      </c>
      <c r="AC306" s="20">
        <f>(1+Y306/2)^(-(DATE(AA307,AB307,5)-TradeSum!$B$2)/182.625)</f>
        <v>0.21120122078001408</v>
      </c>
      <c r="AD306" s="19"/>
      <c r="AF306" s="196">
        <v>46266</v>
      </c>
      <c r="AG306">
        <v>6.12089785794434E-2</v>
      </c>
      <c r="AI306" s="19">
        <f t="shared" si="18"/>
        <v>2026</v>
      </c>
      <c r="AJ306" s="18">
        <f t="shared" si="19"/>
        <v>9</v>
      </c>
      <c r="AK306" s="20">
        <f>(1+AG306/2)^(-(DATE(AI307,AJ307,5)-TradeSum!$B$2)/182.625)</f>
        <v>0.222254307970874</v>
      </c>
    </row>
    <row r="307" spans="24:37" x14ac:dyDescent="0.2">
      <c r="X307" s="196">
        <v>46296</v>
      </c>
      <c r="Y307">
        <v>6.3314507634752992E-2</v>
      </c>
      <c r="Z307" s="18"/>
      <c r="AA307" s="19">
        <f t="shared" si="16"/>
        <v>2026</v>
      </c>
      <c r="AB307" s="18">
        <f t="shared" si="17"/>
        <v>10</v>
      </c>
      <c r="AC307" s="20">
        <f>(1+Y307/2)^(-(DATE(AA308,AB308,5)-TradeSum!$B$2)/182.625)</f>
        <v>0.2101026090487807</v>
      </c>
      <c r="AD307" s="19"/>
      <c r="AF307" s="196">
        <v>46296</v>
      </c>
      <c r="AG307">
        <v>6.1211316242384795E-2</v>
      </c>
      <c r="AI307" s="19">
        <f t="shared" si="18"/>
        <v>2026</v>
      </c>
      <c r="AJ307" s="18">
        <f t="shared" si="19"/>
        <v>10</v>
      </c>
      <c r="AK307" s="20">
        <f>(1+AG307/2)^(-(DATE(AI308,AJ308,5)-TradeSum!$B$2)/182.625)</f>
        <v>0.2211073614579484</v>
      </c>
    </row>
    <row r="308" spans="24:37" x14ac:dyDescent="0.2">
      <c r="X308" s="196">
        <v>46327</v>
      </c>
      <c r="Y308">
        <v>6.3311297906975608E-2</v>
      </c>
      <c r="Z308" s="18"/>
      <c r="AA308" s="19">
        <f t="shared" si="16"/>
        <v>2026</v>
      </c>
      <c r="AB308" s="18">
        <f t="shared" si="17"/>
        <v>11</v>
      </c>
      <c r="AC308" s="20">
        <f>(1+Y308/2)^(-(DATE(AA309,AB309,5)-TradeSum!$B$2)/182.625)</f>
        <v>0.20904601630020045</v>
      </c>
      <c r="AD308" s="19"/>
      <c r="AF308" s="196">
        <v>46327</v>
      </c>
      <c r="AG308">
        <v>6.1213731827427099E-2</v>
      </c>
      <c r="AI308" s="19">
        <f t="shared" si="18"/>
        <v>2026</v>
      </c>
      <c r="AJ308" s="18">
        <f t="shared" si="19"/>
        <v>11</v>
      </c>
      <c r="AK308" s="20">
        <f>(1+AG308/2)^(-(DATE(AI309,AJ309,5)-TradeSum!$B$2)/182.625)</f>
        <v>0.22000214647726685</v>
      </c>
    </row>
    <row r="309" spans="24:37" x14ac:dyDescent="0.2">
      <c r="X309" s="196">
        <v>46357</v>
      </c>
      <c r="Y309">
        <v>6.3308191718807597E-2</v>
      </c>
      <c r="Z309" s="18"/>
      <c r="AA309" s="19">
        <f t="shared" si="16"/>
        <v>2026</v>
      </c>
      <c r="AB309" s="18">
        <f t="shared" si="17"/>
        <v>12</v>
      </c>
      <c r="AC309" s="20">
        <f>(1+Y309/2)^(-(DATE(AA310,AB310,5)-TradeSum!$B$2)/182.625)</f>
        <v>0.20795882803563018</v>
      </c>
      <c r="AD309" s="22"/>
      <c r="AF309" s="196">
        <v>46357</v>
      </c>
      <c r="AG309">
        <v>6.1216069490372504E-2</v>
      </c>
      <c r="AI309" s="19">
        <f t="shared" si="18"/>
        <v>2026</v>
      </c>
      <c r="AJ309" s="18">
        <f t="shared" si="19"/>
        <v>12</v>
      </c>
      <c r="AK309" s="20">
        <f>(1+AG309/2)^(-(DATE(AI310,AJ310,5)-TradeSum!$B$2)/182.625)</f>
        <v>0.21886665372011757</v>
      </c>
    </row>
    <row r="310" spans="24:37" x14ac:dyDescent="0.2">
      <c r="X310" s="196">
        <v>46388</v>
      </c>
      <c r="Y310">
        <v>6.3304981991037401E-2</v>
      </c>
      <c r="Z310" s="18"/>
      <c r="AA310" s="19">
        <f t="shared" si="16"/>
        <v>2027</v>
      </c>
      <c r="AB310" s="18">
        <f t="shared" si="17"/>
        <v>1</v>
      </c>
      <c r="AC310" s="20">
        <f>(1+Y310/2)^(-(DATE(AA311,AB311,5)-TradeSum!$B$2)/182.625)</f>
        <v>0.20687792459260698</v>
      </c>
      <c r="AD310" s="22"/>
      <c r="AF310" s="196">
        <v>46388</v>
      </c>
      <c r="AG310">
        <v>6.12184850754183E-2</v>
      </c>
      <c r="AI310" s="19">
        <f t="shared" si="18"/>
        <v>2027</v>
      </c>
      <c r="AJ310" s="18">
        <f t="shared" si="19"/>
        <v>1</v>
      </c>
      <c r="AK310" s="20">
        <f>(1+AG310/2)^(-(DATE(AI311,AJ311,5)-TradeSum!$B$2)/182.625)</f>
        <v>0.21773652154312728</v>
      </c>
    </row>
    <row r="311" spans="24:37" x14ac:dyDescent="0.2">
      <c r="X311" s="196">
        <v>46419</v>
      </c>
      <c r="Y311">
        <v>6.3301772263270301E-2</v>
      </c>
      <c r="Z311" s="18"/>
      <c r="AA311" s="19">
        <f t="shared" si="16"/>
        <v>2027</v>
      </c>
      <c r="AB311" s="18">
        <f t="shared" si="17"/>
        <v>2</v>
      </c>
      <c r="AC311" s="20">
        <f>(1+Y311/2)^(-(DATE(AA312,AB312,5)-TradeSum!$B$2)/182.625)</f>
        <v>0.20590812006761425</v>
      </c>
      <c r="AD311" s="22"/>
      <c r="AF311" s="196">
        <v>46419</v>
      </c>
      <c r="AG311">
        <v>6.1220900660465802E-2</v>
      </c>
      <c r="AI311" s="19">
        <f t="shared" si="18"/>
        <v>2027</v>
      </c>
      <c r="AJ311" s="18">
        <f t="shared" si="19"/>
        <v>2</v>
      </c>
      <c r="AK311" s="20">
        <f>(1+AG311/2)^(-(DATE(AI312,AJ312,5)-TradeSum!$B$2)/182.625)</f>
        <v>0.2167194529548605</v>
      </c>
    </row>
    <row r="312" spans="24:37" x14ac:dyDescent="0.2">
      <c r="X312" s="196">
        <v>46447</v>
      </c>
      <c r="Y312">
        <v>6.3298873154322713E-2</v>
      </c>
      <c r="Z312" s="18"/>
      <c r="AA312" s="19">
        <f t="shared" si="16"/>
        <v>2027</v>
      </c>
      <c r="AB312" s="18">
        <f t="shared" si="17"/>
        <v>3</v>
      </c>
      <c r="AC312" s="20">
        <f>(1+Y312/2)^(-(DATE(AA313,AB313,5)-TradeSum!$B$2)/182.625)</f>
        <v>0.20483651755260943</v>
      </c>
      <c r="AD312" s="22"/>
      <c r="AF312" s="196">
        <v>46447</v>
      </c>
      <c r="AG312">
        <v>6.1223082479219898E-2</v>
      </c>
      <c r="AI312" s="19">
        <f t="shared" si="18"/>
        <v>2027</v>
      </c>
      <c r="AJ312" s="18">
        <f t="shared" si="19"/>
        <v>3</v>
      </c>
      <c r="AK312" s="20">
        <f>(1+AG312/2)^(-(DATE(AI313,AJ313,5)-TradeSum!$B$2)/182.625)</f>
        <v>0.21560148484868893</v>
      </c>
    </row>
    <row r="313" spans="24:37" x14ac:dyDescent="0.2">
      <c r="X313" s="196">
        <v>46478</v>
      </c>
      <c r="Y313">
        <v>6.3295663426562704E-2</v>
      </c>
      <c r="Z313" s="18"/>
      <c r="AA313" s="19">
        <f t="shared" si="16"/>
        <v>2027</v>
      </c>
      <c r="AB313" s="18">
        <f t="shared" si="17"/>
        <v>4</v>
      </c>
      <c r="AC313" s="20">
        <f>(1+Y313/2)^(-(DATE(AA314,AB314,5)-TradeSum!$B$2)/182.625)</f>
        <v>0.2038069235985257</v>
      </c>
      <c r="AD313" s="22"/>
      <c r="AF313" s="196">
        <v>46478</v>
      </c>
      <c r="AG313">
        <v>6.1225498064271501E-2</v>
      </c>
      <c r="AI313" s="19">
        <f t="shared" si="18"/>
        <v>2027</v>
      </c>
      <c r="AJ313" s="18">
        <f t="shared" si="19"/>
        <v>4</v>
      </c>
      <c r="AK313" s="20">
        <f>(1+AG313/2)^(-(DATE(AI314,AJ314,5)-TradeSum!$B$2)/182.625)</f>
        <v>0.21452338227674311</v>
      </c>
    </row>
    <row r="314" spans="24:37" x14ac:dyDescent="0.2">
      <c r="X314" s="196">
        <v>46508</v>
      </c>
      <c r="Y314">
        <v>6.3292557238410596E-2</v>
      </c>
      <c r="Z314" s="18"/>
      <c r="AA314" s="19">
        <f t="shared" si="16"/>
        <v>2027</v>
      </c>
      <c r="AB314" s="18">
        <f t="shared" si="17"/>
        <v>5</v>
      </c>
      <c r="AC314" s="20">
        <f>(1+Y314/2)^(-(DATE(AA315,AB315,5)-TradeSum!$B$2)/182.625)</f>
        <v>0.20274749561800406</v>
      </c>
      <c r="AD314" s="22"/>
      <c r="AF314" s="196">
        <v>46508</v>
      </c>
      <c r="AG314">
        <v>6.1227835727225802E-2</v>
      </c>
      <c r="AI314" s="19">
        <f t="shared" si="18"/>
        <v>2027</v>
      </c>
      <c r="AJ314" s="18">
        <f t="shared" si="19"/>
        <v>5</v>
      </c>
      <c r="AK314" s="20">
        <f>(1+AG314/2)^(-(DATE(AI315,AJ315,5)-TradeSum!$B$2)/182.625)</f>
        <v>0.2134157601071652</v>
      </c>
    </row>
    <row r="315" spans="24:37" x14ac:dyDescent="0.2">
      <c r="X315" s="196">
        <v>46539</v>
      </c>
      <c r="Y315">
        <v>6.3289347510656804E-2</v>
      </c>
      <c r="Z315" s="18"/>
      <c r="AA315" s="19">
        <f t="shared" si="16"/>
        <v>2027</v>
      </c>
      <c r="AB315" s="18">
        <f t="shared" si="17"/>
        <v>6</v>
      </c>
      <c r="AC315" s="20">
        <f>(1+Y315/2)^(-(DATE(AA316,AB316,5)-TradeSum!$B$2)/182.625)</f>
        <v>0.20172860826902106</v>
      </c>
      <c r="AD315" s="22"/>
      <c r="AF315" s="196">
        <v>46539</v>
      </c>
      <c r="AG315">
        <v>6.1230251312281297E-2</v>
      </c>
      <c r="AI315" s="19">
        <f t="shared" si="18"/>
        <v>2027</v>
      </c>
      <c r="AJ315" s="18">
        <f t="shared" si="19"/>
        <v>6</v>
      </c>
      <c r="AK315" s="20">
        <f>(1+AG315/2)^(-(DATE(AI316,AJ316,5)-TradeSum!$B$2)/182.625)</f>
        <v>0.21234842359041536</v>
      </c>
    </row>
    <row r="316" spans="24:37" x14ac:dyDescent="0.2">
      <c r="X316" s="196">
        <v>46569</v>
      </c>
      <c r="Y316">
        <v>6.3286241322511511E-2</v>
      </c>
      <c r="Z316" s="18"/>
      <c r="AA316" s="19">
        <f t="shared" si="16"/>
        <v>2027</v>
      </c>
      <c r="AB316" s="18">
        <f t="shared" si="17"/>
        <v>7</v>
      </c>
      <c r="AC316" s="20">
        <f>(1+Y316/2)^(-(DATE(AA317,AB317,5)-TradeSum!$B$2)/182.625)</f>
        <v>0.20068018900968448</v>
      </c>
      <c r="AD316" s="22"/>
      <c r="AF316" s="196">
        <v>46569</v>
      </c>
      <c r="AG316">
        <v>6.1232588975239602E-2</v>
      </c>
      <c r="AI316" s="19">
        <f t="shared" si="18"/>
        <v>2027</v>
      </c>
      <c r="AJ316" s="18">
        <f t="shared" si="19"/>
        <v>7</v>
      </c>
      <c r="AK316" s="20">
        <f>(1+AG316/2)^(-(DATE(AI317,AJ317,5)-TradeSum!$B$2)/182.625)</f>
        <v>0.21125186842797541</v>
      </c>
    </row>
    <row r="317" spans="24:37" x14ac:dyDescent="0.2">
      <c r="X317" s="196">
        <v>46600</v>
      </c>
      <c r="Y317">
        <v>6.3283031594764311E-2</v>
      </c>
      <c r="Z317" s="18"/>
      <c r="AA317" s="19">
        <f t="shared" si="16"/>
        <v>2027</v>
      </c>
      <c r="AB317" s="18">
        <f t="shared" si="17"/>
        <v>8</v>
      </c>
      <c r="AC317" s="20">
        <f>(1+Y317/2)^(-(DATE(AA318,AB318,5)-TradeSum!$B$2)/182.625)</f>
        <v>0.19963783880363778</v>
      </c>
      <c r="AD317" s="22"/>
      <c r="AF317" s="196">
        <v>46600</v>
      </c>
      <c r="AG317">
        <v>6.1235004560298706E-2</v>
      </c>
      <c r="AI317" s="19">
        <f t="shared" si="18"/>
        <v>2027</v>
      </c>
      <c r="AJ317" s="18">
        <f t="shared" si="19"/>
        <v>8</v>
      </c>
      <c r="AK317" s="20">
        <f>(1+AG317/2)^(-(DATE(AI318,AJ318,5)-TradeSum!$B$2)/182.625)</f>
        <v>0.21016048397686884</v>
      </c>
    </row>
    <row r="318" spans="24:37" x14ac:dyDescent="0.2">
      <c r="X318" s="196">
        <v>46631</v>
      </c>
      <c r="Y318">
        <v>6.3279821867021205E-2</v>
      </c>
      <c r="Z318" s="18"/>
      <c r="AA318" s="19">
        <f t="shared" si="16"/>
        <v>2027</v>
      </c>
      <c r="AB318" s="18">
        <f t="shared" si="17"/>
        <v>9</v>
      </c>
      <c r="AC318" s="20">
        <f>(1+Y318/2)^(-(DATE(AA319,AB319,5)-TradeSum!$B$2)/182.625)</f>
        <v>0.19863488510772564</v>
      </c>
      <c r="AD318" s="22"/>
      <c r="AF318" s="196">
        <v>46631</v>
      </c>
      <c r="AG318">
        <v>6.1237420145359198E-2</v>
      </c>
      <c r="AI318" s="19">
        <f t="shared" si="18"/>
        <v>2027</v>
      </c>
      <c r="AJ318" s="18">
        <f t="shared" si="19"/>
        <v>9</v>
      </c>
      <c r="AK318" s="20">
        <f>(1+AG318/2)^(-(DATE(AI319,AJ319,5)-TradeSum!$B$2)/182.625)</f>
        <v>0.20910918489503849</v>
      </c>
    </row>
    <row r="319" spans="24:37" x14ac:dyDescent="0.2">
      <c r="X319" s="196">
        <v>46661</v>
      </c>
      <c r="Y319">
        <v>6.3276715678885195E-2</v>
      </c>
      <c r="Z319" s="18"/>
      <c r="AA319" s="19">
        <f t="shared" si="16"/>
        <v>2027</v>
      </c>
      <c r="AB319" s="18">
        <f t="shared" si="17"/>
        <v>10</v>
      </c>
      <c r="AC319" s="20">
        <f>(1+Y319/2)^(-(DATE(AA320,AB320,5)-TradeSum!$B$2)/182.625)</f>
        <v>0.1976028492637906</v>
      </c>
      <c r="AD319" s="22"/>
      <c r="AF319" s="196">
        <v>46661</v>
      </c>
      <c r="AG319">
        <v>6.1239757808323206E-2</v>
      </c>
      <c r="AI319" s="19">
        <f t="shared" si="18"/>
        <v>2027</v>
      </c>
      <c r="AJ319" s="18">
        <f t="shared" si="19"/>
        <v>10</v>
      </c>
      <c r="AK319" s="20">
        <f>(1+AG319/2)^(-(DATE(AI320,AJ320,5)-TradeSum!$B$2)/182.625)</f>
        <v>0.20802911535344021</v>
      </c>
    </row>
    <row r="320" spans="24:37" x14ac:dyDescent="0.2">
      <c r="X320" s="196">
        <v>46692</v>
      </c>
      <c r="Y320">
        <v>6.3273505951148695E-2</v>
      </c>
      <c r="Z320" s="18"/>
      <c r="AA320" s="19">
        <f t="shared" si="16"/>
        <v>2027</v>
      </c>
      <c r="AB320" s="18">
        <f t="shared" si="17"/>
        <v>11</v>
      </c>
      <c r="AC320" s="20">
        <f>(1+Y320/2)^(-(DATE(AA321,AB321,5)-TradeSum!$B$2)/182.625)</f>
        <v>0.19661032015763039</v>
      </c>
      <c r="AD320" s="22"/>
      <c r="AF320" s="196">
        <v>46692</v>
      </c>
      <c r="AG320">
        <v>6.1242173393387701E-2</v>
      </c>
      <c r="AI320" s="19">
        <f t="shared" si="18"/>
        <v>2027</v>
      </c>
      <c r="AJ320" s="18">
        <f t="shared" si="19"/>
        <v>11</v>
      </c>
      <c r="AK320" s="20">
        <f>(1+AG320/2)^(-(DATE(AI321,AJ321,5)-TradeSum!$B$2)/182.625)</f>
        <v>0.20698831874788226</v>
      </c>
    </row>
    <row r="321" spans="24:37" x14ac:dyDescent="0.2">
      <c r="X321" s="196">
        <v>46722</v>
      </c>
      <c r="Y321">
        <v>6.3270399763019292E-2</v>
      </c>
      <c r="Z321" s="18"/>
      <c r="AA321" s="19">
        <f t="shared" si="16"/>
        <v>2027</v>
      </c>
      <c r="AB321" s="18">
        <f t="shared" si="17"/>
        <v>12</v>
      </c>
      <c r="AC321" s="20">
        <f>(1+Y321/2)^(-(DATE(AA322,AB322,5)-TradeSum!$B$2)/182.625)</f>
        <v>0.1955890032592551</v>
      </c>
      <c r="AD321" s="22"/>
      <c r="AF321" s="196">
        <v>46722</v>
      </c>
      <c r="AG321">
        <v>6.1244511056355304E-2</v>
      </c>
      <c r="AI321" s="19">
        <f t="shared" si="18"/>
        <v>2027</v>
      </c>
      <c r="AJ321" s="18">
        <f t="shared" si="19"/>
        <v>12</v>
      </c>
      <c r="AK321" s="20">
        <f>(1+AG321/2)^(-(DATE(AI322,AJ322,5)-TradeSum!$B$2)/182.625)</f>
        <v>0.20591904510788053</v>
      </c>
    </row>
    <row r="322" spans="24:37" x14ac:dyDescent="0.2">
      <c r="X322" s="196">
        <v>46753</v>
      </c>
      <c r="Y322">
        <v>6.3267190035288995E-2</v>
      </c>
      <c r="Z322" s="18"/>
      <c r="AA322" s="19">
        <f t="shared" si="16"/>
        <v>2028</v>
      </c>
      <c r="AB322" s="18">
        <f t="shared" si="17"/>
        <v>1</v>
      </c>
      <c r="AC322" s="20">
        <f>(1+Y322/2)^(-(DATE(AA323,AB323,5)-TradeSum!$B$2)/182.625)</f>
        <v>0.19457360440390492</v>
      </c>
      <c r="AD322" s="22"/>
      <c r="AF322" s="196">
        <v>46753</v>
      </c>
      <c r="AG322">
        <v>6.1246926641423706E-2</v>
      </c>
      <c r="AI322" s="19">
        <f t="shared" si="18"/>
        <v>2028</v>
      </c>
      <c r="AJ322" s="18">
        <f t="shared" si="19"/>
        <v>1</v>
      </c>
      <c r="AK322" s="20">
        <f>(1+AG322/2)^(-(DATE(AI323,AJ323,5)-TradeSum!$B$2)/182.625)</f>
        <v>0.20485480928557825</v>
      </c>
    </row>
    <row r="323" spans="24:37" x14ac:dyDescent="0.2">
      <c r="X323" s="196">
        <v>46784</v>
      </c>
      <c r="Y323">
        <v>6.3263980307563195E-2</v>
      </c>
      <c r="Z323" s="18"/>
      <c r="AA323" s="19">
        <f t="shared" si="16"/>
        <v>2028</v>
      </c>
      <c r="AB323" s="18">
        <f t="shared" si="17"/>
        <v>2</v>
      </c>
      <c r="AC323" s="20">
        <f>(1+Y323/2)^(-(DATE(AA324,AB324,5)-TradeSum!$B$2)/182.625)</f>
        <v>0.19362960509184721</v>
      </c>
      <c r="AD323" s="22"/>
      <c r="AF323" s="196">
        <v>46784</v>
      </c>
      <c r="AG323">
        <v>6.1249342226494398E-2</v>
      </c>
      <c r="AI323" s="19">
        <f t="shared" si="18"/>
        <v>2028</v>
      </c>
      <c r="AJ323" s="18">
        <f t="shared" si="19"/>
        <v>2</v>
      </c>
      <c r="AK323" s="20">
        <f>(1+AG323/2)^(-(DATE(AI324,AJ324,5)-TradeSum!$B$2)/182.625)</f>
        <v>0.20386332775821922</v>
      </c>
    </row>
    <row r="324" spans="24:37" x14ac:dyDescent="0.2">
      <c r="X324" s="196">
        <v>46813</v>
      </c>
      <c r="Y324">
        <v>6.3260977659047604E-2</v>
      </c>
      <c r="Z324" s="18"/>
      <c r="AA324" s="19">
        <f t="shared" si="16"/>
        <v>2028</v>
      </c>
      <c r="AB324" s="18">
        <f t="shared" si="17"/>
        <v>3</v>
      </c>
      <c r="AC324" s="20">
        <f>(1+Y324/2)^(-(DATE(AA325,AB325,5)-TradeSum!$B$2)/182.625)</f>
        <v>0.19262355616455926</v>
      </c>
      <c r="AD324" s="22"/>
      <c r="AF324" s="196">
        <v>46813</v>
      </c>
      <c r="AG324">
        <v>6.1251601967368306E-2</v>
      </c>
      <c r="AI324" s="19">
        <f t="shared" si="18"/>
        <v>2028</v>
      </c>
      <c r="AJ324" s="18">
        <f t="shared" si="19"/>
        <v>3</v>
      </c>
      <c r="AK324" s="20">
        <f>(1+AG324/2)^(-(DATE(AI325,AJ325,5)-TradeSum!$B$2)/182.625)</f>
        <v>0.20281036859933368</v>
      </c>
    </row>
    <row r="325" spans="24:37" x14ac:dyDescent="0.2">
      <c r="X325" s="196">
        <v>46844</v>
      </c>
      <c r="Y325">
        <v>6.3257767931327494E-2</v>
      </c>
      <c r="Z325" s="18"/>
      <c r="AA325" s="19">
        <f t="shared" si="16"/>
        <v>2028</v>
      </c>
      <c r="AB325" s="18">
        <f t="shared" si="17"/>
        <v>4</v>
      </c>
      <c r="AC325" s="20">
        <f>(1+Y325/2)^(-(DATE(AA326,AB326,5)-TradeSum!$B$2)/182.625)</f>
        <v>0.1916565257115935</v>
      </c>
      <c r="AD325" s="22"/>
      <c r="AF325" s="196">
        <v>46844</v>
      </c>
      <c r="AG325">
        <v>6.1254017552442502E-2</v>
      </c>
      <c r="AI325" s="19">
        <f t="shared" si="18"/>
        <v>2028</v>
      </c>
      <c r="AJ325" s="18">
        <f t="shared" si="19"/>
        <v>4</v>
      </c>
      <c r="AK325" s="20">
        <f>(1+AG325/2)^(-(DATE(AI326,AJ326,5)-TradeSum!$B$2)/182.625)</f>
        <v>0.20179529482408493</v>
      </c>
    </row>
    <row r="326" spans="24:37" x14ac:dyDescent="0.2">
      <c r="X326" s="196">
        <v>46874</v>
      </c>
      <c r="Y326">
        <v>6.3254661743214605E-2</v>
      </c>
      <c r="Z326" s="18"/>
      <c r="AA326" s="19">
        <f t="shared" si="16"/>
        <v>2028</v>
      </c>
      <c r="AB326" s="18">
        <f t="shared" si="17"/>
        <v>5</v>
      </c>
      <c r="AC326" s="20">
        <f>(1+Y326/2)^(-(DATE(AA327,AB327,5)-TradeSum!$B$2)/182.625)</f>
        <v>0.1906614277994533</v>
      </c>
      <c r="AD326" s="22"/>
      <c r="AF326" s="196">
        <v>46874</v>
      </c>
      <c r="AG326">
        <v>6.12563552154195E-2</v>
      </c>
      <c r="AI326" s="19">
        <f t="shared" si="18"/>
        <v>2028</v>
      </c>
      <c r="AJ326" s="18">
        <f t="shared" si="19"/>
        <v>5</v>
      </c>
      <c r="AK326" s="20">
        <f>(1+AG326/2)^(-(DATE(AI327,AJ327,5)-TradeSum!$B$2)/182.625)</f>
        <v>0.20075246240677525</v>
      </c>
    </row>
    <row r="327" spans="24:37" x14ac:dyDescent="0.2">
      <c r="X327" s="196">
        <v>46905</v>
      </c>
      <c r="Y327">
        <v>6.3251452015501197E-2</v>
      </c>
      <c r="Z327" s="18"/>
      <c r="AA327" s="19">
        <f t="shared" si="16"/>
        <v>2028</v>
      </c>
      <c r="AB327" s="18">
        <f t="shared" si="17"/>
        <v>6</v>
      </c>
      <c r="AC327" s="20">
        <f>(1+Y327/2)^(-(DATE(AA328,AB328,5)-TradeSum!$B$2)/182.625)</f>
        <v>0.18970444186006641</v>
      </c>
      <c r="AD327" s="22"/>
      <c r="AF327" s="196">
        <v>46905</v>
      </c>
      <c r="AG327">
        <v>6.1258770800497207E-2</v>
      </c>
      <c r="AI327" s="19">
        <f t="shared" si="18"/>
        <v>2028</v>
      </c>
      <c r="AJ327" s="18">
        <f t="shared" si="19"/>
        <v>6</v>
      </c>
      <c r="AK327" s="20">
        <f>(1+AG327/2)^(-(DATE(AI328,AJ328,5)-TradeSum!$B$2)/182.625)</f>
        <v>0.19974753470624904</v>
      </c>
    </row>
    <row r="328" spans="24:37" x14ac:dyDescent="0.2">
      <c r="X328" s="196">
        <v>46935</v>
      </c>
      <c r="Y328">
        <v>6.32483458273949E-2</v>
      </c>
      <c r="Z328" s="18"/>
      <c r="AA328" s="19">
        <f t="shared" si="16"/>
        <v>2028</v>
      </c>
      <c r="AB328" s="18">
        <f t="shared" si="17"/>
        <v>7</v>
      </c>
      <c r="AC328" s="20">
        <f>(1+Y328/2)^(-(DATE(AA329,AB329,5)-TradeSum!$B$2)/182.625)</f>
        <v>0.18871967235049031</v>
      </c>
      <c r="AD328" s="22"/>
      <c r="AF328" s="196">
        <v>46935</v>
      </c>
      <c r="AG328">
        <v>6.1261108463477799E-2</v>
      </c>
      <c r="AI328" s="19">
        <f t="shared" si="18"/>
        <v>2028</v>
      </c>
      <c r="AJ328" s="18">
        <f t="shared" si="19"/>
        <v>7</v>
      </c>
      <c r="AK328" s="20">
        <f>(1+AG328/2)^(-(DATE(AI329,AJ329,5)-TradeSum!$B$2)/182.625)</f>
        <v>0.19871513161848323</v>
      </c>
    </row>
    <row r="329" spans="24:37" x14ac:dyDescent="0.2">
      <c r="X329" s="196">
        <v>46966</v>
      </c>
      <c r="Y329">
        <v>6.3245136099688196E-2</v>
      </c>
      <c r="Z329" s="18"/>
      <c r="AA329" s="19">
        <f t="shared" ref="AA329:AA367" si="20">YEAR(X329)</f>
        <v>2028</v>
      </c>
      <c r="AB329" s="18">
        <f t="shared" ref="AB329:AB367" si="21">MONTH(X329)</f>
        <v>8</v>
      </c>
      <c r="AC329" s="20">
        <f>(1+Y329/2)^(-(DATE(AA330,AB330,5)-TradeSum!$B$2)/182.625)</f>
        <v>0.18774061701452446</v>
      </c>
      <c r="AD329" s="22"/>
      <c r="AF329" s="196">
        <v>46966</v>
      </c>
      <c r="AG329">
        <v>6.1263524048559996E-2</v>
      </c>
      <c r="AI329" s="19">
        <f t="shared" ref="AI329:AI367" si="22">YEAR(AF329)</f>
        <v>2028</v>
      </c>
      <c r="AJ329" s="18">
        <f t="shared" ref="AJ329:AJ367" si="23">MONTH(AF329)</f>
        <v>8</v>
      </c>
      <c r="AK329" s="20">
        <f>(1+AG329/2)^(-(DATE(AI330,AJ330,5)-TradeSum!$B$2)/182.625)</f>
        <v>0.19768758693014474</v>
      </c>
    </row>
    <row r="330" spans="24:37" x14ac:dyDescent="0.2">
      <c r="X330" s="196">
        <v>46997</v>
      </c>
      <c r="Y330">
        <v>6.3241926371985002E-2</v>
      </c>
      <c r="Z330" s="18"/>
      <c r="AA330" s="19">
        <f t="shared" si="20"/>
        <v>2028</v>
      </c>
      <c r="AB330" s="18">
        <f t="shared" si="21"/>
        <v>9</v>
      </c>
      <c r="AC330" s="20">
        <f>(1+Y330/2)^(-(DATE(AA331,AB331,5)-TradeSum!$B$2)/182.625)</f>
        <v>0.18679857961953047</v>
      </c>
      <c r="AD330" s="22"/>
      <c r="AF330" s="196">
        <v>46997</v>
      </c>
      <c r="AG330">
        <v>6.1265939633643005E-2</v>
      </c>
      <c r="AI330" s="19">
        <f t="shared" si="22"/>
        <v>2028</v>
      </c>
      <c r="AJ330" s="18">
        <f t="shared" si="23"/>
        <v>9</v>
      </c>
      <c r="AK330" s="20">
        <f>(1+AG330/2)^(-(DATE(AI331,AJ331,5)-TradeSum!$B$2)/182.625)</f>
        <v>0.19669777294258745</v>
      </c>
    </row>
    <row r="331" spans="24:37" x14ac:dyDescent="0.2">
      <c r="X331" s="196">
        <v>47027</v>
      </c>
      <c r="Y331">
        <v>6.3238820183888503E-2</v>
      </c>
      <c r="Z331" s="18"/>
      <c r="AA331" s="19">
        <f t="shared" si="20"/>
        <v>2028</v>
      </c>
      <c r="AB331" s="18">
        <f t="shared" si="21"/>
        <v>10</v>
      </c>
      <c r="AC331" s="20">
        <f>(1+Y331/2)^(-(DATE(AA332,AB332,5)-TradeSum!$B$2)/182.625)</f>
        <v>0.18582918128816994</v>
      </c>
      <c r="AD331" s="22"/>
      <c r="AF331" s="196">
        <v>47027</v>
      </c>
      <c r="AG331">
        <v>6.12682772966293E-2</v>
      </c>
      <c r="AI331" s="19">
        <f t="shared" si="22"/>
        <v>2028</v>
      </c>
      <c r="AJ331" s="18">
        <f t="shared" si="23"/>
        <v>10</v>
      </c>
      <c r="AK331" s="20">
        <f>(1+AG331/2)^(-(DATE(AI332,AJ332,5)-TradeSum!$B$2)/182.625)</f>
        <v>0.1956809053936808</v>
      </c>
    </row>
    <row r="332" spans="24:37" x14ac:dyDescent="0.2">
      <c r="X332" s="196">
        <v>47058</v>
      </c>
      <c r="Y332">
        <v>6.3235610456191998E-2</v>
      </c>
      <c r="Z332" s="18"/>
      <c r="AA332" s="19">
        <f t="shared" si="20"/>
        <v>2028</v>
      </c>
      <c r="AB332" s="18">
        <f t="shared" si="21"/>
        <v>11</v>
      </c>
      <c r="AC332" s="20">
        <f>(1+Y332/2)^(-(DATE(AA333,AB333,5)-TradeSum!$B$2)/182.625)</f>
        <v>0.18489692412064432</v>
      </c>
      <c r="AD332" s="22"/>
      <c r="AF332" s="196">
        <v>47058</v>
      </c>
      <c r="AG332">
        <v>6.1270692881716805E-2</v>
      </c>
      <c r="AI332" s="19">
        <f t="shared" si="22"/>
        <v>2028</v>
      </c>
      <c r="AJ332" s="18">
        <f t="shared" si="23"/>
        <v>11</v>
      </c>
      <c r="AK332" s="20">
        <f>(1+AG332/2)^(-(DATE(AI333,AJ333,5)-TradeSum!$B$2)/182.625)</f>
        <v>0.19470098884372269</v>
      </c>
    </row>
    <row r="333" spans="24:37" x14ac:dyDescent="0.2">
      <c r="X333" s="196">
        <v>47088</v>
      </c>
      <c r="Y333">
        <v>6.3232504268102091E-2</v>
      </c>
      <c r="Z333" s="18"/>
      <c r="AA333" s="19">
        <f t="shared" si="20"/>
        <v>2028</v>
      </c>
      <c r="AB333" s="18">
        <f t="shared" si="21"/>
        <v>12</v>
      </c>
      <c r="AC333" s="20">
        <f>(1+Y333/2)^(-(DATE(AA334,AB334,5)-TradeSum!$B$2)/182.625)</f>
        <v>0.18393758262191334</v>
      </c>
      <c r="AD333" s="22"/>
      <c r="AF333" s="196">
        <v>47088</v>
      </c>
      <c r="AG333">
        <v>6.1273030544706703E-2</v>
      </c>
      <c r="AI333" s="19">
        <f t="shared" si="22"/>
        <v>2028</v>
      </c>
      <c r="AJ333" s="18">
        <f t="shared" si="23"/>
        <v>12</v>
      </c>
      <c r="AK333" s="20">
        <f>(1+AG333/2)^(-(DATE(AI334,AJ334,5)-TradeSum!$B$2)/182.625)</f>
        <v>0.1936942948966692</v>
      </c>
    </row>
    <row r="334" spans="24:37" x14ac:dyDescent="0.2">
      <c r="X334" s="196">
        <v>47119</v>
      </c>
      <c r="Y334">
        <v>6.3229294540412304E-2</v>
      </c>
      <c r="Z334" s="18"/>
      <c r="AA334" s="19">
        <f t="shared" si="20"/>
        <v>2029</v>
      </c>
      <c r="AB334" s="18">
        <f t="shared" si="21"/>
        <v>1</v>
      </c>
      <c r="AC334" s="20">
        <f>(1+Y334/2)^(-(DATE(AA335,AB335,5)-TradeSum!$B$2)/182.625)</f>
        <v>0.18298381329087279</v>
      </c>
      <c r="AD334" s="22"/>
      <c r="AF334" s="196">
        <v>47119</v>
      </c>
      <c r="AG334">
        <v>6.1275446129798197E-2</v>
      </c>
      <c r="AI334" s="19">
        <f t="shared" si="22"/>
        <v>2029</v>
      </c>
      <c r="AJ334" s="18">
        <f t="shared" si="23"/>
        <v>1</v>
      </c>
      <c r="AK334" s="20">
        <f>(1+AG334/2)^(-(DATE(AI335,AJ335,5)-TradeSum!$B$2)/182.625)</f>
        <v>0.19269233437360006</v>
      </c>
    </row>
    <row r="335" spans="24:37" x14ac:dyDescent="0.2">
      <c r="X335" s="196">
        <v>47150</v>
      </c>
      <c r="Y335">
        <v>6.3226084812725999E-2</v>
      </c>
      <c r="Z335" s="18"/>
      <c r="AA335" s="19">
        <f t="shared" si="20"/>
        <v>2029</v>
      </c>
      <c r="AB335" s="18">
        <f t="shared" si="21"/>
        <v>2</v>
      </c>
      <c r="AC335" s="20">
        <f>(1+Y335/2)^(-(DATE(AA336,AB336,5)-TradeSum!$B$2)/182.625)</f>
        <v>0.18212817879630908</v>
      </c>
      <c r="AD335" s="22"/>
      <c r="AF335" s="196">
        <v>47150</v>
      </c>
      <c r="AG335">
        <v>6.1277861714891503E-2</v>
      </c>
      <c r="AI335" s="19">
        <f t="shared" si="22"/>
        <v>2029</v>
      </c>
      <c r="AJ335" s="18">
        <f t="shared" si="23"/>
        <v>2</v>
      </c>
      <c r="AK335" s="20">
        <f>(1+AG335/2)^(-(DATE(AI336,AJ336,5)-TradeSum!$B$2)/182.625)</f>
        <v>0.19179053770407745</v>
      </c>
    </row>
    <row r="336" spans="24:37" x14ac:dyDescent="0.2">
      <c r="X336" s="196">
        <v>47178</v>
      </c>
      <c r="Y336">
        <v>6.3223185703851201E-2</v>
      </c>
      <c r="Z336" s="18"/>
      <c r="AA336" s="19">
        <f t="shared" si="20"/>
        <v>2029</v>
      </c>
      <c r="AB336" s="18">
        <f t="shared" si="21"/>
        <v>3</v>
      </c>
      <c r="AC336" s="20">
        <f>(1+Y336/2)^(-(DATE(AA337,AB337,5)-TradeSum!$B$2)/182.625)</f>
        <v>0.18118248134321763</v>
      </c>
      <c r="AD336" s="22"/>
      <c r="AF336" s="196">
        <v>47178</v>
      </c>
      <c r="AG336">
        <v>6.12800435336869E-2</v>
      </c>
      <c r="AI336" s="19">
        <f t="shared" si="22"/>
        <v>2029</v>
      </c>
      <c r="AJ336" s="18">
        <f t="shared" si="23"/>
        <v>3</v>
      </c>
      <c r="AK336" s="20">
        <f>(1+AG336/2)^(-(DATE(AI337,AJ337,5)-TradeSum!$B$2)/182.625)</f>
        <v>0.19079946468942763</v>
      </c>
    </row>
    <row r="337" spans="24:37" x14ac:dyDescent="0.2">
      <c r="X337" s="196">
        <v>47209</v>
      </c>
      <c r="Y337">
        <v>6.32199759761711E-2</v>
      </c>
      <c r="Z337" s="18"/>
      <c r="AA337" s="19">
        <f t="shared" si="20"/>
        <v>2029</v>
      </c>
      <c r="AB337" s="18">
        <f t="shared" si="21"/>
        <v>4</v>
      </c>
      <c r="AC337" s="20">
        <f>(1+Y337/2)^(-(DATE(AA338,AB338,5)-TradeSum!$B$2)/182.625)</f>
        <v>0.18027399187601406</v>
      </c>
      <c r="AD337" s="22"/>
      <c r="AF337" s="196">
        <v>47209</v>
      </c>
      <c r="AG337">
        <v>6.1282459118783703E-2</v>
      </c>
      <c r="AI337" s="19">
        <f t="shared" si="22"/>
        <v>2029</v>
      </c>
      <c r="AJ337" s="18">
        <f t="shared" si="23"/>
        <v>4</v>
      </c>
      <c r="AK337" s="20">
        <f>(1+AG337/2)^(-(DATE(AI338,AJ338,5)-TradeSum!$B$2)/182.625)</f>
        <v>0.18984363116515832</v>
      </c>
    </row>
    <row r="338" spans="24:37" x14ac:dyDescent="0.2">
      <c r="X338" s="196">
        <v>47239</v>
      </c>
      <c r="Y338">
        <v>6.3216869788097305E-2</v>
      </c>
      <c r="Z338" s="18"/>
      <c r="AA338" s="19">
        <f t="shared" si="20"/>
        <v>2029</v>
      </c>
      <c r="AB338" s="18">
        <f t="shared" si="21"/>
        <v>5</v>
      </c>
      <c r="AC338" s="20">
        <f>(1+Y338/2)^(-(DATE(AA339,AB339,5)-TradeSum!$B$2)/182.625)</f>
        <v>0.17933909058967756</v>
      </c>
      <c r="AD338" s="22"/>
      <c r="AF338" s="196">
        <v>47239</v>
      </c>
      <c r="AG338">
        <v>6.1284796781782398E-2</v>
      </c>
      <c r="AI338" s="19">
        <f t="shared" si="22"/>
        <v>2029</v>
      </c>
      <c r="AJ338" s="18">
        <f t="shared" si="23"/>
        <v>5</v>
      </c>
      <c r="AK338" s="20">
        <f>(1+AG338/2)^(-(DATE(AI339,AJ339,5)-TradeSum!$B$2)/182.625)</f>
        <v>0.18886169197209596</v>
      </c>
    </row>
    <row r="339" spans="24:37" x14ac:dyDescent="0.2">
      <c r="X339" s="196">
        <v>47270</v>
      </c>
      <c r="Y339">
        <v>6.3213660060424309E-2</v>
      </c>
      <c r="Z339" s="18"/>
      <c r="AA339" s="19">
        <f t="shared" si="20"/>
        <v>2029</v>
      </c>
      <c r="AB339" s="18">
        <f t="shared" si="21"/>
        <v>6</v>
      </c>
      <c r="AC339" s="20">
        <f>(1+Y339/2)^(-(DATE(AA340,AB340,5)-TradeSum!$B$2)/182.625)</f>
        <v>0.17844002679639381</v>
      </c>
      <c r="AD339" s="22"/>
      <c r="AF339" s="196">
        <v>47270</v>
      </c>
      <c r="AG339">
        <v>6.1287212366883705E-2</v>
      </c>
      <c r="AI339" s="19">
        <f t="shared" si="22"/>
        <v>2029</v>
      </c>
      <c r="AJ339" s="18">
        <f t="shared" si="23"/>
        <v>6</v>
      </c>
      <c r="AK339" s="20">
        <f>(1+AG339/2)^(-(DATE(AI340,AJ340,5)-TradeSum!$B$2)/182.625)</f>
        <v>0.18791542124918878</v>
      </c>
    </row>
    <row r="340" spans="24:37" x14ac:dyDescent="0.2">
      <c r="X340" s="196">
        <v>47300</v>
      </c>
      <c r="Y340">
        <v>6.3210553872356606E-2</v>
      </c>
      <c r="Z340" s="18"/>
      <c r="AA340" s="19">
        <f t="shared" si="20"/>
        <v>2029</v>
      </c>
      <c r="AB340" s="18">
        <f t="shared" si="21"/>
        <v>7</v>
      </c>
      <c r="AC340" s="20">
        <f>(1+Y340/2)^(-(DATE(AA341,AB341,5)-TradeSum!$B$2)/182.625)</f>
        <v>0.17751481800988744</v>
      </c>
      <c r="AD340" s="22"/>
      <c r="AF340" s="196">
        <v>47300</v>
      </c>
      <c r="AG340">
        <v>6.1289550029886002E-2</v>
      </c>
      <c r="AI340" s="19">
        <f t="shared" si="22"/>
        <v>2029</v>
      </c>
      <c r="AJ340" s="18">
        <f t="shared" si="23"/>
        <v>7</v>
      </c>
      <c r="AK340" s="20">
        <f>(1+AG340/2)^(-(DATE(AI341,AJ341,5)-TradeSum!$B$2)/182.625)</f>
        <v>0.18694331148494428</v>
      </c>
    </row>
    <row r="341" spans="24:37" x14ac:dyDescent="0.2">
      <c r="X341" s="196">
        <v>47331</v>
      </c>
      <c r="Y341">
        <v>6.32073441446903E-2</v>
      </c>
      <c r="Z341" s="18"/>
      <c r="AA341" s="19">
        <f t="shared" si="20"/>
        <v>2029</v>
      </c>
      <c r="AB341" s="18">
        <f t="shared" si="21"/>
        <v>8</v>
      </c>
      <c r="AC341" s="20">
        <f>(1+Y341/2)^(-(DATE(AA342,AB342,5)-TradeSum!$B$2)/182.625)</f>
        <v>0.17659499055501468</v>
      </c>
      <c r="AD341" s="22"/>
      <c r="AF341" s="196">
        <v>47331</v>
      </c>
      <c r="AG341">
        <v>6.1291965614990798E-2</v>
      </c>
      <c r="AI341" s="19">
        <f t="shared" si="22"/>
        <v>2029</v>
      </c>
      <c r="AJ341" s="18">
        <f t="shared" si="23"/>
        <v>8</v>
      </c>
      <c r="AK341" s="20">
        <f>(1+AG341/2)^(-(DATE(AI342,AJ342,5)-TradeSum!$B$2)/182.625)</f>
        <v>0.18597576719947459</v>
      </c>
    </row>
    <row r="342" spans="24:37" x14ac:dyDescent="0.2">
      <c r="X342" s="196">
        <v>47362</v>
      </c>
      <c r="Y342">
        <v>6.3204134417027602E-2</v>
      </c>
      <c r="Z342" s="18"/>
      <c r="AA342" s="19">
        <f t="shared" si="20"/>
        <v>2029</v>
      </c>
      <c r="AB342" s="18">
        <f t="shared" si="21"/>
        <v>9</v>
      </c>
      <c r="AC342" s="20">
        <f>(1+Y342/2)^(-(DATE(AA343,AB343,5)-TradeSum!$B$2)/182.625)</f>
        <v>0.17570995453738503</v>
      </c>
      <c r="AD342" s="22"/>
      <c r="AF342" s="196">
        <v>47362</v>
      </c>
      <c r="AG342">
        <v>6.1294381200097003E-2</v>
      </c>
      <c r="AI342" s="19">
        <f t="shared" si="22"/>
        <v>2029</v>
      </c>
      <c r="AJ342" s="18">
        <f t="shared" si="23"/>
        <v>9</v>
      </c>
      <c r="AK342" s="20">
        <f>(1+AG342/2)^(-(DATE(AI343,AJ343,5)-TradeSum!$B$2)/182.625)</f>
        <v>0.18504374116885605</v>
      </c>
    </row>
    <row r="343" spans="24:37" x14ac:dyDescent="0.2">
      <c r="X343" s="196">
        <v>47392</v>
      </c>
      <c r="Y343">
        <v>6.3201028228970099E-2</v>
      </c>
      <c r="Z343" s="18"/>
      <c r="AA343" s="19">
        <f t="shared" si="20"/>
        <v>2029</v>
      </c>
      <c r="AB343" s="18">
        <f t="shared" si="21"/>
        <v>10</v>
      </c>
      <c r="AC343" s="20">
        <f>(1+Y343/2)^(-(DATE(AA344,AB344,5)-TradeSum!$B$2)/182.625)</f>
        <v>0.17479917076396309</v>
      </c>
      <c r="AD343" s="22"/>
      <c r="AF343" s="196">
        <v>47392</v>
      </c>
      <c r="AG343">
        <v>6.1296718863105101E-2</v>
      </c>
      <c r="AI343" s="19">
        <f t="shared" si="22"/>
        <v>2029</v>
      </c>
      <c r="AJ343" s="18">
        <f t="shared" si="23"/>
        <v>10</v>
      </c>
      <c r="AK343" s="20">
        <f>(1+AG343/2)^(-(DATE(AI344,AJ344,5)-TradeSum!$B$2)/182.625)</f>
        <v>0.18408627315645512</v>
      </c>
    </row>
    <row r="344" spans="24:37" x14ac:dyDescent="0.2">
      <c r="X344" s="196">
        <v>47423</v>
      </c>
      <c r="Y344">
        <v>6.3197818501314007E-2</v>
      </c>
      <c r="Z344" s="18"/>
      <c r="AA344" s="19">
        <f t="shared" si="20"/>
        <v>2029</v>
      </c>
      <c r="AB344" s="18">
        <f t="shared" si="21"/>
        <v>11</v>
      </c>
      <c r="AC344" s="20">
        <f>(1+Y344/2)^(-(DATE(AA345,AB345,5)-TradeSum!$B$2)/182.625)</f>
        <v>0.17392331268768527</v>
      </c>
      <c r="AD344" s="22"/>
      <c r="AF344" s="196">
        <v>47423</v>
      </c>
      <c r="AG344">
        <v>6.1299134448215699E-2</v>
      </c>
      <c r="AI344" s="19">
        <f t="shared" si="22"/>
        <v>2029</v>
      </c>
      <c r="AJ344" s="18">
        <f t="shared" si="23"/>
        <v>11</v>
      </c>
      <c r="AK344" s="20">
        <f>(1+AG344/2)^(-(DATE(AI345,AJ345,5)-TradeSum!$B$2)/182.625)</f>
        <v>0.18316357536106609</v>
      </c>
    </row>
    <row r="345" spans="24:37" x14ac:dyDescent="0.2">
      <c r="X345" s="196">
        <v>47453</v>
      </c>
      <c r="Y345">
        <v>6.3194712313262805E-2</v>
      </c>
      <c r="Z345" s="18"/>
      <c r="AA345" s="19">
        <f t="shared" si="20"/>
        <v>2029</v>
      </c>
      <c r="AB345" s="18">
        <f t="shared" si="21"/>
        <v>12</v>
      </c>
      <c r="AC345" s="20">
        <f>(1+Y345/2)^(-(DATE(AA346,AB346,5)-TradeSum!$B$2)/182.625)</f>
        <v>0.17302196684323964</v>
      </c>
      <c r="AD345" s="22"/>
      <c r="AF345" s="196">
        <v>47453</v>
      </c>
      <c r="AG345">
        <v>6.1301472111227301E-2</v>
      </c>
      <c r="AI345" s="19">
        <f t="shared" si="22"/>
        <v>2029</v>
      </c>
      <c r="AJ345" s="18">
        <f t="shared" si="23"/>
        <v>12</v>
      </c>
      <c r="AK345" s="20">
        <f>(1+AG345/2)^(-(DATE(AI346,AJ346,5)-TradeSum!$B$2)/182.625)</f>
        <v>0.18221569553085887</v>
      </c>
    </row>
    <row r="346" spans="24:37" x14ac:dyDescent="0.2">
      <c r="X346" s="196">
        <v>47484</v>
      </c>
      <c r="Y346">
        <v>6.3191502585613402E-2</v>
      </c>
      <c r="Z346" s="18"/>
      <c r="AA346" s="19">
        <f t="shared" si="20"/>
        <v>2030</v>
      </c>
      <c r="AB346" s="18">
        <f t="shared" si="21"/>
        <v>1</v>
      </c>
      <c r="AC346" s="20">
        <f>(1+Y346/2)^(-(DATE(AA347,AB347,5)-TradeSum!$B$2)/182.625)</f>
        <v>0.17212586875976077</v>
      </c>
      <c r="AD346" s="22"/>
      <c r="AF346" s="196">
        <v>47484</v>
      </c>
      <c r="AG346">
        <v>6.1303887696341396E-2</v>
      </c>
      <c r="AI346" s="19">
        <f t="shared" si="22"/>
        <v>2030</v>
      </c>
      <c r="AJ346" s="18">
        <f t="shared" si="23"/>
        <v>1</v>
      </c>
      <c r="AK346" s="20">
        <f>(1+AG346/2)^(-(DATE(AI347,AJ347,5)-TradeSum!$B$2)/182.625)</f>
        <v>0.18127226363718105</v>
      </c>
    </row>
    <row r="347" spans="24:37" x14ac:dyDescent="0.2">
      <c r="X347" s="196">
        <v>47515</v>
      </c>
      <c r="Y347">
        <v>6.318829285796701E-2</v>
      </c>
      <c r="Z347" s="18"/>
      <c r="AA347" s="19">
        <f t="shared" si="20"/>
        <v>2030</v>
      </c>
      <c r="AB347" s="18">
        <f t="shared" si="21"/>
        <v>2</v>
      </c>
      <c r="AC347" s="20">
        <f>(1+Y347/2)^(-(DATE(AA348,AB348,5)-TradeSum!$B$2)/182.625)</f>
        <v>0.17132202023252954</v>
      </c>
      <c r="AD347" s="22"/>
      <c r="AF347" s="196">
        <v>47515</v>
      </c>
      <c r="AG347">
        <v>6.1306303281457801E-2</v>
      </c>
      <c r="AI347" s="19">
        <f t="shared" si="22"/>
        <v>2030</v>
      </c>
      <c r="AJ347" s="18">
        <f t="shared" si="23"/>
        <v>2</v>
      </c>
      <c r="AK347" s="20">
        <f>(1+AG347/2)^(-(DATE(AI348,AJ348,5)-TradeSum!$B$2)/182.625)</f>
        <v>0.18042310859118052</v>
      </c>
    </row>
    <row r="348" spans="24:37" x14ac:dyDescent="0.2">
      <c r="X348" s="196">
        <v>47543</v>
      </c>
      <c r="Y348">
        <v>6.318539374912821E-2</v>
      </c>
      <c r="Z348" s="18"/>
      <c r="AA348" s="19">
        <f t="shared" si="20"/>
        <v>2030</v>
      </c>
      <c r="AB348" s="18">
        <f t="shared" si="21"/>
        <v>3</v>
      </c>
      <c r="AC348" s="20">
        <f>(1+Y348/2)^(-(DATE(AA349,AB349,5)-TradeSum!$B$2)/182.625)</f>
        <v>0.1704334423784728</v>
      </c>
      <c r="AD348" s="22"/>
      <c r="AF348" s="196">
        <v>47543</v>
      </c>
      <c r="AG348">
        <v>6.1308485100273598E-2</v>
      </c>
      <c r="AI348" s="19">
        <f t="shared" si="22"/>
        <v>2030</v>
      </c>
      <c r="AJ348" s="18">
        <f t="shared" si="23"/>
        <v>3</v>
      </c>
      <c r="AK348" s="20">
        <f>(1+AG348/2)^(-(DATE(AI349,AJ349,5)-TradeSum!$B$2)/182.625)</f>
        <v>0.17948997653619136</v>
      </c>
    </row>
    <row r="349" spans="24:37" x14ac:dyDescent="0.2">
      <c r="X349" s="196">
        <v>47574</v>
      </c>
      <c r="Y349">
        <v>6.3182184021489007E-2</v>
      </c>
      <c r="Z349" s="18"/>
      <c r="AA349" s="19">
        <f t="shared" si="20"/>
        <v>2030</v>
      </c>
      <c r="AB349" s="18">
        <f t="shared" si="21"/>
        <v>4</v>
      </c>
      <c r="AC349" s="20">
        <f>(1+Y349/2)^(-(DATE(AA350,AB350,5)-TradeSum!$B$2)/182.625)</f>
        <v>0.16957988879462346</v>
      </c>
      <c r="AD349" s="22"/>
      <c r="AF349" s="196">
        <v>47574</v>
      </c>
      <c r="AG349">
        <v>6.1310900685393604E-2</v>
      </c>
      <c r="AI349" s="19">
        <f t="shared" si="22"/>
        <v>2030</v>
      </c>
      <c r="AJ349" s="18">
        <f t="shared" si="23"/>
        <v>4</v>
      </c>
      <c r="AK349" s="20">
        <f>(1+AG349/2)^(-(DATE(AI350,AJ350,5)-TradeSum!$B$2)/182.625)</f>
        <v>0.17858997637564006</v>
      </c>
    </row>
    <row r="350" spans="24:37" x14ac:dyDescent="0.2">
      <c r="X350" s="196">
        <v>47604</v>
      </c>
      <c r="Y350">
        <v>6.3179077833453806E-2</v>
      </c>
      <c r="Z350" s="18"/>
      <c r="AA350" s="19">
        <f t="shared" si="20"/>
        <v>2030</v>
      </c>
      <c r="AB350" s="18">
        <f t="shared" si="21"/>
        <v>5</v>
      </c>
      <c r="AC350" s="20">
        <f>(1+Y350/2)^(-(DATE(AA351,AB351,5)-TradeSum!$B$2)/182.625)</f>
        <v>0.16870147956536011</v>
      </c>
      <c r="AD350" s="22"/>
      <c r="AF350" s="196">
        <v>47604</v>
      </c>
      <c r="AG350">
        <v>6.1313238348414505E-2</v>
      </c>
      <c r="AI350" s="19">
        <f t="shared" si="22"/>
        <v>2030</v>
      </c>
      <c r="AJ350" s="18">
        <f t="shared" si="23"/>
        <v>5</v>
      </c>
      <c r="AK350" s="20">
        <f>(1+AG350/2)^(-(DATE(AI351,AJ351,5)-TradeSum!$B$2)/182.625)</f>
        <v>0.1776654264521072</v>
      </c>
    </row>
    <row r="351" spans="24:37" x14ac:dyDescent="0.2">
      <c r="X351" s="196">
        <v>47635</v>
      </c>
      <c r="Y351">
        <v>6.3175868105820807E-2</v>
      </c>
      <c r="Z351" s="18"/>
      <c r="AA351" s="19">
        <f t="shared" si="20"/>
        <v>2030</v>
      </c>
      <c r="AB351" s="18">
        <f t="shared" si="21"/>
        <v>6</v>
      </c>
      <c r="AC351" s="20">
        <f>(1+Y351/2)^(-(DATE(AA352,AB352,5)-TradeSum!$B$2)/182.625)</f>
        <v>0.16785677156526166</v>
      </c>
      <c r="AD351" s="22"/>
      <c r="AF351" s="196">
        <v>47635</v>
      </c>
      <c r="AG351">
        <v>6.1315653933538397E-2</v>
      </c>
      <c r="AI351" s="19">
        <f t="shared" si="22"/>
        <v>2030</v>
      </c>
      <c r="AJ351" s="18">
        <f t="shared" si="23"/>
        <v>6</v>
      </c>
      <c r="AK351" s="20">
        <f>(1+AG351/2)^(-(DATE(AI352,AJ352,5)-TradeSum!$B$2)/182.625)</f>
        <v>0.17677443883756602</v>
      </c>
    </row>
    <row r="352" spans="24:37" x14ac:dyDescent="0.2">
      <c r="X352" s="196">
        <v>47665</v>
      </c>
      <c r="Y352">
        <v>6.3172761917792197E-2</v>
      </c>
      <c r="Z352" s="18"/>
      <c r="AA352" s="19">
        <f t="shared" si="20"/>
        <v>2030</v>
      </c>
      <c r="AB352" s="18">
        <f t="shared" si="21"/>
        <v>7</v>
      </c>
      <c r="AC352" s="20">
        <f>(1+Y352/2)^(-(DATE(AA353,AB353,5)-TradeSum!$B$2)/182.625)</f>
        <v>0.16698745872597678</v>
      </c>
      <c r="AD352" s="22"/>
      <c r="AF352" s="196">
        <v>47665</v>
      </c>
      <c r="AG352">
        <v>6.1317991596562905E-2</v>
      </c>
      <c r="AI352" s="19">
        <f t="shared" si="22"/>
        <v>2030</v>
      </c>
      <c r="AJ352" s="18">
        <f t="shared" si="23"/>
        <v>7</v>
      </c>
      <c r="AK352" s="20">
        <f>(1+AG352/2)^(-(DATE(AI353,AJ353,5)-TradeSum!$B$2)/182.625)</f>
        <v>0.17585915242202074</v>
      </c>
    </row>
    <row r="353" spans="24:37" x14ac:dyDescent="0.2">
      <c r="X353" s="196">
        <v>47696</v>
      </c>
      <c r="Y353">
        <v>6.3169552190166706E-2</v>
      </c>
      <c r="Z353" s="18"/>
      <c r="AA353" s="19">
        <f t="shared" si="20"/>
        <v>2030</v>
      </c>
      <c r="AB353" s="18">
        <f t="shared" si="21"/>
        <v>8</v>
      </c>
      <c r="AC353" s="20">
        <f>(1+Y353/2)^(-(DATE(AA354,AB354,5)-TradeSum!$B$2)/182.625)</f>
        <v>0.16612321414086695</v>
      </c>
      <c r="AD353" s="22"/>
      <c r="AF353" s="196">
        <v>47696</v>
      </c>
      <c r="AG353">
        <v>6.1320407181690406E-2</v>
      </c>
      <c r="AI353" s="19">
        <f t="shared" si="22"/>
        <v>2030</v>
      </c>
      <c r="AJ353" s="18">
        <f t="shared" si="23"/>
        <v>8</v>
      </c>
      <c r="AK353" s="20">
        <f>(1+AG353/2)^(-(DATE(AI354,AJ354,5)-TradeSum!$B$2)/182.625)</f>
        <v>0.17494815599108895</v>
      </c>
    </row>
    <row r="354" spans="24:37" x14ac:dyDescent="0.2">
      <c r="X354" s="196">
        <v>47727</v>
      </c>
      <c r="Y354">
        <v>6.3166342462543906E-2</v>
      </c>
      <c r="Z354" s="18"/>
      <c r="AA354" s="19">
        <f t="shared" si="20"/>
        <v>2030</v>
      </c>
      <c r="AB354" s="18">
        <f t="shared" si="21"/>
        <v>9</v>
      </c>
      <c r="AC354" s="20">
        <f>(1+Y354/2)^(-(DATE(AA355,AB355,5)-TradeSum!$B$2)/182.625)</f>
        <v>0.16529167079034718</v>
      </c>
      <c r="AD354" s="22"/>
      <c r="AF354" s="196">
        <v>47727</v>
      </c>
      <c r="AG354">
        <v>6.1322822766819197E-2</v>
      </c>
      <c r="AI354" s="19">
        <f t="shared" si="22"/>
        <v>2030</v>
      </c>
      <c r="AJ354" s="18">
        <f t="shared" si="23"/>
        <v>9</v>
      </c>
      <c r="AK354" s="20">
        <f>(1+AG354/2)^(-(DATE(AI355,AJ355,5)-TradeSum!$B$2)/182.625)</f>
        <v>0.1740705932517142</v>
      </c>
    </row>
    <row r="355" spans="24:37" x14ac:dyDescent="0.2">
      <c r="X355" s="196">
        <v>47757</v>
      </c>
      <c r="Y355">
        <v>6.3163236274525095E-2</v>
      </c>
      <c r="Z355" s="18"/>
      <c r="AA355" s="19">
        <f t="shared" si="20"/>
        <v>2030</v>
      </c>
      <c r="AB355" s="18">
        <f t="shared" si="21"/>
        <v>10</v>
      </c>
      <c r="AC355" s="20">
        <f>(1+Y355/2)^(-(DATE(AA356,AB356,5)-TradeSum!$B$2)/182.625)</f>
        <v>0.16443589599431699</v>
      </c>
      <c r="AD355" s="22"/>
      <c r="AF355" s="196">
        <v>47757</v>
      </c>
      <c r="AG355">
        <v>6.1325160429849902E-2</v>
      </c>
      <c r="AI355" s="19">
        <f t="shared" si="22"/>
        <v>2030</v>
      </c>
      <c r="AJ355" s="18">
        <f t="shared" si="23"/>
        <v>10</v>
      </c>
      <c r="AK355" s="20">
        <f>(1+AG355/2)^(-(DATE(AI356,AJ356,5)-TradeSum!$B$2)/182.625)</f>
        <v>0.17316910543756855</v>
      </c>
    </row>
    <row r="356" spans="24:37" x14ac:dyDescent="0.2">
      <c r="X356" s="196">
        <v>47788</v>
      </c>
      <c r="Y356">
        <v>6.3160026546909401E-2</v>
      </c>
      <c r="Z356" s="18"/>
      <c r="AA356" s="19">
        <f t="shared" si="20"/>
        <v>2030</v>
      </c>
      <c r="AB356" s="18">
        <f t="shared" si="21"/>
        <v>11</v>
      </c>
      <c r="AC356" s="20">
        <f>(1+Y356/2)^(-(DATE(AA357,AB357,5)-TradeSum!$B$2)/182.625)</f>
        <v>0.16361296599559894</v>
      </c>
      <c r="AD356" s="22"/>
      <c r="AF356" s="196">
        <v>47788</v>
      </c>
      <c r="AG356">
        <v>6.1327576014982697E-2</v>
      </c>
      <c r="AI356" s="19">
        <f t="shared" si="22"/>
        <v>2030</v>
      </c>
      <c r="AJ356" s="18">
        <f t="shared" si="23"/>
        <v>11</v>
      </c>
      <c r="AK356" s="20">
        <f>(1+AG356/2)^(-(DATE(AI357,AJ357,5)-TradeSum!$B$2)/182.625)</f>
        <v>0.17230033396556158</v>
      </c>
    </row>
    <row r="357" spans="24:37" x14ac:dyDescent="0.2">
      <c r="X357" s="196">
        <v>47818</v>
      </c>
      <c r="Y357">
        <v>6.3156920358896904E-2</v>
      </c>
      <c r="Z357" s="18"/>
      <c r="AA357" s="19">
        <f t="shared" si="20"/>
        <v>2030</v>
      </c>
      <c r="AB357" s="18">
        <f t="shared" si="21"/>
        <v>12</v>
      </c>
      <c r="AC357" s="20">
        <f>(1+Y357/2)^(-(DATE(AA358,AB358,5)-TradeSum!$B$2)/182.625)</f>
        <v>0.1627660489371599</v>
      </c>
      <c r="AD357" s="22"/>
      <c r="AF357" s="196">
        <v>47818</v>
      </c>
      <c r="AG357">
        <v>6.1329913678016504E-2</v>
      </c>
      <c r="AI357" s="19">
        <f t="shared" si="22"/>
        <v>2030</v>
      </c>
      <c r="AJ357" s="18">
        <f t="shared" si="23"/>
        <v>12</v>
      </c>
      <c r="AK357" s="20">
        <f>(1+AG357/2)^(-(DATE(AI358,AJ358,5)-TradeSum!$B$2)/182.625)</f>
        <v>0.17140788208699576</v>
      </c>
    </row>
    <row r="358" spans="24:37" x14ac:dyDescent="0.2">
      <c r="X358" s="196">
        <v>47849</v>
      </c>
      <c r="Y358">
        <v>6.3153710631287802E-2</v>
      </c>
      <c r="Z358" s="18"/>
      <c r="AA358" s="19">
        <f t="shared" si="20"/>
        <v>2031</v>
      </c>
      <c r="AB358" s="18">
        <f t="shared" si="21"/>
        <v>1</v>
      </c>
      <c r="AC358" s="20">
        <f>(1+Y358/2)^(-(DATE(AA359,AB359,5)-TradeSum!$B$2)/182.625)</f>
        <v>0.1619240744872622</v>
      </c>
      <c r="AD358" s="22"/>
      <c r="AF358" s="196">
        <v>47849</v>
      </c>
      <c r="AG358">
        <v>6.1332329263153802E-2</v>
      </c>
      <c r="AI358" s="19">
        <f t="shared" si="22"/>
        <v>2031</v>
      </c>
      <c r="AJ358" s="18">
        <f t="shared" si="23"/>
        <v>1</v>
      </c>
      <c r="AK358" s="20">
        <f>(1+AG358/2)^(-(DATE(AI359,AJ359,5)-TradeSum!$B$2)/182.625)</f>
        <v>0.17051960964801369</v>
      </c>
    </row>
    <row r="359" spans="24:37" x14ac:dyDescent="0.2">
      <c r="X359" s="196">
        <v>47880</v>
      </c>
      <c r="Y359">
        <v>6.3150500903681892E-2</v>
      </c>
      <c r="Z359" s="18"/>
      <c r="AA359" s="19">
        <f t="shared" si="20"/>
        <v>2031</v>
      </c>
      <c r="AB359" s="18">
        <f t="shared" si="21"/>
        <v>2</v>
      </c>
      <c r="AC359" s="20">
        <f>(1+Y359/2)^(-(DATE(AA360,AB360,5)-TradeSum!$B$2)/182.625)</f>
        <v>0.16116882358433232</v>
      </c>
      <c r="AD359" s="22"/>
      <c r="AF359" s="196">
        <v>47880</v>
      </c>
      <c r="AG359">
        <v>6.1334744848292801E-2</v>
      </c>
      <c r="AI359" s="19">
        <f t="shared" si="22"/>
        <v>2031</v>
      </c>
      <c r="AJ359" s="18">
        <f t="shared" si="23"/>
        <v>2</v>
      </c>
      <c r="AK359" s="20">
        <f>(1+AG359/2)^(-(DATE(AI360,AJ360,5)-TradeSum!$B$2)/182.625)</f>
        <v>0.16972006814145996</v>
      </c>
    </row>
    <row r="360" spans="24:37" x14ac:dyDescent="0.2">
      <c r="X360" s="196">
        <v>47908</v>
      </c>
      <c r="Y360">
        <v>6.3147601794879604E-2</v>
      </c>
      <c r="Z360" s="18"/>
      <c r="AA360" s="19">
        <f t="shared" si="20"/>
        <v>2031</v>
      </c>
      <c r="AB360" s="18">
        <f t="shared" si="21"/>
        <v>3</v>
      </c>
      <c r="AC360" s="20">
        <f>(1+Y360/2)^(-(DATE(AA361,AB361,5)-TradeSum!$B$2)/182.625)</f>
        <v>0.16033385529563607</v>
      </c>
      <c r="AD360" s="22"/>
      <c r="AF360" s="196">
        <v>47908</v>
      </c>
      <c r="AG360">
        <v>6.1336926667129504E-2</v>
      </c>
      <c r="AI360" s="19">
        <f t="shared" si="22"/>
        <v>2031</v>
      </c>
      <c r="AJ360" s="18">
        <f t="shared" si="23"/>
        <v>3</v>
      </c>
      <c r="AK360" s="20">
        <f>(1+AG360/2)^(-(DATE(AI361,AJ361,5)-TradeSum!$B$2)/182.625)</f>
        <v>0.16884153876234323</v>
      </c>
    </row>
    <row r="361" spans="24:37" x14ac:dyDescent="0.2">
      <c r="X361" s="196">
        <v>47939</v>
      </c>
      <c r="Y361">
        <v>6.31443920672803E-2</v>
      </c>
      <c r="Z361" s="18"/>
      <c r="AA361" s="19">
        <f t="shared" si="20"/>
        <v>2031</v>
      </c>
      <c r="AB361" s="18">
        <f t="shared" si="21"/>
        <v>4</v>
      </c>
      <c r="AC361" s="20">
        <f>(1+Y361/2)^(-(DATE(AA362,AB362,5)-TradeSum!$B$2)/182.625)</f>
        <v>0.15953185813485884</v>
      </c>
      <c r="AD361" s="22"/>
      <c r="AF361" s="196">
        <v>47939</v>
      </c>
      <c r="AG361">
        <v>6.1339342252272097E-2</v>
      </c>
      <c r="AI361" s="19">
        <f t="shared" si="22"/>
        <v>2031</v>
      </c>
      <c r="AJ361" s="18">
        <f t="shared" si="23"/>
        <v>4</v>
      </c>
      <c r="AK361" s="20">
        <f>(1+AG361/2)^(-(DATE(AI362,AJ362,5)-TradeSum!$B$2)/182.625)</f>
        <v>0.16799415801233289</v>
      </c>
    </row>
    <row r="362" spans="24:37" x14ac:dyDescent="0.2">
      <c r="X362" s="196">
        <v>47969</v>
      </c>
      <c r="Y362">
        <v>6.3141285879284109E-2</v>
      </c>
      <c r="Z362" s="18"/>
      <c r="AA362" s="19">
        <f t="shared" si="20"/>
        <v>2031</v>
      </c>
      <c r="AB362" s="18">
        <f t="shared" si="21"/>
        <v>5</v>
      </c>
      <c r="AC362" s="20">
        <f>(1+Y362/2)^(-(DATE(AA363,AB363,5)-TradeSum!$B$2)/182.625)</f>
        <v>0.15870646811570982</v>
      </c>
      <c r="AD362" s="22"/>
      <c r="AF362" s="196">
        <v>47969</v>
      </c>
      <c r="AG362">
        <v>6.1341679915314799E-2</v>
      </c>
      <c r="AI362" s="19">
        <f t="shared" si="22"/>
        <v>2031</v>
      </c>
      <c r="AJ362" s="18">
        <f t="shared" si="23"/>
        <v>5</v>
      </c>
      <c r="AK362" s="20">
        <f>(1+AG362/2)^(-(DATE(AI363,AJ363,5)-TradeSum!$B$2)/182.625)</f>
        <v>0.16712369195520879</v>
      </c>
    </row>
    <row r="363" spans="24:37" x14ac:dyDescent="0.2">
      <c r="X363" s="196">
        <v>48000</v>
      </c>
      <c r="Y363">
        <v>6.3138076151692007E-2</v>
      </c>
      <c r="Z363" s="18"/>
      <c r="AA363" s="19">
        <f t="shared" si="20"/>
        <v>2031</v>
      </c>
      <c r="AB363" s="18">
        <f t="shared" si="21"/>
        <v>6</v>
      </c>
      <c r="AC363" s="20">
        <f>(1+Y363/2)^(-(DATE(AA364,AB364,5)-TradeSum!$B$2)/182.625)</f>
        <v>0.15791277273397286</v>
      </c>
      <c r="AD363" s="22"/>
      <c r="AF363" s="196">
        <v>48000</v>
      </c>
      <c r="AG363">
        <v>6.1344095500461403E-2</v>
      </c>
      <c r="AI363" s="19">
        <f t="shared" si="22"/>
        <v>2031</v>
      </c>
      <c r="AJ363" s="18">
        <f t="shared" si="23"/>
        <v>6</v>
      </c>
      <c r="AK363" s="20">
        <f>(1+AG363/2)^(-(DATE(AI364,AJ364,5)-TradeSum!$B$2)/182.625)</f>
        <v>0.16628480467483148</v>
      </c>
    </row>
    <row r="364" spans="24:37" x14ac:dyDescent="0.2">
      <c r="X364" s="196">
        <v>48030</v>
      </c>
      <c r="Y364">
        <v>6.3134969963702506E-2</v>
      </c>
      <c r="Z364" s="18"/>
      <c r="AA364" s="19">
        <f t="shared" si="20"/>
        <v>2031</v>
      </c>
      <c r="AB364" s="18">
        <f t="shared" si="21"/>
        <v>7</v>
      </c>
      <c r="AC364" s="20">
        <f>(1+Y364/2)^(-(DATE(AA365,AB365,5)-TradeSum!$B$2)/182.625)</f>
        <v>0.15709592025896851</v>
      </c>
      <c r="AD364" s="22"/>
      <c r="AF364" s="196">
        <v>48030</v>
      </c>
      <c r="AG364">
        <v>6.1346433163508102E-2</v>
      </c>
      <c r="AI364" s="19">
        <f t="shared" si="22"/>
        <v>2031</v>
      </c>
      <c r="AJ364" s="18">
        <f t="shared" si="23"/>
        <v>7</v>
      </c>
      <c r="AK364" s="20">
        <f>(1+AG364/2)^(-(DATE(AI365,AJ365,5)-TradeSum!$B$2)/182.625)</f>
        <v>0.16542306829093351</v>
      </c>
    </row>
    <row r="365" spans="24:37" x14ac:dyDescent="0.2">
      <c r="X365" s="196">
        <v>48061</v>
      </c>
      <c r="Y365">
        <v>6.3131760236116594E-2</v>
      </c>
      <c r="Z365" s="18"/>
      <c r="AA365" s="19">
        <f t="shared" si="20"/>
        <v>2031</v>
      </c>
      <c r="AB365" s="18">
        <f t="shared" si="21"/>
        <v>8</v>
      </c>
      <c r="AC365" s="20">
        <f>(1+Y365/2)^(-(DATE(AA366,AB366,5)-TradeSum!$B$2)/182.625)</f>
        <v>0.15628384153009697</v>
      </c>
      <c r="AD365" s="22"/>
      <c r="AF365" s="196">
        <v>48061</v>
      </c>
      <c r="AG365">
        <v>6.1348848748658605E-2</v>
      </c>
      <c r="AI365" s="19">
        <f t="shared" si="22"/>
        <v>2031</v>
      </c>
      <c r="AJ365" s="18">
        <f t="shared" si="23"/>
        <v>8</v>
      </c>
      <c r="AK365" s="20">
        <f>(1+AG365/2)^(-(DATE(AI366,AJ366,5)-TradeSum!$B$2)/182.625)</f>
        <v>0.16456536280159326</v>
      </c>
    </row>
    <row r="366" spans="24:37" x14ac:dyDescent="0.2">
      <c r="X366" s="196">
        <v>48092</v>
      </c>
      <c r="Y366">
        <v>6.3128550508534206E-2</v>
      </c>
      <c r="Z366" s="18"/>
      <c r="AA366" s="19">
        <f t="shared" si="20"/>
        <v>2031</v>
      </c>
      <c r="AB366" s="18">
        <f t="shared" si="21"/>
        <v>9</v>
      </c>
      <c r="AC366" s="20">
        <f>(1+Y366/2)^(-(DATE(AA367,AB367,5)-TradeSum!$B$2)/182.625)</f>
        <v>0.15550250164989504</v>
      </c>
      <c r="AD366" s="22"/>
      <c r="AF366" s="196">
        <v>48092</v>
      </c>
      <c r="AG366">
        <v>6.1351264333811002E-2</v>
      </c>
      <c r="AI366" s="19">
        <f t="shared" si="22"/>
        <v>2031</v>
      </c>
      <c r="AJ366" s="18">
        <f t="shared" si="23"/>
        <v>9</v>
      </c>
      <c r="AK366" s="20">
        <f>(1+AG366/2)^(-(DATE(AI367,AJ367,5)-TradeSum!$B$2)/182.625)</f>
        <v>0.16373912704172047</v>
      </c>
    </row>
    <row r="367" spans="24:37" x14ac:dyDescent="0.2">
      <c r="X367" s="196">
        <v>48122</v>
      </c>
      <c r="Y367">
        <v>6.3125444320554405E-2</v>
      </c>
      <c r="Z367" s="18"/>
      <c r="AA367" s="19">
        <f t="shared" si="20"/>
        <v>2031</v>
      </c>
      <c r="AB367" s="18">
        <f t="shared" si="21"/>
        <v>10</v>
      </c>
      <c r="AC367" s="20" t="e">
        <f>(1+Y367/2)^(-(DATE(AA368,AB368,5)-TradeSum!$B$2)/182.625)</f>
        <v>#NUM!</v>
      </c>
      <c r="AD367" s="22"/>
      <c r="AF367" s="196">
        <v>48122</v>
      </c>
      <c r="AG367">
        <v>6.1353601996863003E-2</v>
      </c>
      <c r="AI367" s="19">
        <f t="shared" si="22"/>
        <v>2031</v>
      </c>
      <c r="AJ367" s="18">
        <f t="shared" si="23"/>
        <v>10</v>
      </c>
      <c r="AK367" s="20" t="e">
        <f>(1+AG367/2)^(-(DATE(AI368,AJ368,5)-TradeSum!$B$2)/182.625)</f>
        <v>#NUM!</v>
      </c>
    </row>
    <row r="368" spans="24:37" x14ac:dyDescent="0.2">
      <c r="X368"/>
      <c r="Y368"/>
      <c r="Z368" s="18"/>
      <c r="AB368" s="22"/>
      <c r="AC368" s="22"/>
      <c r="AD368" s="22"/>
    </row>
    <row r="369" spans="24:30" x14ac:dyDescent="0.2">
      <c r="X369"/>
      <c r="Y369"/>
      <c r="Z369" s="18"/>
      <c r="AB369" s="22"/>
      <c r="AC369" s="22"/>
      <c r="AD369" s="22"/>
    </row>
    <row r="370" spans="24:30" x14ac:dyDescent="0.2">
      <c r="X370"/>
      <c r="Y370"/>
      <c r="Z370" s="18"/>
      <c r="AB370" s="22"/>
      <c r="AC370" s="22"/>
      <c r="AD370" s="22"/>
    </row>
    <row r="371" spans="24:30" x14ac:dyDescent="0.2">
      <c r="X371"/>
      <c r="Y371"/>
      <c r="Z371" s="18"/>
      <c r="AB371" s="22"/>
      <c r="AC371" s="22"/>
      <c r="AD371" s="22"/>
    </row>
    <row r="372" spans="24:30" x14ac:dyDescent="0.2">
      <c r="X372"/>
      <c r="Y372"/>
      <c r="Z372" s="18"/>
      <c r="AB372" s="22"/>
      <c r="AC372" s="22"/>
      <c r="AD372" s="22"/>
    </row>
    <row r="373" spans="24:30" x14ac:dyDescent="0.2">
      <c r="X373"/>
      <c r="Y373"/>
      <c r="Z373" s="18"/>
      <c r="AB373" s="22"/>
      <c r="AC373" s="22"/>
      <c r="AD373" s="22"/>
    </row>
    <row r="374" spans="24:30" x14ac:dyDescent="0.2">
      <c r="X374"/>
      <c r="Y374"/>
      <c r="Z374" s="18"/>
      <c r="AB374" s="22"/>
      <c r="AC374" s="22"/>
      <c r="AD374" s="22"/>
    </row>
    <row r="375" spans="24:30" x14ac:dyDescent="0.2">
      <c r="X375"/>
      <c r="Y375"/>
      <c r="Z375" s="18"/>
      <c r="AB375" s="22"/>
      <c r="AC375" s="22"/>
      <c r="AD375" s="22"/>
    </row>
    <row r="376" spans="24:30" x14ac:dyDescent="0.2">
      <c r="X376"/>
      <c r="Y376"/>
      <c r="Z376" s="18"/>
      <c r="AB376" s="22"/>
      <c r="AC376" s="22"/>
      <c r="AD376" s="22"/>
    </row>
    <row r="377" spans="24:30" x14ac:dyDescent="0.2">
      <c r="X377"/>
      <c r="Y377"/>
      <c r="Z377" s="18"/>
      <c r="AB377" s="22"/>
      <c r="AC377" s="22"/>
      <c r="AD377" s="22"/>
    </row>
    <row r="378" spans="24:30" x14ac:dyDescent="0.2">
      <c r="X378"/>
      <c r="Y378"/>
      <c r="Z378" s="18"/>
      <c r="AB378" s="22"/>
      <c r="AC378" s="22"/>
      <c r="AD378" s="22"/>
    </row>
    <row r="379" spans="24:30" x14ac:dyDescent="0.2">
      <c r="X379"/>
      <c r="Y379"/>
      <c r="Z379" s="18"/>
      <c r="AB379" s="22"/>
      <c r="AC379" s="22"/>
      <c r="AD379" s="22"/>
    </row>
    <row r="380" spans="24:30" x14ac:dyDescent="0.2">
      <c r="X380"/>
      <c r="Y380"/>
      <c r="AB380" s="22"/>
      <c r="AC380" s="22"/>
      <c r="AD380" s="22"/>
    </row>
    <row r="381" spans="24:30" x14ac:dyDescent="0.2">
      <c r="X381"/>
      <c r="Y381"/>
      <c r="AB381" s="22"/>
      <c r="AC381" s="22"/>
      <c r="AD381" s="22"/>
    </row>
    <row r="382" spans="24:30" x14ac:dyDescent="0.2">
      <c r="X382"/>
      <c r="Y382"/>
      <c r="AB382" s="22"/>
      <c r="AC382" s="22"/>
      <c r="AD382" s="22"/>
    </row>
    <row r="383" spans="24:30" x14ac:dyDescent="0.2">
      <c r="X383"/>
      <c r="Y383"/>
      <c r="AB383" s="22"/>
      <c r="AC383" s="22"/>
      <c r="AD383" s="22"/>
    </row>
    <row r="384" spans="24:30" x14ac:dyDescent="0.2">
      <c r="X384"/>
      <c r="Y384"/>
      <c r="AB384" s="22"/>
      <c r="AC384" s="22"/>
      <c r="AD384" s="22"/>
    </row>
    <row r="385" spans="24:30" x14ac:dyDescent="0.2">
      <c r="X385"/>
      <c r="Y385"/>
      <c r="AB385" s="22"/>
      <c r="AC385" s="22"/>
      <c r="AD385" s="22"/>
    </row>
    <row r="386" spans="24:30" x14ac:dyDescent="0.2">
      <c r="X386"/>
      <c r="Y386"/>
      <c r="AB386" s="22"/>
      <c r="AC386" s="22"/>
      <c r="AD386" s="22"/>
    </row>
    <row r="387" spans="24:30" x14ac:dyDescent="0.2">
      <c r="X387"/>
      <c r="Y387"/>
      <c r="AB387" s="22"/>
      <c r="AC387" s="22"/>
      <c r="AD387" s="22"/>
    </row>
    <row r="388" spans="24:30" x14ac:dyDescent="0.2">
      <c r="X388"/>
      <c r="Y388"/>
      <c r="AB388" s="22"/>
      <c r="AC388" s="22"/>
      <c r="AD388" s="22"/>
    </row>
    <row r="389" spans="24:30" x14ac:dyDescent="0.2">
      <c r="X389"/>
      <c r="Y389"/>
      <c r="AB389" s="22"/>
      <c r="AC389" s="22"/>
      <c r="AD389" s="22"/>
    </row>
    <row r="390" spans="24:30" x14ac:dyDescent="0.2">
      <c r="X390"/>
      <c r="Y390"/>
      <c r="AB390" s="22"/>
      <c r="AC390" s="22"/>
      <c r="AD390" s="22"/>
    </row>
    <row r="391" spans="24:30" x14ac:dyDescent="0.2">
      <c r="X391"/>
      <c r="Y391"/>
      <c r="AB391" s="22"/>
      <c r="AC391" s="22"/>
      <c r="AD391" s="22"/>
    </row>
    <row r="392" spans="24:30" x14ac:dyDescent="0.2">
      <c r="X392"/>
      <c r="Y392"/>
      <c r="AB392" s="22"/>
      <c r="AC392" s="22"/>
      <c r="AD392" s="22"/>
    </row>
    <row r="393" spans="24:30" x14ac:dyDescent="0.2">
      <c r="X393"/>
      <c r="Y393"/>
      <c r="AB393" s="22"/>
      <c r="AC393" s="22"/>
      <c r="AD393" s="22"/>
    </row>
    <row r="394" spans="24:30" x14ac:dyDescent="0.2">
      <c r="X394"/>
      <c r="Y394"/>
      <c r="AB394" s="22"/>
      <c r="AC394" s="22"/>
      <c r="AD394" s="22"/>
    </row>
    <row r="395" spans="24:30" x14ac:dyDescent="0.2">
      <c r="X395"/>
      <c r="Y395"/>
      <c r="AB395" s="22"/>
      <c r="AC395" s="22"/>
      <c r="AD395" s="22"/>
    </row>
    <row r="396" spans="24:30" x14ac:dyDescent="0.2">
      <c r="X396"/>
      <c r="Y396"/>
      <c r="AB396" s="22"/>
      <c r="AC396" s="22"/>
      <c r="AD396" s="22"/>
    </row>
    <row r="397" spans="24:30" x14ac:dyDescent="0.2">
      <c r="X397"/>
      <c r="Y397"/>
      <c r="AB397" s="22"/>
      <c r="AC397" s="22"/>
      <c r="AD397" s="22"/>
    </row>
    <row r="398" spans="24:30" x14ac:dyDescent="0.2">
      <c r="X398"/>
      <c r="Y398"/>
      <c r="AB398" s="22"/>
      <c r="AC398" s="22"/>
      <c r="AD398" s="22"/>
    </row>
    <row r="399" spans="24:30" x14ac:dyDescent="0.2">
      <c r="X399"/>
      <c r="Y399"/>
      <c r="AB399" s="22"/>
      <c r="AC399" s="22"/>
      <c r="AD399" s="22"/>
    </row>
    <row r="400" spans="24:30" x14ac:dyDescent="0.2">
      <c r="X400"/>
      <c r="Y400"/>
      <c r="AB400" s="22"/>
      <c r="AC400" s="22"/>
      <c r="AD400" s="22"/>
    </row>
    <row r="401" spans="24:30" x14ac:dyDescent="0.2">
      <c r="X401"/>
      <c r="Y401"/>
      <c r="AB401" s="22"/>
      <c r="AC401" s="22"/>
      <c r="AD401" s="22"/>
    </row>
    <row r="402" spans="24:30" x14ac:dyDescent="0.2">
      <c r="X402"/>
      <c r="Y402"/>
      <c r="AB402" s="22"/>
      <c r="AC402" s="22"/>
      <c r="AD402" s="22"/>
    </row>
    <row r="403" spans="24:30" x14ac:dyDescent="0.2">
      <c r="X403"/>
      <c r="Y403"/>
      <c r="AB403" s="22"/>
      <c r="AC403" s="22"/>
      <c r="AD403" s="22"/>
    </row>
    <row r="404" spans="24:30" x14ac:dyDescent="0.2">
      <c r="X404"/>
      <c r="Y404"/>
      <c r="AB404" s="22"/>
      <c r="AC404" s="22"/>
      <c r="AD404" s="22"/>
    </row>
    <row r="405" spans="24:30" x14ac:dyDescent="0.2">
      <c r="X405"/>
      <c r="Y405"/>
      <c r="AB405" s="22"/>
      <c r="AC405" s="22"/>
      <c r="AD405" s="22"/>
    </row>
    <row r="406" spans="24:30" x14ac:dyDescent="0.2">
      <c r="X406"/>
      <c r="Y406"/>
      <c r="AB406" s="22"/>
      <c r="AC406" s="22"/>
      <c r="AD406" s="22"/>
    </row>
    <row r="407" spans="24:30" x14ac:dyDescent="0.2">
      <c r="X407"/>
      <c r="Y407"/>
      <c r="AB407" s="22"/>
      <c r="AC407" s="22"/>
      <c r="AD407" s="22"/>
    </row>
    <row r="408" spans="24:30" x14ac:dyDescent="0.2">
      <c r="X408"/>
      <c r="Y408"/>
      <c r="AB408" s="22"/>
      <c r="AC408" s="22"/>
      <c r="AD408" s="22"/>
    </row>
    <row r="409" spans="24:30" x14ac:dyDescent="0.2">
      <c r="X409"/>
      <c r="Y409"/>
      <c r="AB409" s="22"/>
      <c r="AC409" s="22"/>
      <c r="AD409" s="22"/>
    </row>
    <row r="410" spans="24:30" x14ac:dyDescent="0.2">
      <c r="X410"/>
      <c r="Y410"/>
      <c r="AB410" s="22"/>
      <c r="AC410" s="22"/>
      <c r="AD410" s="22"/>
    </row>
    <row r="411" spans="24:30" x14ac:dyDescent="0.2">
      <c r="X411"/>
      <c r="Y411"/>
      <c r="AB411" s="22"/>
      <c r="AC411" s="22"/>
      <c r="AD411" s="22"/>
    </row>
    <row r="412" spans="24:30" x14ac:dyDescent="0.2">
      <c r="X412"/>
      <c r="Y412"/>
      <c r="AB412" s="22"/>
      <c r="AC412" s="22"/>
      <c r="AD412" s="22"/>
    </row>
    <row r="413" spans="24:30" x14ac:dyDescent="0.2">
      <c r="X413"/>
      <c r="Y413"/>
      <c r="AB413" s="22"/>
      <c r="AC413" s="22"/>
      <c r="AD413" s="22"/>
    </row>
    <row r="414" spans="24:30" x14ac:dyDescent="0.2">
      <c r="X414"/>
      <c r="Y414"/>
      <c r="AB414" s="22"/>
      <c r="AC414" s="22"/>
      <c r="AD414" s="22"/>
    </row>
    <row r="415" spans="24:30" x14ac:dyDescent="0.2">
      <c r="X415"/>
      <c r="Y415"/>
      <c r="AB415" s="22"/>
      <c r="AC415" s="22"/>
      <c r="AD415" s="22"/>
    </row>
    <row r="416" spans="24:30" x14ac:dyDescent="0.2">
      <c r="X416"/>
      <c r="Y416"/>
      <c r="AB416" s="22"/>
      <c r="AC416" s="22"/>
      <c r="AD416" s="22"/>
    </row>
    <row r="417" spans="24:30" x14ac:dyDescent="0.2">
      <c r="X417"/>
      <c r="Y417"/>
      <c r="AB417" s="22"/>
      <c r="AC417" s="22"/>
      <c r="AD417" s="22"/>
    </row>
    <row r="418" spans="24:30" x14ac:dyDescent="0.2">
      <c r="X418"/>
      <c r="Y418"/>
      <c r="AB418" s="22"/>
      <c r="AC418" s="22"/>
      <c r="AD418" s="22"/>
    </row>
    <row r="419" spans="24:30" x14ac:dyDescent="0.2">
      <c r="X419"/>
      <c r="Y419"/>
    </row>
    <row r="420" spans="24:30" x14ac:dyDescent="0.2">
      <c r="X420"/>
      <c r="Y420"/>
    </row>
    <row r="421" spans="24:30" x14ac:dyDescent="0.2">
      <c r="X421"/>
      <c r="Y421"/>
    </row>
    <row r="422" spans="24:30" x14ac:dyDescent="0.2">
      <c r="X422"/>
      <c r="Y422"/>
    </row>
    <row r="423" spans="24:30" x14ac:dyDescent="0.2">
      <c r="X423"/>
      <c r="Y423"/>
    </row>
    <row r="424" spans="24:30" x14ac:dyDescent="0.2">
      <c r="X424"/>
      <c r="Y424"/>
    </row>
    <row r="425" spans="24:30" x14ac:dyDescent="0.2">
      <c r="X425"/>
      <c r="Y425"/>
    </row>
    <row r="426" spans="24:30" x14ac:dyDescent="0.2">
      <c r="X426"/>
      <c r="Y426"/>
    </row>
    <row r="427" spans="24:30" x14ac:dyDescent="0.2">
      <c r="X427"/>
      <c r="Y427"/>
    </row>
    <row r="428" spans="24:30" x14ac:dyDescent="0.2">
      <c r="X428"/>
      <c r="Y428"/>
    </row>
    <row r="429" spans="24:30" x14ac:dyDescent="0.2">
      <c r="X429"/>
      <c r="Y429"/>
    </row>
    <row r="430" spans="24:30" x14ac:dyDescent="0.2">
      <c r="X430"/>
      <c r="Y430"/>
    </row>
    <row r="431" spans="24:30" x14ac:dyDescent="0.2">
      <c r="X431"/>
      <c r="Y431"/>
    </row>
    <row r="432" spans="24:30" x14ac:dyDescent="0.2">
      <c r="X432"/>
      <c r="Y432"/>
    </row>
    <row r="433" spans="24:25" x14ac:dyDescent="0.2">
      <c r="X433"/>
      <c r="Y433"/>
    </row>
    <row r="434" spans="24:25" x14ac:dyDescent="0.2">
      <c r="X434"/>
      <c r="Y434"/>
    </row>
    <row r="435" spans="24:25" x14ac:dyDescent="0.2">
      <c r="X435"/>
      <c r="Y435"/>
    </row>
    <row r="436" spans="24:25" x14ac:dyDescent="0.2">
      <c r="X436"/>
      <c r="Y436"/>
    </row>
    <row r="437" spans="24:25" x14ac:dyDescent="0.2">
      <c r="X437"/>
      <c r="Y437"/>
    </row>
    <row r="438" spans="24:25" x14ac:dyDescent="0.2">
      <c r="X438"/>
      <c r="Y438"/>
    </row>
    <row r="439" spans="24:25" x14ac:dyDescent="0.2">
      <c r="X439"/>
      <c r="Y439"/>
    </row>
    <row r="440" spans="24:25" x14ac:dyDescent="0.2">
      <c r="X440"/>
      <c r="Y440"/>
    </row>
    <row r="441" spans="24:25" x14ac:dyDescent="0.2">
      <c r="X441"/>
      <c r="Y441"/>
    </row>
    <row r="442" spans="24:25" x14ac:dyDescent="0.2">
      <c r="X442"/>
      <c r="Y442"/>
    </row>
    <row r="443" spans="24:25" x14ac:dyDescent="0.2">
      <c r="X443"/>
      <c r="Y443"/>
    </row>
    <row r="444" spans="24:25" x14ac:dyDescent="0.2">
      <c r="X444"/>
      <c r="Y444"/>
    </row>
    <row r="445" spans="24:25" x14ac:dyDescent="0.2">
      <c r="X445"/>
      <c r="Y445"/>
    </row>
    <row r="446" spans="24:25" x14ac:dyDescent="0.2">
      <c r="X446"/>
      <c r="Y446"/>
    </row>
    <row r="447" spans="24:25" x14ac:dyDescent="0.2">
      <c r="X447"/>
      <c r="Y447"/>
    </row>
    <row r="448" spans="24:25" x14ac:dyDescent="0.2">
      <c r="X448"/>
      <c r="Y448"/>
    </row>
    <row r="449" spans="24:25" x14ac:dyDescent="0.2">
      <c r="X449"/>
      <c r="Y449"/>
    </row>
    <row r="450" spans="24:25" x14ac:dyDescent="0.2">
      <c r="X450"/>
      <c r="Y450"/>
    </row>
    <row r="451" spans="24:25" x14ac:dyDescent="0.2">
      <c r="X451"/>
      <c r="Y451"/>
    </row>
    <row r="452" spans="24:25" x14ac:dyDescent="0.2">
      <c r="X452"/>
      <c r="Y452"/>
    </row>
    <row r="453" spans="24:25" x14ac:dyDescent="0.2">
      <c r="X453"/>
      <c r="Y453"/>
    </row>
    <row r="454" spans="24:25" x14ac:dyDescent="0.2">
      <c r="X454"/>
      <c r="Y454"/>
    </row>
    <row r="455" spans="24:25" x14ac:dyDescent="0.2">
      <c r="X455"/>
      <c r="Y455"/>
    </row>
    <row r="456" spans="24:25" x14ac:dyDescent="0.2">
      <c r="X456"/>
      <c r="Y456"/>
    </row>
    <row r="457" spans="24:25" x14ac:dyDescent="0.2">
      <c r="X457"/>
      <c r="Y457"/>
    </row>
    <row r="458" spans="24:25" x14ac:dyDescent="0.2">
      <c r="X458"/>
      <c r="Y458"/>
    </row>
    <row r="459" spans="24:25" x14ac:dyDescent="0.2">
      <c r="X459"/>
      <c r="Y459"/>
    </row>
    <row r="460" spans="24:25" x14ac:dyDescent="0.2">
      <c r="X460"/>
      <c r="Y460"/>
    </row>
    <row r="461" spans="24:25" x14ac:dyDescent="0.2">
      <c r="X461"/>
      <c r="Y461"/>
    </row>
    <row r="462" spans="24:25" x14ac:dyDescent="0.2">
      <c r="X462"/>
      <c r="Y462"/>
    </row>
    <row r="463" spans="24:25" x14ac:dyDescent="0.2">
      <c r="X463"/>
      <c r="Y463"/>
    </row>
    <row r="464" spans="24:25" x14ac:dyDescent="0.2">
      <c r="X464"/>
      <c r="Y464"/>
    </row>
    <row r="465" spans="24:25" x14ac:dyDescent="0.2">
      <c r="X465"/>
      <c r="Y465"/>
    </row>
    <row r="466" spans="24:25" x14ac:dyDescent="0.2">
      <c r="X466"/>
      <c r="Y466"/>
    </row>
    <row r="467" spans="24:25" x14ac:dyDescent="0.2">
      <c r="X467"/>
      <c r="Y467"/>
    </row>
    <row r="468" spans="24:25" x14ac:dyDescent="0.2">
      <c r="X468"/>
      <c r="Y468"/>
    </row>
    <row r="469" spans="24:25" x14ac:dyDescent="0.2">
      <c r="X469"/>
      <c r="Y469"/>
    </row>
    <row r="470" spans="24:25" x14ac:dyDescent="0.2">
      <c r="X470"/>
      <c r="Y470"/>
    </row>
    <row r="471" spans="24:25" x14ac:dyDescent="0.2">
      <c r="X471"/>
      <c r="Y471"/>
    </row>
    <row r="472" spans="24:25" x14ac:dyDescent="0.2">
      <c r="X472"/>
      <c r="Y472"/>
    </row>
    <row r="473" spans="24:25" x14ac:dyDescent="0.2">
      <c r="X473"/>
      <c r="Y473"/>
    </row>
    <row r="474" spans="24:25" x14ac:dyDescent="0.2">
      <c r="X474"/>
      <c r="Y474"/>
    </row>
    <row r="475" spans="24:25" x14ac:dyDescent="0.2">
      <c r="X475"/>
      <c r="Y475"/>
    </row>
    <row r="476" spans="24:25" x14ac:dyDescent="0.2">
      <c r="X476"/>
      <c r="Y476"/>
    </row>
    <row r="477" spans="24:25" x14ac:dyDescent="0.2">
      <c r="X477"/>
      <c r="Y477"/>
    </row>
    <row r="478" spans="24:25" x14ac:dyDescent="0.2">
      <c r="X478"/>
      <c r="Y478"/>
    </row>
    <row r="479" spans="24:25" x14ac:dyDescent="0.2">
      <c r="X479"/>
      <c r="Y479"/>
    </row>
    <row r="480" spans="24:25" x14ac:dyDescent="0.2">
      <c r="X480"/>
      <c r="Y480"/>
    </row>
    <row r="481" spans="24:25" x14ac:dyDescent="0.2">
      <c r="X481"/>
      <c r="Y481"/>
    </row>
    <row r="482" spans="24:25" x14ac:dyDescent="0.2">
      <c r="X482"/>
      <c r="Y482"/>
    </row>
    <row r="483" spans="24:25" x14ac:dyDescent="0.2">
      <c r="X483"/>
      <c r="Y483"/>
    </row>
    <row r="484" spans="24:25" x14ac:dyDescent="0.2">
      <c r="X484"/>
      <c r="Y484"/>
    </row>
    <row r="485" spans="24:25" x14ac:dyDescent="0.2">
      <c r="X485"/>
      <c r="Y485"/>
    </row>
    <row r="486" spans="24:25" x14ac:dyDescent="0.2">
      <c r="X486"/>
      <c r="Y486"/>
    </row>
    <row r="487" spans="24:25" x14ac:dyDescent="0.2">
      <c r="X487"/>
      <c r="Y487"/>
    </row>
    <row r="488" spans="24:25" x14ac:dyDescent="0.2">
      <c r="X488"/>
      <c r="Y488"/>
    </row>
    <row r="489" spans="24:25" x14ac:dyDescent="0.2">
      <c r="X489"/>
      <c r="Y489"/>
    </row>
    <row r="490" spans="24:25" x14ac:dyDescent="0.2">
      <c r="X490"/>
      <c r="Y490"/>
    </row>
    <row r="491" spans="24:25" x14ac:dyDescent="0.2">
      <c r="X491"/>
      <c r="Y491"/>
    </row>
    <row r="492" spans="24:25" x14ac:dyDescent="0.2">
      <c r="X492"/>
      <c r="Y492"/>
    </row>
    <row r="493" spans="24:25" x14ac:dyDescent="0.2">
      <c r="X493"/>
      <c r="Y493"/>
    </row>
    <row r="494" spans="24:25" x14ac:dyDescent="0.2">
      <c r="X494"/>
      <c r="Y494"/>
    </row>
    <row r="495" spans="24:25" x14ac:dyDescent="0.2">
      <c r="X495"/>
      <c r="Y495"/>
    </row>
    <row r="496" spans="24:25" x14ac:dyDescent="0.2">
      <c r="X496"/>
      <c r="Y496"/>
    </row>
    <row r="497" spans="24:25" x14ac:dyDescent="0.2">
      <c r="X497"/>
      <c r="Y497"/>
    </row>
    <row r="498" spans="24:25" x14ac:dyDescent="0.2">
      <c r="X498"/>
      <c r="Y498"/>
    </row>
    <row r="499" spans="24:25" x14ac:dyDescent="0.2">
      <c r="X499"/>
      <c r="Y499"/>
    </row>
    <row r="500" spans="24:25" x14ac:dyDescent="0.2">
      <c r="X500"/>
      <c r="Y500"/>
    </row>
    <row r="501" spans="24:25" x14ac:dyDescent="0.2">
      <c r="X501"/>
      <c r="Y501"/>
    </row>
    <row r="502" spans="24:25" x14ac:dyDescent="0.2">
      <c r="X502"/>
      <c r="Y502"/>
    </row>
    <row r="503" spans="24:25" x14ac:dyDescent="0.2">
      <c r="X503"/>
      <c r="Y503"/>
    </row>
    <row r="504" spans="24:25" x14ac:dyDescent="0.2">
      <c r="X504"/>
      <c r="Y504"/>
    </row>
    <row r="505" spans="24:25" x14ac:dyDescent="0.2">
      <c r="X505"/>
      <c r="Y505"/>
    </row>
    <row r="506" spans="24:25" x14ac:dyDescent="0.2">
      <c r="X506"/>
      <c r="Y506"/>
    </row>
    <row r="507" spans="24:25" x14ac:dyDescent="0.2">
      <c r="X507"/>
      <c r="Y507"/>
    </row>
    <row r="508" spans="24:25" x14ac:dyDescent="0.2">
      <c r="X508"/>
      <c r="Y508"/>
    </row>
    <row r="509" spans="24:25" x14ac:dyDescent="0.2">
      <c r="X509"/>
      <c r="Y509"/>
    </row>
    <row r="510" spans="24:25" x14ac:dyDescent="0.2">
      <c r="X510"/>
      <c r="Y510"/>
    </row>
    <row r="511" spans="24:25" x14ac:dyDescent="0.2">
      <c r="X511"/>
      <c r="Y511"/>
    </row>
    <row r="512" spans="24:25" x14ac:dyDescent="0.2">
      <c r="X512"/>
      <c r="Y512"/>
    </row>
    <row r="513" spans="24:25" x14ac:dyDescent="0.2">
      <c r="X513"/>
      <c r="Y513"/>
    </row>
    <row r="514" spans="24:25" x14ac:dyDescent="0.2">
      <c r="X514"/>
      <c r="Y514"/>
    </row>
    <row r="515" spans="24:25" x14ac:dyDescent="0.2">
      <c r="X515"/>
      <c r="Y515"/>
    </row>
    <row r="516" spans="24:25" x14ac:dyDescent="0.2">
      <c r="X516"/>
      <c r="Y516"/>
    </row>
    <row r="517" spans="24:25" x14ac:dyDescent="0.2">
      <c r="X517"/>
      <c r="Y517"/>
    </row>
    <row r="518" spans="24:25" x14ac:dyDescent="0.2">
      <c r="X518"/>
      <c r="Y518"/>
    </row>
    <row r="519" spans="24:25" x14ac:dyDescent="0.2">
      <c r="X519"/>
      <c r="Y519"/>
    </row>
    <row r="520" spans="24:25" x14ac:dyDescent="0.2">
      <c r="X520"/>
      <c r="Y520"/>
    </row>
    <row r="521" spans="24:25" x14ac:dyDescent="0.2">
      <c r="X521"/>
      <c r="Y521"/>
    </row>
    <row r="522" spans="24:25" x14ac:dyDescent="0.2">
      <c r="X522"/>
      <c r="Y522"/>
    </row>
    <row r="523" spans="24:25" x14ac:dyDescent="0.2">
      <c r="X523"/>
      <c r="Y523"/>
    </row>
    <row r="524" spans="24:25" x14ac:dyDescent="0.2">
      <c r="X524"/>
      <c r="Y524"/>
    </row>
    <row r="525" spans="24:25" x14ac:dyDescent="0.2">
      <c r="X525"/>
      <c r="Y525"/>
    </row>
    <row r="526" spans="24:25" x14ac:dyDescent="0.2">
      <c r="X526"/>
      <c r="Y526"/>
    </row>
    <row r="527" spans="24:25" x14ac:dyDescent="0.2">
      <c r="X527"/>
      <c r="Y527"/>
    </row>
    <row r="528" spans="24:25" x14ac:dyDescent="0.2">
      <c r="X528"/>
      <c r="Y528"/>
    </row>
    <row r="529" spans="24:25" x14ac:dyDescent="0.2">
      <c r="X529"/>
      <c r="Y529"/>
    </row>
    <row r="530" spans="24:25" x14ac:dyDescent="0.2">
      <c r="X530"/>
      <c r="Y530"/>
    </row>
    <row r="531" spans="24:25" x14ac:dyDescent="0.2">
      <c r="X531"/>
      <c r="Y531"/>
    </row>
    <row r="532" spans="24:25" x14ac:dyDescent="0.2">
      <c r="X532"/>
      <c r="Y532"/>
    </row>
    <row r="533" spans="24:25" x14ac:dyDescent="0.2">
      <c r="X533"/>
      <c r="Y533"/>
    </row>
    <row r="534" spans="24:25" x14ac:dyDescent="0.2">
      <c r="X534"/>
      <c r="Y534"/>
    </row>
    <row r="535" spans="24:25" x14ac:dyDescent="0.2">
      <c r="X535"/>
      <c r="Y535"/>
    </row>
    <row r="536" spans="24:25" x14ac:dyDescent="0.2">
      <c r="X536"/>
      <c r="Y536"/>
    </row>
    <row r="537" spans="24:25" x14ac:dyDescent="0.2">
      <c r="X537"/>
      <c r="Y537"/>
    </row>
    <row r="538" spans="24:25" x14ac:dyDescent="0.2">
      <c r="X538"/>
      <c r="Y538"/>
    </row>
    <row r="539" spans="24:25" x14ac:dyDescent="0.2">
      <c r="X539"/>
      <c r="Y539"/>
    </row>
    <row r="540" spans="24:25" x14ac:dyDescent="0.2">
      <c r="X540"/>
      <c r="Y540"/>
    </row>
    <row r="541" spans="24:25" x14ac:dyDescent="0.2">
      <c r="X541"/>
      <c r="Y541"/>
    </row>
    <row r="542" spans="24:25" x14ac:dyDescent="0.2">
      <c r="X542"/>
      <c r="Y542"/>
    </row>
    <row r="543" spans="24:25" x14ac:dyDescent="0.2">
      <c r="X543"/>
      <c r="Y543"/>
    </row>
    <row r="544" spans="24:25" x14ac:dyDescent="0.2">
      <c r="X544"/>
      <c r="Y544"/>
    </row>
    <row r="545" spans="24:25" x14ac:dyDescent="0.2">
      <c r="X545"/>
      <c r="Y545"/>
    </row>
    <row r="546" spans="24:25" x14ac:dyDescent="0.2">
      <c r="X546"/>
      <c r="Y546"/>
    </row>
    <row r="547" spans="24:25" x14ac:dyDescent="0.2">
      <c r="X547"/>
      <c r="Y547"/>
    </row>
    <row r="548" spans="24:25" x14ac:dyDescent="0.2">
      <c r="X548"/>
      <c r="Y548"/>
    </row>
    <row r="549" spans="24:25" x14ac:dyDescent="0.2">
      <c r="X549"/>
      <c r="Y549"/>
    </row>
    <row r="550" spans="24:25" x14ac:dyDescent="0.2">
      <c r="X550"/>
      <c r="Y550"/>
    </row>
    <row r="551" spans="24:25" x14ac:dyDescent="0.2">
      <c r="X551"/>
      <c r="Y551"/>
    </row>
    <row r="552" spans="24:25" x14ac:dyDescent="0.2">
      <c r="X552"/>
      <c r="Y552"/>
    </row>
    <row r="553" spans="24:25" x14ac:dyDescent="0.2">
      <c r="X553"/>
      <c r="Y553"/>
    </row>
    <row r="554" spans="24:25" x14ac:dyDescent="0.2">
      <c r="X554"/>
      <c r="Y554"/>
    </row>
    <row r="555" spans="24:25" x14ac:dyDescent="0.2">
      <c r="X555"/>
      <c r="Y555"/>
    </row>
    <row r="556" spans="24:25" x14ac:dyDescent="0.2">
      <c r="X556"/>
      <c r="Y556"/>
    </row>
    <row r="557" spans="24:25" x14ac:dyDescent="0.2">
      <c r="X557"/>
      <c r="Y557"/>
    </row>
    <row r="558" spans="24:25" x14ac:dyDescent="0.2">
      <c r="X558"/>
      <c r="Y558"/>
    </row>
    <row r="559" spans="24:25" x14ac:dyDescent="0.2">
      <c r="X559"/>
      <c r="Y559"/>
    </row>
    <row r="560" spans="24:25" x14ac:dyDescent="0.2">
      <c r="X560"/>
      <c r="Y560"/>
    </row>
    <row r="561" spans="24:25" x14ac:dyDescent="0.2">
      <c r="X561"/>
      <c r="Y561"/>
    </row>
    <row r="562" spans="24:25" x14ac:dyDescent="0.2">
      <c r="X562"/>
      <c r="Y562"/>
    </row>
    <row r="563" spans="24:25" x14ac:dyDescent="0.2">
      <c r="X563"/>
      <c r="Y563"/>
    </row>
    <row r="564" spans="24:25" x14ac:dyDescent="0.2">
      <c r="X564"/>
      <c r="Y564"/>
    </row>
    <row r="565" spans="24:25" x14ac:dyDescent="0.2">
      <c r="X565"/>
      <c r="Y565"/>
    </row>
    <row r="566" spans="24:25" x14ac:dyDescent="0.2">
      <c r="X566"/>
      <c r="Y566"/>
    </row>
    <row r="567" spans="24:25" x14ac:dyDescent="0.2">
      <c r="X567"/>
      <c r="Y567"/>
    </row>
    <row r="568" spans="24:25" x14ac:dyDescent="0.2">
      <c r="X568"/>
      <c r="Y568"/>
    </row>
    <row r="569" spans="24:25" x14ac:dyDescent="0.2">
      <c r="X569"/>
      <c r="Y569"/>
    </row>
    <row r="570" spans="24:25" x14ac:dyDescent="0.2">
      <c r="X570"/>
      <c r="Y570"/>
    </row>
    <row r="571" spans="24:25" x14ac:dyDescent="0.2">
      <c r="X571"/>
      <c r="Y571"/>
    </row>
    <row r="572" spans="24:25" x14ac:dyDescent="0.2">
      <c r="X572"/>
      <c r="Y572"/>
    </row>
    <row r="573" spans="24:25" x14ac:dyDescent="0.2">
      <c r="X573"/>
      <c r="Y573"/>
    </row>
    <row r="574" spans="24:25" x14ac:dyDescent="0.2">
      <c r="X574"/>
      <c r="Y574"/>
    </row>
    <row r="575" spans="24:25" x14ac:dyDescent="0.2">
      <c r="X575"/>
      <c r="Y575"/>
    </row>
    <row r="576" spans="24:25" x14ac:dyDescent="0.2">
      <c r="X576"/>
      <c r="Y576"/>
    </row>
    <row r="577" spans="24:25" x14ac:dyDescent="0.2">
      <c r="X577"/>
      <c r="Y577"/>
    </row>
    <row r="578" spans="24:25" x14ac:dyDescent="0.2">
      <c r="X578"/>
      <c r="Y578"/>
    </row>
    <row r="579" spans="24:25" x14ac:dyDescent="0.2">
      <c r="X579"/>
      <c r="Y579"/>
    </row>
    <row r="580" spans="24:25" x14ac:dyDescent="0.2">
      <c r="X580"/>
      <c r="Y580"/>
    </row>
    <row r="581" spans="24:25" x14ac:dyDescent="0.2">
      <c r="X581"/>
      <c r="Y581"/>
    </row>
    <row r="582" spans="24:25" x14ac:dyDescent="0.2">
      <c r="X582"/>
      <c r="Y582"/>
    </row>
    <row r="583" spans="24:25" x14ac:dyDescent="0.2">
      <c r="X583"/>
      <c r="Y583"/>
    </row>
    <row r="584" spans="24:25" x14ac:dyDescent="0.2">
      <c r="X584"/>
      <c r="Y584"/>
    </row>
    <row r="585" spans="24:25" x14ac:dyDescent="0.2">
      <c r="X585"/>
      <c r="Y585"/>
    </row>
    <row r="586" spans="24:25" x14ac:dyDescent="0.2">
      <c r="X586"/>
      <c r="Y586"/>
    </row>
    <row r="587" spans="24:25" x14ac:dyDescent="0.2">
      <c r="X587"/>
      <c r="Y587"/>
    </row>
    <row r="588" spans="24:25" x14ac:dyDescent="0.2">
      <c r="X588"/>
      <c r="Y588"/>
    </row>
    <row r="589" spans="24:25" x14ac:dyDescent="0.2">
      <c r="X589"/>
      <c r="Y589"/>
    </row>
    <row r="590" spans="24:25" x14ac:dyDescent="0.2">
      <c r="X590"/>
      <c r="Y590"/>
    </row>
    <row r="591" spans="24:25" x14ac:dyDescent="0.2">
      <c r="X591"/>
      <c r="Y591"/>
    </row>
    <row r="592" spans="24:25" x14ac:dyDescent="0.2">
      <c r="X592"/>
      <c r="Y592"/>
    </row>
    <row r="593" spans="24:25" x14ac:dyDescent="0.2">
      <c r="X593"/>
      <c r="Y593"/>
    </row>
    <row r="594" spans="24:25" x14ac:dyDescent="0.2">
      <c r="X594"/>
      <c r="Y594"/>
    </row>
    <row r="595" spans="24:25" x14ac:dyDescent="0.2">
      <c r="X595"/>
      <c r="Y595"/>
    </row>
    <row r="596" spans="24:25" x14ac:dyDescent="0.2">
      <c r="X596"/>
      <c r="Y596"/>
    </row>
    <row r="597" spans="24:25" x14ac:dyDescent="0.2">
      <c r="X597"/>
      <c r="Y597"/>
    </row>
    <row r="598" spans="24:25" x14ac:dyDescent="0.2">
      <c r="X598"/>
      <c r="Y598"/>
    </row>
    <row r="599" spans="24:25" x14ac:dyDescent="0.2">
      <c r="X599"/>
      <c r="Y599"/>
    </row>
    <row r="600" spans="24:25" x14ac:dyDescent="0.2">
      <c r="X600"/>
      <c r="Y600"/>
    </row>
    <row r="601" spans="24:25" x14ac:dyDescent="0.2">
      <c r="X601"/>
      <c r="Y601"/>
    </row>
    <row r="602" spans="24:25" x14ac:dyDescent="0.2">
      <c r="X602"/>
      <c r="Y602"/>
    </row>
    <row r="603" spans="24:25" x14ac:dyDescent="0.2">
      <c r="X603"/>
      <c r="Y603"/>
    </row>
    <row r="604" spans="24:25" x14ac:dyDescent="0.2">
      <c r="X604"/>
      <c r="Y604"/>
    </row>
    <row r="605" spans="24:25" x14ac:dyDescent="0.2">
      <c r="X605"/>
      <c r="Y605"/>
    </row>
    <row r="606" spans="24:25" x14ac:dyDescent="0.2">
      <c r="X606"/>
      <c r="Y606"/>
    </row>
    <row r="607" spans="24:25" x14ac:dyDescent="0.2">
      <c r="X607"/>
      <c r="Y607"/>
    </row>
    <row r="608" spans="24:25" x14ac:dyDescent="0.2">
      <c r="X608"/>
      <c r="Y608"/>
    </row>
    <row r="609" spans="24:25" x14ac:dyDescent="0.2">
      <c r="X609"/>
      <c r="Y609"/>
    </row>
    <row r="610" spans="24:25" x14ac:dyDescent="0.2">
      <c r="X610"/>
      <c r="Y610"/>
    </row>
    <row r="611" spans="24:25" x14ac:dyDescent="0.2">
      <c r="X611"/>
      <c r="Y611"/>
    </row>
    <row r="612" spans="24:25" x14ac:dyDescent="0.2">
      <c r="X612"/>
      <c r="Y612"/>
    </row>
    <row r="613" spans="24:25" x14ac:dyDescent="0.2">
      <c r="X613"/>
      <c r="Y613"/>
    </row>
    <row r="614" spans="24:25" x14ac:dyDescent="0.2">
      <c r="X614"/>
      <c r="Y614"/>
    </row>
    <row r="615" spans="24:25" x14ac:dyDescent="0.2">
      <c r="X615"/>
      <c r="Y615"/>
    </row>
    <row r="616" spans="24:25" x14ac:dyDescent="0.2">
      <c r="X616"/>
      <c r="Y616"/>
    </row>
    <row r="617" spans="24:25" x14ac:dyDescent="0.2">
      <c r="X617"/>
      <c r="Y617"/>
    </row>
    <row r="618" spans="24:25" x14ac:dyDescent="0.2">
      <c r="X618"/>
      <c r="Y618"/>
    </row>
    <row r="619" spans="24:25" x14ac:dyDescent="0.2">
      <c r="X619"/>
      <c r="Y619"/>
    </row>
    <row r="620" spans="24:25" x14ac:dyDescent="0.2">
      <c r="X620"/>
      <c r="Y620"/>
    </row>
    <row r="621" spans="24:25" x14ac:dyDescent="0.2">
      <c r="X621"/>
      <c r="Y621"/>
    </row>
    <row r="622" spans="24:25" x14ac:dyDescent="0.2">
      <c r="X622"/>
      <c r="Y622"/>
    </row>
    <row r="623" spans="24:25" x14ac:dyDescent="0.2">
      <c r="X623"/>
      <c r="Y623"/>
    </row>
    <row r="624" spans="24:25" x14ac:dyDescent="0.2">
      <c r="X624"/>
      <c r="Y624"/>
    </row>
    <row r="625" spans="24:25" x14ac:dyDescent="0.2">
      <c r="X625"/>
      <c r="Y625"/>
    </row>
    <row r="626" spans="24:25" x14ac:dyDescent="0.2">
      <c r="X626"/>
      <c r="Y626"/>
    </row>
    <row r="627" spans="24:25" x14ac:dyDescent="0.2">
      <c r="X627"/>
      <c r="Y627"/>
    </row>
    <row r="628" spans="24:25" x14ac:dyDescent="0.2">
      <c r="X628"/>
      <c r="Y628"/>
    </row>
    <row r="629" spans="24:25" x14ac:dyDescent="0.2">
      <c r="X629"/>
      <c r="Y629"/>
    </row>
    <row r="630" spans="24:25" x14ac:dyDescent="0.2">
      <c r="X630"/>
      <c r="Y630"/>
    </row>
    <row r="631" spans="24:25" x14ac:dyDescent="0.2">
      <c r="X631"/>
      <c r="Y631"/>
    </row>
    <row r="632" spans="24:25" x14ac:dyDescent="0.2">
      <c r="X632"/>
      <c r="Y632"/>
    </row>
    <row r="633" spans="24:25" x14ac:dyDescent="0.2">
      <c r="X633"/>
      <c r="Y633"/>
    </row>
    <row r="634" spans="24:25" x14ac:dyDescent="0.2">
      <c r="X634"/>
      <c r="Y634"/>
    </row>
    <row r="635" spans="24:25" x14ac:dyDescent="0.2">
      <c r="X635"/>
      <c r="Y635"/>
    </row>
    <row r="636" spans="24:25" x14ac:dyDescent="0.2">
      <c r="X636"/>
      <c r="Y636"/>
    </row>
    <row r="637" spans="24:25" x14ac:dyDescent="0.2">
      <c r="X637"/>
      <c r="Y637"/>
    </row>
    <row r="638" spans="24:25" x14ac:dyDescent="0.2">
      <c r="X638"/>
      <c r="Y638"/>
    </row>
    <row r="639" spans="24:25" x14ac:dyDescent="0.2">
      <c r="X639"/>
      <c r="Y639"/>
    </row>
    <row r="640" spans="24:25" x14ac:dyDescent="0.2">
      <c r="X640"/>
      <c r="Y640"/>
    </row>
    <row r="641" spans="24:25" x14ac:dyDescent="0.2">
      <c r="X641"/>
      <c r="Y641"/>
    </row>
    <row r="642" spans="24:25" x14ac:dyDescent="0.2">
      <c r="X642"/>
      <c r="Y642"/>
    </row>
    <row r="643" spans="24:25" x14ac:dyDescent="0.2">
      <c r="X643"/>
      <c r="Y643"/>
    </row>
    <row r="644" spans="24:25" x14ac:dyDescent="0.2">
      <c r="X644"/>
      <c r="Y644"/>
    </row>
    <row r="645" spans="24:25" x14ac:dyDescent="0.2">
      <c r="X645"/>
      <c r="Y645"/>
    </row>
    <row r="646" spans="24:25" x14ac:dyDescent="0.2">
      <c r="X646"/>
      <c r="Y646"/>
    </row>
    <row r="647" spans="24:25" x14ac:dyDescent="0.2">
      <c r="X647"/>
      <c r="Y647"/>
    </row>
    <row r="648" spans="24:25" x14ac:dyDescent="0.2">
      <c r="X648"/>
      <c r="Y648"/>
    </row>
    <row r="649" spans="24:25" x14ac:dyDescent="0.2">
      <c r="X649"/>
      <c r="Y649"/>
    </row>
    <row r="650" spans="24:25" x14ac:dyDescent="0.2">
      <c r="X650"/>
      <c r="Y650"/>
    </row>
    <row r="651" spans="24:25" x14ac:dyDescent="0.2">
      <c r="X651"/>
      <c r="Y651"/>
    </row>
    <row r="652" spans="24:25" x14ac:dyDescent="0.2">
      <c r="X652"/>
      <c r="Y652"/>
    </row>
    <row r="653" spans="24:25" x14ac:dyDescent="0.2">
      <c r="X653"/>
      <c r="Y653"/>
    </row>
    <row r="654" spans="24:25" x14ac:dyDescent="0.2">
      <c r="X654"/>
      <c r="Y654"/>
    </row>
    <row r="655" spans="24:25" x14ac:dyDescent="0.2">
      <c r="X655"/>
      <c r="Y655"/>
    </row>
    <row r="656" spans="24:25" x14ac:dyDescent="0.2">
      <c r="X656"/>
      <c r="Y656"/>
    </row>
    <row r="657" spans="24:25" x14ac:dyDescent="0.2">
      <c r="X657"/>
      <c r="Y657"/>
    </row>
    <row r="658" spans="24:25" x14ac:dyDescent="0.2">
      <c r="X658"/>
      <c r="Y658"/>
    </row>
    <row r="659" spans="24:25" x14ac:dyDescent="0.2">
      <c r="X659"/>
      <c r="Y659"/>
    </row>
    <row r="660" spans="24:25" x14ac:dyDescent="0.2">
      <c r="X660"/>
      <c r="Y660"/>
    </row>
    <row r="661" spans="24:25" x14ac:dyDescent="0.2">
      <c r="X661"/>
      <c r="Y661"/>
    </row>
    <row r="662" spans="24:25" x14ac:dyDescent="0.2">
      <c r="X662"/>
      <c r="Y662"/>
    </row>
    <row r="663" spans="24:25" x14ac:dyDescent="0.2">
      <c r="X663"/>
      <c r="Y663"/>
    </row>
    <row r="664" spans="24:25" x14ac:dyDescent="0.2">
      <c r="X664"/>
      <c r="Y664"/>
    </row>
    <row r="665" spans="24:25" x14ac:dyDescent="0.2">
      <c r="X665"/>
      <c r="Y665"/>
    </row>
    <row r="666" spans="24:25" x14ac:dyDescent="0.2">
      <c r="X666"/>
      <c r="Y666"/>
    </row>
    <row r="667" spans="24:25" x14ac:dyDescent="0.2">
      <c r="X667"/>
      <c r="Y667"/>
    </row>
    <row r="668" spans="24:25" x14ac:dyDescent="0.2">
      <c r="X668"/>
      <c r="Y668"/>
    </row>
    <row r="669" spans="24:25" x14ac:dyDescent="0.2">
      <c r="X669"/>
      <c r="Y669"/>
    </row>
    <row r="670" spans="24:25" x14ac:dyDescent="0.2">
      <c r="X670"/>
      <c r="Y670"/>
    </row>
    <row r="671" spans="24:25" x14ac:dyDescent="0.2">
      <c r="X671"/>
      <c r="Y671"/>
    </row>
    <row r="672" spans="24:25" x14ac:dyDescent="0.2">
      <c r="X672"/>
      <c r="Y672"/>
    </row>
    <row r="673" spans="24:25" x14ac:dyDescent="0.2">
      <c r="X673"/>
      <c r="Y673"/>
    </row>
    <row r="674" spans="24:25" x14ac:dyDescent="0.2">
      <c r="X674"/>
      <c r="Y674"/>
    </row>
    <row r="675" spans="24:25" x14ac:dyDescent="0.2">
      <c r="X675"/>
      <c r="Y675"/>
    </row>
    <row r="676" spans="24:25" x14ac:dyDescent="0.2">
      <c r="X676"/>
      <c r="Y676"/>
    </row>
    <row r="677" spans="24:25" x14ac:dyDescent="0.2">
      <c r="X677"/>
      <c r="Y677"/>
    </row>
    <row r="678" spans="24:25" x14ac:dyDescent="0.2">
      <c r="X678"/>
      <c r="Y678"/>
    </row>
    <row r="679" spans="24:25" x14ac:dyDescent="0.2">
      <c r="X679"/>
      <c r="Y679"/>
    </row>
    <row r="680" spans="24:25" x14ac:dyDescent="0.2">
      <c r="X680"/>
      <c r="Y680"/>
    </row>
    <row r="681" spans="24:25" x14ac:dyDescent="0.2">
      <c r="X681"/>
      <c r="Y681"/>
    </row>
    <row r="682" spans="24:25" x14ac:dyDescent="0.2">
      <c r="X682"/>
      <c r="Y682"/>
    </row>
    <row r="683" spans="24:25" x14ac:dyDescent="0.2">
      <c r="X683"/>
      <c r="Y683"/>
    </row>
    <row r="684" spans="24:25" x14ac:dyDescent="0.2">
      <c r="X684"/>
      <c r="Y684"/>
    </row>
    <row r="685" spans="24:25" x14ac:dyDescent="0.2">
      <c r="X685"/>
      <c r="Y685"/>
    </row>
    <row r="686" spans="24:25" x14ac:dyDescent="0.2">
      <c r="X686"/>
      <c r="Y686"/>
    </row>
    <row r="687" spans="24:25" x14ac:dyDescent="0.2">
      <c r="X687"/>
      <c r="Y687"/>
    </row>
    <row r="688" spans="24:25" x14ac:dyDescent="0.2">
      <c r="X688"/>
      <c r="Y688"/>
    </row>
    <row r="689" spans="24:25" x14ac:dyDescent="0.2">
      <c r="X689"/>
      <c r="Y689"/>
    </row>
    <row r="690" spans="24:25" x14ac:dyDescent="0.2">
      <c r="X690"/>
      <c r="Y690"/>
    </row>
    <row r="691" spans="24:25" x14ac:dyDescent="0.2">
      <c r="X691"/>
      <c r="Y691"/>
    </row>
    <row r="692" spans="24:25" x14ac:dyDescent="0.2">
      <c r="X692"/>
      <c r="Y692"/>
    </row>
    <row r="693" spans="24:25" x14ac:dyDescent="0.2">
      <c r="X693"/>
      <c r="Y693"/>
    </row>
    <row r="694" spans="24:25" x14ac:dyDescent="0.2">
      <c r="X694"/>
      <c r="Y694"/>
    </row>
    <row r="695" spans="24:25" x14ac:dyDescent="0.2">
      <c r="X695"/>
      <c r="Y695"/>
    </row>
    <row r="696" spans="24:25" x14ac:dyDescent="0.2">
      <c r="X696"/>
      <c r="Y696"/>
    </row>
    <row r="697" spans="24:25" x14ac:dyDescent="0.2">
      <c r="X697"/>
      <c r="Y697"/>
    </row>
    <row r="698" spans="24:25" x14ac:dyDescent="0.2">
      <c r="X698"/>
      <c r="Y698"/>
    </row>
    <row r="699" spans="24:25" x14ac:dyDescent="0.2">
      <c r="X699"/>
      <c r="Y699"/>
    </row>
    <row r="700" spans="24:25" x14ac:dyDescent="0.2">
      <c r="X700"/>
      <c r="Y700"/>
    </row>
    <row r="701" spans="24:25" x14ac:dyDescent="0.2">
      <c r="X701"/>
      <c r="Y701"/>
    </row>
    <row r="702" spans="24:25" x14ac:dyDescent="0.2">
      <c r="X702"/>
      <c r="Y702"/>
    </row>
    <row r="703" spans="24:25" x14ac:dyDescent="0.2">
      <c r="X703"/>
      <c r="Y703"/>
    </row>
    <row r="704" spans="24:25" x14ac:dyDescent="0.2">
      <c r="X704"/>
      <c r="Y704"/>
    </row>
    <row r="705" spans="24:25" x14ac:dyDescent="0.2">
      <c r="X705"/>
      <c r="Y705"/>
    </row>
    <row r="706" spans="24:25" x14ac:dyDescent="0.2">
      <c r="X706"/>
      <c r="Y706"/>
    </row>
    <row r="707" spans="24:25" x14ac:dyDescent="0.2">
      <c r="X707"/>
      <c r="Y707"/>
    </row>
    <row r="708" spans="24:25" x14ac:dyDescent="0.2">
      <c r="X708"/>
      <c r="Y708"/>
    </row>
    <row r="709" spans="24:25" x14ac:dyDescent="0.2">
      <c r="X709"/>
      <c r="Y709"/>
    </row>
    <row r="710" spans="24:25" x14ac:dyDescent="0.2">
      <c r="X710"/>
      <c r="Y710"/>
    </row>
    <row r="711" spans="24:25" x14ac:dyDescent="0.2">
      <c r="X711"/>
      <c r="Y711"/>
    </row>
    <row r="712" spans="24:25" x14ac:dyDescent="0.2">
      <c r="X712"/>
      <c r="Y712"/>
    </row>
    <row r="713" spans="24:25" x14ac:dyDescent="0.2">
      <c r="X713"/>
      <c r="Y713"/>
    </row>
    <row r="714" spans="24:25" x14ac:dyDescent="0.2">
      <c r="X714"/>
      <c r="Y714"/>
    </row>
    <row r="715" spans="24:25" x14ac:dyDescent="0.2">
      <c r="X715"/>
      <c r="Y715"/>
    </row>
    <row r="716" spans="24:25" x14ac:dyDescent="0.2">
      <c r="X716"/>
      <c r="Y716"/>
    </row>
    <row r="717" spans="24:25" x14ac:dyDescent="0.2">
      <c r="X717"/>
      <c r="Y717"/>
    </row>
    <row r="718" spans="24:25" x14ac:dyDescent="0.2">
      <c r="X718"/>
      <c r="Y718"/>
    </row>
    <row r="719" spans="24:25" x14ac:dyDescent="0.2">
      <c r="X719"/>
      <c r="Y719"/>
    </row>
    <row r="720" spans="24:25" x14ac:dyDescent="0.2">
      <c r="X720"/>
      <c r="Y720"/>
    </row>
    <row r="721" spans="24:25" x14ac:dyDescent="0.2">
      <c r="X721"/>
      <c r="Y721"/>
    </row>
    <row r="722" spans="24:25" x14ac:dyDescent="0.2">
      <c r="X722"/>
      <c r="Y722"/>
    </row>
    <row r="723" spans="24:25" x14ac:dyDescent="0.2">
      <c r="X723"/>
      <c r="Y723"/>
    </row>
    <row r="724" spans="24:25" x14ac:dyDescent="0.2">
      <c r="X724"/>
      <c r="Y724"/>
    </row>
    <row r="725" spans="24:25" x14ac:dyDescent="0.2">
      <c r="X725"/>
      <c r="Y725"/>
    </row>
    <row r="726" spans="24:25" x14ac:dyDescent="0.2">
      <c r="X726"/>
      <c r="Y726"/>
    </row>
    <row r="727" spans="24:25" x14ac:dyDescent="0.2">
      <c r="X727"/>
      <c r="Y727"/>
    </row>
    <row r="728" spans="24:25" x14ac:dyDescent="0.2">
      <c r="X728"/>
      <c r="Y728"/>
    </row>
    <row r="729" spans="24:25" x14ac:dyDescent="0.2">
      <c r="X729"/>
      <c r="Y729"/>
    </row>
    <row r="730" spans="24:25" x14ac:dyDescent="0.2">
      <c r="X730"/>
      <c r="Y730"/>
    </row>
    <row r="731" spans="24:25" x14ac:dyDescent="0.2">
      <c r="X731"/>
      <c r="Y731"/>
    </row>
    <row r="732" spans="24:25" x14ac:dyDescent="0.2">
      <c r="X732"/>
      <c r="Y732"/>
    </row>
    <row r="733" spans="24:25" x14ac:dyDescent="0.2">
      <c r="X733"/>
      <c r="Y733"/>
    </row>
    <row r="734" spans="24:25" x14ac:dyDescent="0.2">
      <c r="X734"/>
      <c r="Y734"/>
    </row>
    <row r="735" spans="24:25" x14ac:dyDescent="0.2">
      <c r="X735"/>
      <c r="Y735"/>
    </row>
    <row r="736" spans="24:25" x14ac:dyDescent="0.2">
      <c r="X736"/>
      <c r="Y736"/>
    </row>
    <row r="737" spans="24:25" x14ac:dyDescent="0.2">
      <c r="X737"/>
      <c r="Y737"/>
    </row>
    <row r="738" spans="24:25" x14ac:dyDescent="0.2">
      <c r="X738"/>
      <c r="Y738"/>
    </row>
    <row r="739" spans="24:25" x14ac:dyDescent="0.2">
      <c r="X739"/>
      <c r="Y739"/>
    </row>
    <row r="740" spans="24:25" x14ac:dyDescent="0.2">
      <c r="X740"/>
      <c r="Y740"/>
    </row>
    <row r="741" spans="24:25" x14ac:dyDescent="0.2">
      <c r="X741"/>
      <c r="Y741"/>
    </row>
    <row r="742" spans="24:25" x14ac:dyDescent="0.2">
      <c r="X742"/>
      <c r="Y742"/>
    </row>
    <row r="743" spans="24:25" x14ac:dyDescent="0.2">
      <c r="X743"/>
      <c r="Y743"/>
    </row>
    <row r="744" spans="24:25" x14ac:dyDescent="0.2">
      <c r="X744"/>
      <c r="Y744"/>
    </row>
    <row r="745" spans="24:25" x14ac:dyDescent="0.2">
      <c r="X745"/>
      <c r="Y745"/>
    </row>
    <row r="746" spans="24:25" x14ac:dyDescent="0.2">
      <c r="X746"/>
      <c r="Y746"/>
    </row>
    <row r="747" spans="24:25" x14ac:dyDescent="0.2">
      <c r="X747"/>
      <c r="Y747"/>
    </row>
    <row r="748" spans="24:25" x14ac:dyDescent="0.2">
      <c r="X748"/>
      <c r="Y748"/>
    </row>
    <row r="749" spans="24:25" x14ac:dyDescent="0.2">
      <c r="X749"/>
      <c r="Y749"/>
    </row>
    <row r="750" spans="24:25" x14ac:dyDescent="0.2">
      <c r="X750"/>
      <c r="Y750"/>
    </row>
    <row r="751" spans="24:25" x14ac:dyDescent="0.2">
      <c r="X751"/>
      <c r="Y751"/>
    </row>
    <row r="752" spans="24:25" x14ac:dyDescent="0.2">
      <c r="X752"/>
      <c r="Y752"/>
    </row>
    <row r="753" spans="24:25" x14ac:dyDescent="0.2">
      <c r="X753"/>
      <c r="Y753"/>
    </row>
    <row r="754" spans="24:25" x14ac:dyDescent="0.2">
      <c r="X754"/>
      <c r="Y754"/>
    </row>
    <row r="755" spans="24:25" x14ac:dyDescent="0.2">
      <c r="X755"/>
      <c r="Y755"/>
    </row>
    <row r="756" spans="24:25" x14ac:dyDescent="0.2">
      <c r="X756"/>
      <c r="Y756"/>
    </row>
    <row r="757" spans="24:25" x14ac:dyDescent="0.2">
      <c r="X757"/>
      <c r="Y757"/>
    </row>
    <row r="758" spans="24:25" x14ac:dyDescent="0.2">
      <c r="X758"/>
      <c r="Y758"/>
    </row>
    <row r="759" spans="24:25" x14ac:dyDescent="0.2">
      <c r="X759"/>
      <c r="Y759"/>
    </row>
    <row r="760" spans="24:25" x14ac:dyDescent="0.2">
      <c r="X760"/>
      <c r="Y760"/>
    </row>
    <row r="761" spans="24:25" x14ac:dyDescent="0.2">
      <c r="X761"/>
      <c r="Y761"/>
    </row>
    <row r="762" spans="24:25" x14ac:dyDescent="0.2">
      <c r="X762"/>
      <c r="Y762"/>
    </row>
    <row r="763" spans="24:25" x14ac:dyDescent="0.2">
      <c r="X763"/>
      <c r="Y763"/>
    </row>
    <row r="764" spans="24:25" x14ac:dyDescent="0.2">
      <c r="X764"/>
      <c r="Y764"/>
    </row>
    <row r="765" spans="24:25" x14ac:dyDescent="0.2">
      <c r="X765"/>
      <c r="Y765"/>
    </row>
    <row r="766" spans="24:25" x14ac:dyDescent="0.2">
      <c r="X766"/>
      <c r="Y766"/>
    </row>
    <row r="767" spans="24:25" x14ac:dyDescent="0.2">
      <c r="X767"/>
      <c r="Y767"/>
    </row>
    <row r="768" spans="24:25" x14ac:dyDescent="0.2">
      <c r="X768"/>
      <c r="Y768"/>
    </row>
    <row r="769" spans="24:25" x14ac:dyDescent="0.2">
      <c r="X769"/>
      <c r="Y769"/>
    </row>
    <row r="770" spans="24:25" x14ac:dyDescent="0.2">
      <c r="X770"/>
      <c r="Y770"/>
    </row>
    <row r="771" spans="24:25" x14ac:dyDescent="0.2">
      <c r="X771"/>
      <c r="Y771"/>
    </row>
    <row r="772" spans="24:25" x14ac:dyDescent="0.2">
      <c r="X772"/>
      <c r="Y772"/>
    </row>
    <row r="773" spans="24:25" x14ac:dyDescent="0.2">
      <c r="X773"/>
      <c r="Y773"/>
    </row>
    <row r="774" spans="24:25" x14ac:dyDescent="0.2">
      <c r="X774"/>
      <c r="Y774"/>
    </row>
    <row r="775" spans="24:25" x14ac:dyDescent="0.2">
      <c r="X775"/>
      <c r="Y775"/>
    </row>
    <row r="776" spans="24:25" x14ac:dyDescent="0.2">
      <c r="X776"/>
      <c r="Y776"/>
    </row>
    <row r="777" spans="24:25" x14ac:dyDescent="0.2">
      <c r="X777"/>
      <c r="Y777"/>
    </row>
    <row r="778" spans="24:25" x14ac:dyDescent="0.2">
      <c r="X778"/>
      <c r="Y778"/>
    </row>
    <row r="779" spans="24:25" x14ac:dyDescent="0.2">
      <c r="X779"/>
      <c r="Y779"/>
    </row>
    <row r="780" spans="24:25" x14ac:dyDescent="0.2">
      <c r="X780"/>
      <c r="Y780"/>
    </row>
    <row r="781" spans="24:25" x14ac:dyDescent="0.2">
      <c r="X781"/>
      <c r="Y781"/>
    </row>
    <row r="782" spans="24:25" x14ac:dyDescent="0.2">
      <c r="X782"/>
      <c r="Y782"/>
    </row>
    <row r="783" spans="24:25" x14ac:dyDescent="0.2">
      <c r="X783"/>
      <c r="Y783"/>
    </row>
    <row r="784" spans="24:25" x14ac:dyDescent="0.2">
      <c r="X784"/>
      <c r="Y784"/>
    </row>
    <row r="785" spans="24:25" x14ac:dyDescent="0.2">
      <c r="X785"/>
      <c r="Y785"/>
    </row>
    <row r="786" spans="24:25" x14ac:dyDescent="0.2">
      <c r="X786"/>
      <c r="Y786"/>
    </row>
    <row r="787" spans="24:25" x14ac:dyDescent="0.2">
      <c r="X787"/>
      <c r="Y787"/>
    </row>
    <row r="788" spans="24:25" x14ac:dyDescent="0.2">
      <c r="X788"/>
      <c r="Y788"/>
    </row>
    <row r="789" spans="24:25" x14ac:dyDescent="0.2">
      <c r="X789"/>
      <c r="Y789"/>
    </row>
    <row r="790" spans="24:25" x14ac:dyDescent="0.2">
      <c r="X790"/>
      <c r="Y790"/>
    </row>
    <row r="791" spans="24:25" x14ac:dyDescent="0.2">
      <c r="X791"/>
      <c r="Y791"/>
    </row>
    <row r="792" spans="24:25" x14ac:dyDescent="0.2">
      <c r="X792"/>
      <c r="Y792"/>
    </row>
    <row r="793" spans="24:25" x14ac:dyDescent="0.2">
      <c r="X793"/>
      <c r="Y793"/>
    </row>
    <row r="794" spans="24:25" x14ac:dyDescent="0.2">
      <c r="X794"/>
      <c r="Y794"/>
    </row>
    <row r="795" spans="24:25" x14ac:dyDescent="0.2">
      <c r="X795"/>
      <c r="Y795"/>
    </row>
    <row r="796" spans="24:25" x14ac:dyDescent="0.2">
      <c r="X796"/>
      <c r="Y796"/>
    </row>
    <row r="797" spans="24:25" x14ac:dyDescent="0.2">
      <c r="X797"/>
      <c r="Y797"/>
    </row>
    <row r="798" spans="24:25" x14ac:dyDescent="0.2">
      <c r="X798"/>
      <c r="Y798"/>
    </row>
    <row r="799" spans="24:25" x14ac:dyDescent="0.2">
      <c r="X799"/>
      <c r="Y799"/>
    </row>
    <row r="800" spans="24:25" x14ac:dyDescent="0.2">
      <c r="X800"/>
      <c r="Y800"/>
    </row>
    <row r="801" spans="24:25" x14ac:dyDescent="0.2">
      <c r="X801"/>
      <c r="Y801"/>
    </row>
    <row r="802" spans="24:25" x14ac:dyDescent="0.2">
      <c r="X802"/>
      <c r="Y802"/>
    </row>
    <row r="803" spans="24:25" x14ac:dyDescent="0.2">
      <c r="X803"/>
      <c r="Y803"/>
    </row>
    <row r="804" spans="24:25" x14ac:dyDescent="0.2">
      <c r="X804"/>
      <c r="Y804"/>
    </row>
    <row r="805" spans="24:25" x14ac:dyDescent="0.2">
      <c r="X805"/>
      <c r="Y805"/>
    </row>
    <row r="806" spans="24:25" x14ac:dyDescent="0.2">
      <c r="X806"/>
      <c r="Y806"/>
    </row>
    <row r="807" spans="24:25" x14ac:dyDescent="0.2">
      <c r="X807"/>
      <c r="Y807"/>
    </row>
    <row r="808" spans="24:25" x14ac:dyDescent="0.2">
      <c r="X808"/>
      <c r="Y808"/>
    </row>
    <row r="809" spans="24:25" x14ac:dyDescent="0.2">
      <c r="X809"/>
      <c r="Y809"/>
    </row>
    <row r="810" spans="24:25" x14ac:dyDescent="0.2">
      <c r="X810"/>
      <c r="Y810"/>
    </row>
    <row r="811" spans="24:25" x14ac:dyDescent="0.2">
      <c r="X811"/>
      <c r="Y811"/>
    </row>
    <row r="812" spans="24:25" x14ac:dyDescent="0.2">
      <c r="X812"/>
      <c r="Y812"/>
    </row>
    <row r="813" spans="24:25" x14ac:dyDescent="0.2">
      <c r="X813"/>
      <c r="Y813"/>
    </row>
    <row r="814" spans="24:25" x14ac:dyDescent="0.2">
      <c r="X814"/>
      <c r="Y814"/>
    </row>
    <row r="815" spans="24:25" x14ac:dyDescent="0.2">
      <c r="X815"/>
      <c r="Y815"/>
    </row>
    <row r="816" spans="24:25" x14ac:dyDescent="0.2">
      <c r="X816"/>
      <c r="Y816"/>
    </row>
    <row r="817" spans="24:25" x14ac:dyDescent="0.2">
      <c r="X817"/>
      <c r="Y817"/>
    </row>
    <row r="818" spans="24:25" x14ac:dyDescent="0.2">
      <c r="X818"/>
      <c r="Y818"/>
    </row>
    <row r="819" spans="24:25" x14ac:dyDescent="0.2">
      <c r="X819"/>
      <c r="Y819"/>
    </row>
    <row r="820" spans="24:25" x14ac:dyDescent="0.2">
      <c r="X820"/>
      <c r="Y820"/>
    </row>
    <row r="821" spans="24:25" x14ac:dyDescent="0.2">
      <c r="X821"/>
      <c r="Y821"/>
    </row>
    <row r="822" spans="24:25" x14ac:dyDescent="0.2">
      <c r="X822"/>
      <c r="Y822"/>
    </row>
    <row r="823" spans="24:25" x14ac:dyDescent="0.2">
      <c r="X823"/>
      <c r="Y823"/>
    </row>
    <row r="824" spans="24:25" x14ac:dyDescent="0.2">
      <c r="X824"/>
      <c r="Y824"/>
    </row>
    <row r="825" spans="24:25" x14ac:dyDescent="0.2">
      <c r="X825"/>
      <c r="Y825"/>
    </row>
    <row r="826" spans="24:25" x14ac:dyDescent="0.2">
      <c r="X826"/>
      <c r="Y826"/>
    </row>
    <row r="827" spans="24:25" x14ac:dyDescent="0.2">
      <c r="X827"/>
      <c r="Y827"/>
    </row>
    <row r="828" spans="24:25" x14ac:dyDescent="0.2">
      <c r="X828"/>
      <c r="Y828"/>
    </row>
    <row r="829" spans="24:25" x14ac:dyDescent="0.2">
      <c r="X829"/>
      <c r="Y829"/>
    </row>
    <row r="830" spans="24:25" x14ac:dyDescent="0.2">
      <c r="X830"/>
      <c r="Y830"/>
    </row>
    <row r="831" spans="24:25" x14ac:dyDescent="0.2">
      <c r="X831"/>
      <c r="Y831"/>
    </row>
    <row r="832" spans="24:25" x14ac:dyDescent="0.2">
      <c r="X832"/>
      <c r="Y832"/>
    </row>
    <row r="833" spans="24:25" x14ac:dyDescent="0.2">
      <c r="X833"/>
      <c r="Y833"/>
    </row>
    <row r="834" spans="24:25" x14ac:dyDescent="0.2">
      <c r="X834"/>
      <c r="Y834"/>
    </row>
    <row r="835" spans="24:25" x14ac:dyDescent="0.2">
      <c r="X835"/>
      <c r="Y835"/>
    </row>
    <row r="836" spans="24:25" x14ac:dyDescent="0.2">
      <c r="X836"/>
      <c r="Y836"/>
    </row>
    <row r="837" spans="24:25" x14ac:dyDescent="0.2">
      <c r="X837"/>
      <c r="Y837"/>
    </row>
    <row r="838" spans="24:25" x14ac:dyDescent="0.2">
      <c r="X838"/>
      <c r="Y838"/>
    </row>
    <row r="839" spans="24:25" x14ac:dyDescent="0.2">
      <c r="X839"/>
      <c r="Y839"/>
    </row>
    <row r="840" spans="24:25" x14ac:dyDescent="0.2">
      <c r="X840"/>
      <c r="Y840"/>
    </row>
    <row r="841" spans="24:25" x14ac:dyDescent="0.2">
      <c r="X841"/>
      <c r="Y841"/>
    </row>
    <row r="842" spans="24:25" x14ac:dyDescent="0.2">
      <c r="X842"/>
      <c r="Y842"/>
    </row>
    <row r="843" spans="24:25" x14ac:dyDescent="0.2">
      <c r="X843"/>
      <c r="Y843"/>
    </row>
    <row r="844" spans="24:25" x14ac:dyDescent="0.2">
      <c r="X844"/>
      <c r="Y844"/>
    </row>
    <row r="845" spans="24:25" x14ac:dyDescent="0.2">
      <c r="X845"/>
      <c r="Y845"/>
    </row>
    <row r="846" spans="24:25" x14ac:dyDescent="0.2">
      <c r="X846"/>
      <c r="Y846"/>
    </row>
    <row r="847" spans="24:25" x14ac:dyDescent="0.2">
      <c r="X847"/>
      <c r="Y847"/>
    </row>
    <row r="848" spans="24:25" x14ac:dyDescent="0.2">
      <c r="X848"/>
      <c r="Y848"/>
    </row>
    <row r="849" spans="24:25" x14ac:dyDescent="0.2">
      <c r="X849"/>
      <c r="Y849"/>
    </row>
    <row r="850" spans="24:25" x14ac:dyDescent="0.2">
      <c r="X850"/>
      <c r="Y850"/>
    </row>
    <row r="851" spans="24:25" x14ac:dyDescent="0.2">
      <c r="X851"/>
      <c r="Y851"/>
    </row>
    <row r="852" spans="24:25" x14ac:dyDescent="0.2">
      <c r="X852"/>
      <c r="Y852"/>
    </row>
    <row r="853" spans="24:25" x14ac:dyDescent="0.2">
      <c r="X853"/>
      <c r="Y853"/>
    </row>
    <row r="854" spans="24:25" x14ac:dyDescent="0.2">
      <c r="X854"/>
      <c r="Y854"/>
    </row>
    <row r="855" spans="24:25" x14ac:dyDescent="0.2">
      <c r="X855"/>
      <c r="Y855"/>
    </row>
    <row r="856" spans="24:25" x14ac:dyDescent="0.2">
      <c r="X856"/>
      <c r="Y856"/>
    </row>
    <row r="857" spans="24:25" x14ac:dyDescent="0.2">
      <c r="X857"/>
      <c r="Y857"/>
    </row>
    <row r="858" spans="24:25" x14ac:dyDescent="0.2">
      <c r="X858"/>
      <c r="Y858"/>
    </row>
    <row r="859" spans="24:25" x14ac:dyDescent="0.2">
      <c r="X859"/>
      <c r="Y859"/>
    </row>
    <row r="860" spans="24:25" x14ac:dyDescent="0.2">
      <c r="X860"/>
      <c r="Y860"/>
    </row>
    <row r="861" spans="24:25" x14ac:dyDescent="0.2">
      <c r="X861"/>
      <c r="Y861"/>
    </row>
    <row r="862" spans="24:25" x14ac:dyDescent="0.2">
      <c r="X862"/>
      <c r="Y862"/>
    </row>
    <row r="863" spans="24:25" x14ac:dyDescent="0.2">
      <c r="X863"/>
      <c r="Y863"/>
    </row>
    <row r="864" spans="24:25" x14ac:dyDescent="0.2">
      <c r="X864"/>
      <c r="Y864"/>
    </row>
    <row r="865" spans="24:25" x14ac:dyDescent="0.2">
      <c r="X865"/>
      <c r="Y865"/>
    </row>
    <row r="866" spans="24:25" x14ac:dyDescent="0.2">
      <c r="X866"/>
      <c r="Y866"/>
    </row>
    <row r="867" spans="24:25" x14ac:dyDescent="0.2">
      <c r="X867"/>
      <c r="Y867"/>
    </row>
    <row r="868" spans="24:25" x14ac:dyDescent="0.2">
      <c r="X868"/>
      <c r="Y868"/>
    </row>
    <row r="869" spans="24:25" x14ac:dyDescent="0.2">
      <c r="X869"/>
      <c r="Y869"/>
    </row>
    <row r="870" spans="24:25" x14ac:dyDescent="0.2">
      <c r="X870"/>
      <c r="Y870"/>
    </row>
    <row r="871" spans="24:25" x14ac:dyDescent="0.2">
      <c r="X871"/>
      <c r="Y871"/>
    </row>
    <row r="872" spans="24:25" x14ac:dyDescent="0.2">
      <c r="X872"/>
      <c r="Y872"/>
    </row>
    <row r="873" spans="24:25" x14ac:dyDescent="0.2">
      <c r="X873"/>
      <c r="Y873"/>
    </row>
    <row r="874" spans="24:25" x14ac:dyDescent="0.2">
      <c r="X874"/>
      <c r="Y874"/>
    </row>
    <row r="875" spans="24:25" x14ac:dyDescent="0.2">
      <c r="X875"/>
      <c r="Y875"/>
    </row>
    <row r="876" spans="24:25" x14ac:dyDescent="0.2">
      <c r="X876"/>
      <c r="Y876"/>
    </row>
    <row r="877" spans="24:25" x14ac:dyDescent="0.2">
      <c r="X877"/>
      <c r="Y877"/>
    </row>
    <row r="878" spans="24:25" x14ac:dyDescent="0.2">
      <c r="X878"/>
      <c r="Y878"/>
    </row>
    <row r="879" spans="24:25" x14ac:dyDescent="0.2">
      <c r="X879"/>
      <c r="Y879"/>
    </row>
    <row r="880" spans="24:25" x14ac:dyDescent="0.2">
      <c r="X880"/>
      <c r="Y880"/>
    </row>
    <row r="881" spans="24:25" x14ac:dyDescent="0.2">
      <c r="X881"/>
      <c r="Y881"/>
    </row>
    <row r="882" spans="24:25" x14ac:dyDescent="0.2">
      <c r="X882"/>
      <c r="Y882"/>
    </row>
    <row r="883" spans="24:25" x14ac:dyDescent="0.2">
      <c r="X883"/>
      <c r="Y883"/>
    </row>
    <row r="884" spans="24:25" x14ac:dyDescent="0.2">
      <c r="X884"/>
      <c r="Y884"/>
    </row>
    <row r="885" spans="24:25" x14ac:dyDescent="0.2">
      <c r="X885"/>
      <c r="Y885"/>
    </row>
    <row r="886" spans="24:25" x14ac:dyDescent="0.2">
      <c r="X886"/>
      <c r="Y886"/>
    </row>
    <row r="887" spans="24:25" x14ac:dyDescent="0.2">
      <c r="X887"/>
      <c r="Y887"/>
    </row>
    <row r="888" spans="24:25" x14ac:dyDescent="0.2">
      <c r="X888"/>
      <c r="Y888"/>
    </row>
    <row r="889" spans="24:25" x14ac:dyDescent="0.2">
      <c r="X889"/>
      <c r="Y889"/>
    </row>
    <row r="890" spans="24:25" x14ac:dyDescent="0.2">
      <c r="X890"/>
      <c r="Y890"/>
    </row>
    <row r="891" spans="24:25" x14ac:dyDescent="0.2">
      <c r="X891"/>
      <c r="Y891"/>
    </row>
    <row r="892" spans="24:25" x14ac:dyDescent="0.2">
      <c r="X892"/>
      <c r="Y892"/>
    </row>
    <row r="893" spans="24:25" x14ac:dyDescent="0.2">
      <c r="X893"/>
      <c r="Y893"/>
    </row>
    <row r="894" spans="24:25" x14ac:dyDescent="0.2">
      <c r="X894"/>
      <c r="Y894"/>
    </row>
    <row r="895" spans="24:25" x14ac:dyDescent="0.2">
      <c r="X895"/>
      <c r="Y895"/>
    </row>
    <row r="896" spans="24:25" x14ac:dyDescent="0.2">
      <c r="X896"/>
      <c r="Y896"/>
    </row>
    <row r="897" spans="24:25" x14ac:dyDescent="0.2">
      <c r="X897"/>
      <c r="Y897"/>
    </row>
    <row r="898" spans="24:25" x14ac:dyDescent="0.2">
      <c r="X898"/>
      <c r="Y898"/>
    </row>
    <row r="899" spans="24:25" x14ac:dyDescent="0.2">
      <c r="X899"/>
      <c r="Y899"/>
    </row>
    <row r="900" spans="24:25" x14ac:dyDescent="0.2">
      <c r="X900"/>
      <c r="Y900"/>
    </row>
    <row r="901" spans="24:25" x14ac:dyDescent="0.2">
      <c r="X901"/>
      <c r="Y901"/>
    </row>
    <row r="902" spans="24:25" x14ac:dyDescent="0.2">
      <c r="X902"/>
      <c r="Y902"/>
    </row>
    <row r="903" spans="24:25" x14ac:dyDescent="0.2">
      <c r="X903"/>
      <c r="Y903"/>
    </row>
    <row r="904" spans="24:25" x14ac:dyDescent="0.2">
      <c r="X904"/>
      <c r="Y904"/>
    </row>
    <row r="905" spans="24:25" x14ac:dyDescent="0.2">
      <c r="X905"/>
      <c r="Y905"/>
    </row>
    <row r="906" spans="24:25" x14ac:dyDescent="0.2">
      <c r="X906"/>
      <c r="Y906"/>
    </row>
    <row r="907" spans="24:25" x14ac:dyDescent="0.2">
      <c r="X907"/>
      <c r="Y907"/>
    </row>
    <row r="908" spans="24:25" x14ac:dyDescent="0.2">
      <c r="X908"/>
      <c r="Y908"/>
    </row>
    <row r="909" spans="24:25" x14ac:dyDescent="0.2">
      <c r="X909"/>
      <c r="Y909"/>
    </row>
    <row r="910" spans="24:25" x14ac:dyDescent="0.2">
      <c r="X910"/>
      <c r="Y910"/>
    </row>
    <row r="911" spans="24:25" x14ac:dyDescent="0.2">
      <c r="X911"/>
      <c r="Y911"/>
    </row>
    <row r="912" spans="24:25" x14ac:dyDescent="0.2">
      <c r="X912"/>
      <c r="Y912"/>
    </row>
    <row r="913" spans="24:25" x14ac:dyDescent="0.2">
      <c r="X913"/>
      <c r="Y913"/>
    </row>
    <row r="914" spans="24:25" x14ac:dyDescent="0.2">
      <c r="X914"/>
      <c r="Y914"/>
    </row>
    <row r="915" spans="24:25" x14ac:dyDescent="0.2">
      <c r="X915"/>
      <c r="Y915"/>
    </row>
    <row r="916" spans="24:25" x14ac:dyDescent="0.2">
      <c r="X916"/>
      <c r="Y916"/>
    </row>
    <row r="917" spans="24:25" x14ac:dyDescent="0.2">
      <c r="X917"/>
      <c r="Y917"/>
    </row>
    <row r="918" spans="24:25" x14ac:dyDescent="0.2">
      <c r="X918"/>
      <c r="Y918"/>
    </row>
    <row r="919" spans="24:25" x14ac:dyDescent="0.2">
      <c r="X919"/>
      <c r="Y919"/>
    </row>
    <row r="920" spans="24:25" x14ac:dyDescent="0.2">
      <c r="X920"/>
      <c r="Y920"/>
    </row>
    <row r="921" spans="24:25" x14ac:dyDescent="0.2">
      <c r="X921"/>
      <c r="Y921"/>
    </row>
    <row r="922" spans="24:25" x14ac:dyDescent="0.2">
      <c r="X922"/>
      <c r="Y922"/>
    </row>
    <row r="923" spans="24:25" x14ac:dyDescent="0.2">
      <c r="X923"/>
      <c r="Y923"/>
    </row>
    <row r="924" spans="24:25" x14ac:dyDescent="0.2">
      <c r="X924"/>
      <c r="Y924"/>
    </row>
    <row r="925" spans="24:25" x14ac:dyDescent="0.2">
      <c r="X925"/>
      <c r="Y925"/>
    </row>
    <row r="926" spans="24:25" x14ac:dyDescent="0.2">
      <c r="X926"/>
      <c r="Y926"/>
    </row>
    <row r="927" spans="24:25" x14ac:dyDescent="0.2">
      <c r="X927"/>
      <c r="Y927"/>
    </row>
    <row r="928" spans="24:25" x14ac:dyDescent="0.2">
      <c r="X928"/>
      <c r="Y928"/>
    </row>
    <row r="929" spans="24:25" x14ac:dyDescent="0.2">
      <c r="X929"/>
      <c r="Y929"/>
    </row>
    <row r="930" spans="24:25" x14ac:dyDescent="0.2">
      <c r="X930"/>
      <c r="Y930"/>
    </row>
    <row r="931" spans="24:25" x14ac:dyDescent="0.2">
      <c r="X931"/>
      <c r="Y931"/>
    </row>
    <row r="932" spans="24:25" x14ac:dyDescent="0.2">
      <c r="X932"/>
      <c r="Y932"/>
    </row>
    <row r="933" spans="24:25" x14ac:dyDescent="0.2">
      <c r="X933"/>
      <c r="Y933"/>
    </row>
    <row r="934" spans="24:25" x14ac:dyDescent="0.2">
      <c r="X934"/>
      <c r="Y934"/>
    </row>
    <row r="935" spans="24:25" x14ac:dyDescent="0.2">
      <c r="X935"/>
      <c r="Y935"/>
    </row>
    <row r="936" spans="24:25" x14ac:dyDescent="0.2">
      <c r="X936"/>
      <c r="Y936"/>
    </row>
    <row r="937" spans="24:25" x14ac:dyDescent="0.2">
      <c r="X937"/>
      <c r="Y937"/>
    </row>
    <row r="938" spans="24:25" x14ac:dyDescent="0.2">
      <c r="X938"/>
      <c r="Y938"/>
    </row>
    <row r="939" spans="24:25" x14ac:dyDescent="0.2">
      <c r="X939"/>
      <c r="Y939"/>
    </row>
    <row r="940" spans="24:25" x14ac:dyDescent="0.2">
      <c r="X940"/>
      <c r="Y940"/>
    </row>
    <row r="941" spans="24:25" x14ac:dyDescent="0.2">
      <c r="X941"/>
      <c r="Y941"/>
    </row>
    <row r="942" spans="24:25" x14ac:dyDescent="0.2">
      <c r="X942"/>
      <c r="Y942"/>
    </row>
    <row r="943" spans="24:25" x14ac:dyDescent="0.2">
      <c r="X943"/>
      <c r="Y943"/>
    </row>
    <row r="944" spans="24:25" x14ac:dyDescent="0.2">
      <c r="X944"/>
      <c r="Y944"/>
    </row>
    <row r="945" spans="24:25" x14ac:dyDescent="0.2">
      <c r="X945"/>
      <c r="Y945"/>
    </row>
    <row r="946" spans="24:25" x14ac:dyDescent="0.2">
      <c r="X946"/>
      <c r="Y946"/>
    </row>
    <row r="947" spans="24:25" x14ac:dyDescent="0.2">
      <c r="X947"/>
      <c r="Y947"/>
    </row>
    <row r="948" spans="24:25" x14ac:dyDescent="0.2">
      <c r="X948"/>
      <c r="Y948"/>
    </row>
    <row r="949" spans="24:25" x14ac:dyDescent="0.2">
      <c r="X949"/>
      <c r="Y949"/>
    </row>
    <row r="950" spans="24:25" x14ac:dyDescent="0.2">
      <c r="X950"/>
      <c r="Y950"/>
    </row>
    <row r="951" spans="24:25" x14ac:dyDescent="0.2">
      <c r="X951"/>
      <c r="Y951"/>
    </row>
    <row r="952" spans="24:25" x14ac:dyDescent="0.2">
      <c r="X952"/>
      <c r="Y952"/>
    </row>
    <row r="953" spans="24:25" x14ac:dyDescent="0.2">
      <c r="X953"/>
      <c r="Y953"/>
    </row>
    <row r="954" spans="24:25" x14ac:dyDescent="0.2">
      <c r="X954"/>
      <c r="Y954"/>
    </row>
    <row r="955" spans="24:25" x14ac:dyDescent="0.2">
      <c r="X955"/>
      <c r="Y955"/>
    </row>
    <row r="956" spans="24:25" x14ac:dyDescent="0.2">
      <c r="X956"/>
      <c r="Y956"/>
    </row>
    <row r="957" spans="24:25" x14ac:dyDescent="0.2">
      <c r="X957"/>
      <c r="Y957"/>
    </row>
    <row r="958" spans="24:25" x14ac:dyDescent="0.2">
      <c r="X958"/>
      <c r="Y958"/>
    </row>
    <row r="959" spans="24:25" x14ac:dyDescent="0.2">
      <c r="X959"/>
      <c r="Y959"/>
    </row>
    <row r="960" spans="24:25" x14ac:dyDescent="0.2">
      <c r="X960"/>
      <c r="Y960"/>
    </row>
    <row r="961" spans="24:25" x14ac:dyDescent="0.2">
      <c r="X961"/>
      <c r="Y961"/>
    </row>
    <row r="962" spans="24:25" x14ac:dyDescent="0.2">
      <c r="X962"/>
      <c r="Y962"/>
    </row>
    <row r="963" spans="24:25" x14ac:dyDescent="0.2">
      <c r="X963"/>
      <c r="Y963"/>
    </row>
    <row r="964" spans="24:25" x14ac:dyDescent="0.2">
      <c r="X964"/>
      <c r="Y964"/>
    </row>
    <row r="965" spans="24:25" x14ac:dyDescent="0.2">
      <c r="X965"/>
      <c r="Y965"/>
    </row>
    <row r="966" spans="24:25" x14ac:dyDescent="0.2">
      <c r="X966"/>
      <c r="Y966"/>
    </row>
    <row r="967" spans="24:25" x14ac:dyDescent="0.2">
      <c r="X967"/>
      <c r="Y967"/>
    </row>
    <row r="968" spans="24:25" x14ac:dyDescent="0.2">
      <c r="X968"/>
      <c r="Y968"/>
    </row>
    <row r="969" spans="24:25" x14ac:dyDescent="0.2">
      <c r="X969"/>
      <c r="Y969"/>
    </row>
    <row r="970" spans="24:25" x14ac:dyDescent="0.2">
      <c r="X970"/>
      <c r="Y970"/>
    </row>
    <row r="971" spans="24:25" x14ac:dyDescent="0.2">
      <c r="X971"/>
      <c r="Y971"/>
    </row>
    <row r="972" spans="24:25" x14ac:dyDescent="0.2">
      <c r="X972"/>
      <c r="Y972"/>
    </row>
    <row r="973" spans="24:25" x14ac:dyDescent="0.2">
      <c r="X973"/>
      <c r="Y973"/>
    </row>
    <row r="974" spans="24:25" x14ac:dyDescent="0.2">
      <c r="X974"/>
      <c r="Y974"/>
    </row>
    <row r="975" spans="24:25" x14ac:dyDescent="0.2">
      <c r="X975"/>
      <c r="Y975"/>
    </row>
    <row r="976" spans="24:25" x14ac:dyDescent="0.2">
      <c r="X976"/>
      <c r="Y976"/>
    </row>
    <row r="977" spans="24:25" x14ac:dyDescent="0.2">
      <c r="X977"/>
      <c r="Y977"/>
    </row>
    <row r="978" spans="24:25" x14ac:dyDescent="0.2">
      <c r="X978"/>
      <c r="Y978"/>
    </row>
    <row r="979" spans="24:25" x14ac:dyDescent="0.2">
      <c r="X979"/>
      <c r="Y979"/>
    </row>
    <row r="980" spans="24:25" x14ac:dyDescent="0.2">
      <c r="X980"/>
      <c r="Y980"/>
    </row>
    <row r="981" spans="24:25" x14ac:dyDescent="0.2">
      <c r="X981"/>
      <c r="Y981"/>
    </row>
    <row r="982" spans="24:25" x14ac:dyDescent="0.2">
      <c r="X982"/>
      <c r="Y982"/>
    </row>
    <row r="983" spans="24:25" x14ac:dyDescent="0.2">
      <c r="X983"/>
      <c r="Y983"/>
    </row>
    <row r="984" spans="24:25" x14ac:dyDescent="0.2">
      <c r="X984"/>
      <c r="Y984"/>
    </row>
    <row r="985" spans="24:25" x14ac:dyDescent="0.2">
      <c r="X985"/>
      <c r="Y985"/>
    </row>
    <row r="986" spans="24:25" x14ac:dyDescent="0.2">
      <c r="X986"/>
      <c r="Y986"/>
    </row>
    <row r="987" spans="24:25" x14ac:dyDescent="0.2">
      <c r="X987"/>
      <c r="Y987"/>
    </row>
    <row r="988" spans="24:25" x14ac:dyDescent="0.2">
      <c r="X988"/>
      <c r="Y988"/>
    </row>
    <row r="989" spans="24:25" x14ac:dyDescent="0.2">
      <c r="X989"/>
      <c r="Y989"/>
    </row>
    <row r="990" spans="24:25" x14ac:dyDescent="0.2">
      <c r="X990"/>
      <c r="Y990"/>
    </row>
    <row r="991" spans="24:25" x14ac:dyDescent="0.2">
      <c r="X991"/>
      <c r="Y991"/>
    </row>
    <row r="992" spans="24:25" x14ac:dyDescent="0.2">
      <c r="X992"/>
      <c r="Y992"/>
    </row>
    <row r="993" spans="24:25" x14ac:dyDescent="0.2">
      <c r="X993"/>
      <c r="Y993"/>
    </row>
    <row r="994" spans="24:25" x14ac:dyDescent="0.2">
      <c r="X994"/>
      <c r="Y994"/>
    </row>
    <row r="995" spans="24:25" x14ac:dyDescent="0.2">
      <c r="X995"/>
      <c r="Y995"/>
    </row>
    <row r="996" spans="24:25" x14ac:dyDescent="0.2">
      <c r="X996"/>
      <c r="Y996"/>
    </row>
    <row r="997" spans="24:25" x14ac:dyDescent="0.2">
      <c r="X997"/>
      <c r="Y997"/>
    </row>
    <row r="998" spans="24:25" x14ac:dyDescent="0.2">
      <c r="X998"/>
      <c r="Y998"/>
    </row>
    <row r="999" spans="24:25" x14ac:dyDescent="0.2">
      <c r="X999"/>
      <c r="Y999"/>
    </row>
    <row r="1000" spans="24:25" x14ac:dyDescent="0.2">
      <c r="X1000"/>
      <c r="Y1000"/>
    </row>
    <row r="1001" spans="24:25" x14ac:dyDescent="0.2">
      <c r="Y1001" s="18"/>
    </row>
    <row r="1002" spans="24:25" x14ac:dyDescent="0.2">
      <c r="Y1002" s="18"/>
    </row>
    <row r="1003" spans="24:25" x14ac:dyDescent="0.2">
      <c r="Y1003" s="18"/>
    </row>
    <row r="1004" spans="24:25" x14ac:dyDescent="0.2">
      <c r="Y1004" s="18"/>
    </row>
    <row r="1005" spans="24:25" x14ac:dyDescent="0.2">
      <c r="Y1005" s="18"/>
    </row>
    <row r="1006" spans="24:25" x14ac:dyDescent="0.2">
      <c r="Y1006" s="18"/>
    </row>
    <row r="1007" spans="24:25" x14ac:dyDescent="0.2">
      <c r="Y1007" s="18"/>
    </row>
    <row r="1008" spans="24:25" x14ac:dyDescent="0.2">
      <c r="Y1008" s="18"/>
    </row>
    <row r="1009" spans="25:25" x14ac:dyDescent="0.2">
      <c r="Y1009" s="18"/>
    </row>
    <row r="1010" spans="25:25" x14ac:dyDescent="0.2">
      <c r="Y1010" s="18"/>
    </row>
    <row r="1011" spans="25:25" x14ac:dyDescent="0.2">
      <c r="Y1011" s="18"/>
    </row>
    <row r="1012" spans="25:25" x14ac:dyDescent="0.2">
      <c r="Y1012" s="18"/>
    </row>
    <row r="1013" spans="25:25" x14ac:dyDescent="0.2">
      <c r="Y1013" s="18"/>
    </row>
    <row r="1014" spans="25:25" x14ac:dyDescent="0.2">
      <c r="Y1014" s="18"/>
    </row>
    <row r="1015" spans="25:25" x14ac:dyDescent="0.2">
      <c r="Y1015" s="18"/>
    </row>
    <row r="1016" spans="25:25" x14ac:dyDescent="0.2">
      <c r="Y1016" s="18"/>
    </row>
    <row r="1017" spans="25:25" x14ac:dyDescent="0.2">
      <c r="Y1017" s="18"/>
    </row>
    <row r="1018" spans="25:25" x14ac:dyDescent="0.2">
      <c r="Y1018" s="18"/>
    </row>
    <row r="1019" spans="25:25" x14ac:dyDescent="0.2">
      <c r="Y1019" s="18"/>
    </row>
    <row r="1020" spans="25:25" x14ac:dyDescent="0.2">
      <c r="Y1020" s="18"/>
    </row>
    <row r="1021" spans="25:25" x14ac:dyDescent="0.2">
      <c r="Y1021" s="18"/>
    </row>
    <row r="1022" spans="25:25" x14ac:dyDescent="0.2">
      <c r="Y1022" s="18"/>
    </row>
    <row r="1023" spans="25:25" x14ac:dyDescent="0.2">
      <c r="Y1023" s="18"/>
    </row>
    <row r="1024" spans="25:25" x14ac:dyDescent="0.2">
      <c r="Y1024" s="18"/>
    </row>
    <row r="1025" spans="25:25" x14ac:dyDescent="0.2">
      <c r="Y1025" s="18"/>
    </row>
    <row r="1026" spans="25:25" x14ac:dyDescent="0.2">
      <c r="Y1026" s="18"/>
    </row>
    <row r="1027" spans="25:25" x14ac:dyDescent="0.2">
      <c r="Y1027" s="18"/>
    </row>
    <row r="1028" spans="25:25" x14ac:dyDescent="0.2">
      <c r="Y1028" s="18"/>
    </row>
    <row r="1029" spans="25:25" x14ac:dyDescent="0.2">
      <c r="Y1029" s="18"/>
    </row>
    <row r="1030" spans="25:25" x14ac:dyDescent="0.2">
      <c r="Y1030" s="18"/>
    </row>
    <row r="1031" spans="25:25" x14ac:dyDescent="0.2">
      <c r="Y1031" s="18"/>
    </row>
    <row r="1032" spans="25:25" x14ac:dyDescent="0.2">
      <c r="Y1032" s="18"/>
    </row>
    <row r="1033" spans="25:25" x14ac:dyDescent="0.2">
      <c r="Y1033" s="18"/>
    </row>
    <row r="1034" spans="25:25" x14ac:dyDescent="0.2">
      <c r="Y1034" s="18"/>
    </row>
    <row r="1035" spans="25:25" x14ac:dyDescent="0.2">
      <c r="Y1035" s="18"/>
    </row>
    <row r="1036" spans="25:25" x14ac:dyDescent="0.2">
      <c r="Y1036" s="18"/>
    </row>
    <row r="1037" spans="25:25" x14ac:dyDescent="0.2">
      <c r="Y1037" s="18"/>
    </row>
    <row r="1038" spans="25:25" x14ac:dyDescent="0.2">
      <c r="Y1038" s="18"/>
    </row>
    <row r="1039" spans="25:25" x14ac:dyDescent="0.2">
      <c r="Y1039" s="18"/>
    </row>
    <row r="1040" spans="25:25" x14ac:dyDescent="0.2">
      <c r="Y1040" s="18"/>
    </row>
    <row r="1041" spans="25:25" x14ac:dyDescent="0.2">
      <c r="Y1041" s="18"/>
    </row>
    <row r="1042" spans="25:25" x14ac:dyDescent="0.2">
      <c r="Y1042" s="18"/>
    </row>
    <row r="1043" spans="25:25" x14ac:dyDescent="0.2">
      <c r="Y1043" s="18"/>
    </row>
    <row r="1044" spans="25:25" x14ac:dyDescent="0.2">
      <c r="Y1044" s="18"/>
    </row>
    <row r="1045" spans="25:25" x14ac:dyDescent="0.2">
      <c r="Y1045" s="18"/>
    </row>
    <row r="1046" spans="25:25" x14ac:dyDescent="0.2">
      <c r="Y1046" s="18"/>
    </row>
    <row r="1047" spans="25:25" x14ac:dyDescent="0.2">
      <c r="Y1047" s="18"/>
    </row>
    <row r="1048" spans="25:25" x14ac:dyDescent="0.2">
      <c r="Y1048" s="18"/>
    </row>
    <row r="1049" spans="25:25" x14ac:dyDescent="0.2">
      <c r="Y1049" s="18"/>
    </row>
    <row r="1050" spans="25:25" x14ac:dyDescent="0.2">
      <c r="Y1050" s="18"/>
    </row>
    <row r="1051" spans="25:25" x14ac:dyDescent="0.2">
      <c r="Y1051" s="18"/>
    </row>
    <row r="1052" spans="25:25" x14ac:dyDescent="0.2">
      <c r="Y1052" s="18"/>
    </row>
    <row r="1053" spans="25:25" x14ac:dyDescent="0.2">
      <c r="Y1053" s="18"/>
    </row>
    <row r="1054" spans="25:25" x14ac:dyDescent="0.2">
      <c r="Y1054" s="18"/>
    </row>
    <row r="1055" spans="25:25" x14ac:dyDescent="0.2">
      <c r="Y1055" s="18"/>
    </row>
    <row r="1056" spans="25:25" x14ac:dyDescent="0.2">
      <c r="Y1056" s="18"/>
    </row>
    <row r="1057" spans="25:25" x14ac:dyDescent="0.2">
      <c r="Y1057" s="18"/>
    </row>
    <row r="1058" spans="25:25" x14ac:dyDescent="0.2">
      <c r="Y1058" s="18"/>
    </row>
    <row r="1059" spans="25:25" x14ac:dyDescent="0.2">
      <c r="Y1059" s="18"/>
    </row>
    <row r="1060" spans="25:25" x14ac:dyDescent="0.2">
      <c r="Y1060" s="18"/>
    </row>
    <row r="1061" spans="25:25" x14ac:dyDescent="0.2">
      <c r="Y1061" s="18"/>
    </row>
    <row r="1062" spans="25:25" x14ac:dyDescent="0.2">
      <c r="Y1062" s="18"/>
    </row>
    <row r="1063" spans="25:25" x14ac:dyDescent="0.2">
      <c r="Y1063" s="18"/>
    </row>
    <row r="1064" spans="25:25" x14ac:dyDescent="0.2">
      <c r="Y1064" s="18"/>
    </row>
    <row r="1065" spans="25:25" x14ac:dyDescent="0.2">
      <c r="Y1065" s="18"/>
    </row>
    <row r="1066" spans="25:25" x14ac:dyDescent="0.2">
      <c r="Y1066" s="18"/>
    </row>
    <row r="1067" spans="25:25" x14ac:dyDescent="0.2">
      <c r="Y1067" s="18"/>
    </row>
    <row r="1068" spans="25:25" x14ac:dyDescent="0.2">
      <c r="Y1068" s="18"/>
    </row>
    <row r="1069" spans="25:25" x14ac:dyDescent="0.2">
      <c r="Y1069" s="18"/>
    </row>
    <row r="1070" spans="25:25" x14ac:dyDescent="0.2">
      <c r="Y1070" s="18"/>
    </row>
    <row r="1071" spans="25:25" x14ac:dyDescent="0.2">
      <c r="Y1071" s="18"/>
    </row>
    <row r="1072" spans="25:25" x14ac:dyDescent="0.2">
      <c r="Y1072" s="18"/>
    </row>
    <row r="1073" spans="25:25" x14ac:dyDescent="0.2">
      <c r="Y1073" s="18"/>
    </row>
    <row r="1074" spans="25:25" x14ac:dyDescent="0.2">
      <c r="Y1074" s="18"/>
    </row>
    <row r="1075" spans="25:25" x14ac:dyDescent="0.2">
      <c r="Y1075" s="18"/>
    </row>
    <row r="1076" spans="25:25" x14ac:dyDescent="0.2">
      <c r="Y1076" s="18"/>
    </row>
    <row r="1077" spans="25:25" x14ac:dyDescent="0.2">
      <c r="Y1077" s="18"/>
    </row>
    <row r="1078" spans="25:25" x14ac:dyDescent="0.2">
      <c r="Y1078" s="18"/>
    </row>
    <row r="1079" spans="25:25" x14ac:dyDescent="0.2">
      <c r="Y1079" s="18"/>
    </row>
    <row r="1080" spans="25:25" x14ac:dyDescent="0.2">
      <c r="Y1080" s="18"/>
    </row>
    <row r="1081" spans="25:25" x14ac:dyDescent="0.2">
      <c r="Y1081" s="18"/>
    </row>
    <row r="1082" spans="25:25" x14ac:dyDescent="0.2">
      <c r="Y1082" s="18"/>
    </row>
    <row r="1083" spans="25:25" x14ac:dyDescent="0.2">
      <c r="Y1083" s="18"/>
    </row>
    <row r="1084" spans="25:25" x14ac:dyDescent="0.2">
      <c r="Y1084" s="18"/>
    </row>
    <row r="1085" spans="25:25" x14ac:dyDescent="0.2">
      <c r="Y1085" s="18"/>
    </row>
    <row r="1086" spans="25:25" x14ac:dyDescent="0.2">
      <c r="Y1086" s="18"/>
    </row>
    <row r="1087" spans="25:25" x14ac:dyDescent="0.2">
      <c r="Y1087" s="18"/>
    </row>
    <row r="1088" spans="25:25" x14ac:dyDescent="0.2">
      <c r="Y1088" s="18"/>
    </row>
    <row r="1089" spans="25:25" x14ac:dyDescent="0.2">
      <c r="Y1089" s="18"/>
    </row>
    <row r="1090" spans="25:25" x14ac:dyDescent="0.2">
      <c r="Y1090" s="18"/>
    </row>
    <row r="1091" spans="25:25" x14ac:dyDescent="0.2">
      <c r="Y1091" s="18"/>
    </row>
    <row r="1092" spans="25:25" x14ac:dyDescent="0.2">
      <c r="Y1092" s="18"/>
    </row>
    <row r="1093" spans="25:25" x14ac:dyDescent="0.2">
      <c r="Y1093" s="18"/>
    </row>
    <row r="1094" spans="25:25" x14ac:dyDescent="0.2">
      <c r="Y1094" s="18"/>
    </row>
    <row r="1095" spans="25:25" x14ac:dyDescent="0.2">
      <c r="Y1095" s="18"/>
    </row>
    <row r="1096" spans="25:25" x14ac:dyDescent="0.2">
      <c r="Y1096" s="18"/>
    </row>
    <row r="1097" spans="25:25" x14ac:dyDescent="0.2">
      <c r="Y1097" s="18"/>
    </row>
    <row r="1098" spans="25:25" x14ac:dyDescent="0.2">
      <c r="Y1098" s="18"/>
    </row>
    <row r="1099" spans="25:25" x14ac:dyDescent="0.2">
      <c r="Y1099" s="18"/>
    </row>
    <row r="1100" spans="25:25" x14ac:dyDescent="0.2">
      <c r="Y1100" s="18"/>
    </row>
    <row r="1101" spans="25:25" x14ac:dyDescent="0.2">
      <c r="Y1101" s="18"/>
    </row>
    <row r="1102" spans="25:25" x14ac:dyDescent="0.2">
      <c r="Y1102" s="18"/>
    </row>
    <row r="1103" spans="25:25" x14ac:dyDescent="0.2">
      <c r="Y1103" s="18"/>
    </row>
    <row r="1104" spans="25:25" x14ac:dyDescent="0.2">
      <c r="Y1104" s="18"/>
    </row>
    <row r="1105" spans="25:25" x14ac:dyDescent="0.2">
      <c r="Y1105" s="18"/>
    </row>
    <row r="1106" spans="25:25" x14ac:dyDescent="0.2">
      <c r="Y1106" s="18"/>
    </row>
    <row r="1107" spans="25:25" x14ac:dyDescent="0.2">
      <c r="Y1107" s="18"/>
    </row>
    <row r="1108" spans="25:25" x14ac:dyDescent="0.2">
      <c r="Y1108" s="18"/>
    </row>
    <row r="1109" spans="25:25" x14ac:dyDescent="0.2">
      <c r="Y1109" s="18"/>
    </row>
    <row r="1110" spans="25:25" x14ac:dyDescent="0.2">
      <c r="Y1110" s="18"/>
    </row>
    <row r="1111" spans="25:25" x14ac:dyDescent="0.2">
      <c r="Y1111" s="18"/>
    </row>
    <row r="1112" spans="25:25" x14ac:dyDescent="0.2">
      <c r="Y1112" s="18"/>
    </row>
    <row r="1113" spans="25:25" x14ac:dyDescent="0.2">
      <c r="Y1113" s="18"/>
    </row>
    <row r="1114" spans="25:25" x14ac:dyDescent="0.2">
      <c r="Y1114" s="18"/>
    </row>
    <row r="1115" spans="25:25" x14ac:dyDescent="0.2">
      <c r="Y1115" s="18"/>
    </row>
    <row r="1116" spans="25:25" x14ac:dyDescent="0.2">
      <c r="Y1116" s="18"/>
    </row>
    <row r="1117" spans="25:25" x14ac:dyDescent="0.2">
      <c r="Y1117" s="18"/>
    </row>
    <row r="1118" spans="25:25" x14ac:dyDescent="0.2">
      <c r="Y1118" s="18"/>
    </row>
    <row r="1119" spans="25:25" x14ac:dyDescent="0.2">
      <c r="Y1119" s="18"/>
    </row>
    <row r="1120" spans="25:25" x14ac:dyDescent="0.2">
      <c r="Y1120" s="18"/>
    </row>
    <row r="1121" spans="25:25" x14ac:dyDescent="0.2">
      <c r="Y1121" s="18"/>
    </row>
    <row r="1122" spans="25:25" x14ac:dyDescent="0.2">
      <c r="Y1122" s="18"/>
    </row>
    <row r="1123" spans="25:25" x14ac:dyDescent="0.2">
      <c r="Y1123" s="18"/>
    </row>
    <row r="1124" spans="25:25" x14ac:dyDescent="0.2">
      <c r="Y1124" s="18"/>
    </row>
    <row r="1125" spans="25:25" x14ac:dyDescent="0.2">
      <c r="Y1125" s="18"/>
    </row>
    <row r="1126" spans="25:25" x14ac:dyDescent="0.2">
      <c r="Y1126" s="18"/>
    </row>
    <row r="1127" spans="25:25" x14ac:dyDescent="0.2">
      <c r="Y1127" s="18"/>
    </row>
    <row r="1128" spans="25:25" x14ac:dyDescent="0.2">
      <c r="Y1128" s="18"/>
    </row>
    <row r="1129" spans="25:25" x14ac:dyDescent="0.2">
      <c r="Y1129" s="18"/>
    </row>
    <row r="1130" spans="25:25" x14ac:dyDescent="0.2">
      <c r="Y1130" s="18"/>
    </row>
    <row r="1131" spans="25:25" x14ac:dyDescent="0.2">
      <c r="Y1131" s="18"/>
    </row>
    <row r="1132" spans="25:25" x14ac:dyDescent="0.2">
      <c r="Y1132" s="18"/>
    </row>
    <row r="1133" spans="25:25" x14ac:dyDescent="0.2">
      <c r="Y1133" s="18"/>
    </row>
    <row r="1134" spans="25:25" x14ac:dyDescent="0.2">
      <c r="Y1134" s="18"/>
    </row>
    <row r="1135" spans="25:25" x14ac:dyDescent="0.2">
      <c r="Y1135" s="18"/>
    </row>
    <row r="1136" spans="25:25" x14ac:dyDescent="0.2">
      <c r="Y1136" s="18"/>
    </row>
    <row r="1137" spans="25:25" x14ac:dyDescent="0.2">
      <c r="Y1137" s="18"/>
    </row>
    <row r="1138" spans="25:25" x14ac:dyDescent="0.2">
      <c r="Y1138" s="18"/>
    </row>
    <row r="1139" spans="25:25" x14ac:dyDescent="0.2">
      <c r="Y1139" s="18"/>
    </row>
    <row r="1140" spans="25:25" x14ac:dyDescent="0.2">
      <c r="Y1140" s="18"/>
    </row>
    <row r="1141" spans="25:25" x14ac:dyDescent="0.2">
      <c r="Y1141" s="18"/>
    </row>
    <row r="1142" spans="25:25" x14ac:dyDescent="0.2">
      <c r="Y1142" s="18"/>
    </row>
    <row r="1143" spans="25:25" x14ac:dyDescent="0.2">
      <c r="Y1143" s="18"/>
    </row>
    <row r="1144" spans="25:25" x14ac:dyDescent="0.2">
      <c r="Y1144" s="18"/>
    </row>
    <row r="1145" spans="25:25" x14ac:dyDescent="0.2">
      <c r="Y1145" s="18"/>
    </row>
    <row r="1146" spans="25:25" x14ac:dyDescent="0.2">
      <c r="Y1146" s="18"/>
    </row>
    <row r="1147" spans="25:25" x14ac:dyDescent="0.2">
      <c r="Y1147" s="18"/>
    </row>
    <row r="1148" spans="25:25" x14ac:dyDescent="0.2">
      <c r="Y1148" s="18"/>
    </row>
    <row r="1149" spans="25:25" x14ac:dyDescent="0.2">
      <c r="Y1149" s="18"/>
    </row>
    <row r="1150" spans="25:25" x14ac:dyDescent="0.2">
      <c r="Y1150" s="18"/>
    </row>
    <row r="1151" spans="25:25" x14ac:dyDescent="0.2">
      <c r="Y1151" s="18"/>
    </row>
    <row r="1152" spans="25:25" x14ac:dyDescent="0.2">
      <c r="Y1152" s="18"/>
    </row>
    <row r="1153" spans="25:25" x14ac:dyDescent="0.2">
      <c r="Y1153" s="18"/>
    </row>
    <row r="1154" spans="25:25" x14ac:dyDescent="0.2">
      <c r="Y1154" s="18"/>
    </row>
    <row r="1155" spans="25:25" x14ac:dyDescent="0.2">
      <c r="Y1155" s="18"/>
    </row>
    <row r="1156" spans="25:25" x14ac:dyDescent="0.2">
      <c r="Y1156" s="18"/>
    </row>
    <row r="1157" spans="25:25" x14ac:dyDescent="0.2">
      <c r="Y1157" s="18"/>
    </row>
    <row r="1158" spans="25:25" x14ac:dyDescent="0.2">
      <c r="Y1158" s="18"/>
    </row>
    <row r="1159" spans="25:25" x14ac:dyDescent="0.2">
      <c r="Y1159" s="18"/>
    </row>
    <row r="1160" spans="25:25" x14ac:dyDescent="0.2">
      <c r="Y1160" s="18"/>
    </row>
    <row r="1161" spans="25:25" x14ac:dyDescent="0.2">
      <c r="Y1161" s="18"/>
    </row>
    <row r="1162" spans="25:25" x14ac:dyDescent="0.2">
      <c r="Y1162" s="18"/>
    </row>
    <row r="1163" spans="25:25" x14ac:dyDescent="0.2">
      <c r="Y1163" s="18"/>
    </row>
    <row r="1164" spans="25:25" x14ac:dyDescent="0.2">
      <c r="Y1164" s="18"/>
    </row>
    <row r="1165" spans="25:25" x14ac:dyDescent="0.2">
      <c r="Y1165" s="18"/>
    </row>
    <row r="1166" spans="25:25" x14ac:dyDescent="0.2">
      <c r="Y1166" s="18"/>
    </row>
    <row r="1167" spans="25:25" x14ac:dyDescent="0.2">
      <c r="Y1167" s="18"/>
    </row>
    <row r="1168" spans="25:25" x14ac:dyDescent="0.2">
      <c r="Y1168" s="18"/>
    </row>
    <row r="1169" spans="25:25" x14ac:dyDescent="0.2">
      <c r="Y1169" s="18"/>
    </row>
    <row r="1170" spans="25:25" x14ac:dyDescent="0.2">
      <c r="Y1170" s="18"/>
    </row>
    <row r="1171" spans="25:25" x14ac:dyDescent="0.2">
      <c r="Y1171" s="18"/>
    </row>
    <row r="1172" spans="25:25" x14ac:dyDescent="0.2">
      <c r="Y1172" s="18"/>
    </row>
    <row r="1173" spans="25:25" x14ac:dyDescent="0.2">
      <c r="Y1173" s="18"/>
    </row>
    <row r="1174" spans="25:25" x14ac:dyDescent="0.2">
      <c r="Y1174" s="18"/>
    </row>
    <row r="1175" spans="25:25" x14ac:dyDescent="0.2">
      <c r="Y1175" s="18"/>
    </row>
    <row r="1176" spans="25:25" x14ac:dyDescent="0.2">
      <c r="Y1176" s="18"/>
    </row>
    <row r="1177" spans="25:25" x14ac:dyDescent="0.2">
      <c r="Y1177" s="18"/>
    </row>
    <row r="1178" spans="25:25" x14ac:dyDescent="0.2">
      <c r="Y1178" s="18"/>
    </row>
    <row r="1179" spans="25:25" x14ac:dyDescent="0.2">
      <c r="Y1179" s="18"/>
    </row>
    <row r="1180" spans="25:25" x14ac:dyDescent="0.2">
      <c r="Y1180" s="18"/>
    </row>
    <row r="1181" spans="25:25" x14ac:dyDescent="0.2">
      <c r="Y1181" s="18"/>
    </row>
    <row r="1182" spans="25:25" x14ac:dyDescent="0.2">
      <c r="Y1182" s="18"/>
    </row>
    <row r="1183" spans="25:25" x14ac:dyDescent="0.2">
      <c r="Y1183" s="18"/>
    </row>
    <row r="1184" spans="25:25" x14ac:dyDescent="0.2">
      <c r="Y1184" s="18"/>
    </row>
    <row r="1185" spans="25:25" x14ac:dyDescent="0.2">
      <c r="Y1185" s="18"/>
    </row>
    <row r="1186" spans="25:25" x14ac:dyDescent="0.2">
      <c r="Y1186" s="18"/>
    </row>
    <row r="1187" spans="25:25" x14ac:dyDescent="0.2">
      <c r="Y1187" s="18"/>
    </row>
    <row r="1188" spans="25:25" x14ac:dyDescent="0.2">
      <c r="Y1188" s="18"/>
    </row>
    <row r="1189" spans="25:25" x14ac:dyDescent="0.2">
      <c r="Y1189" s="18"/>
    </row>
    <row r="1190" spans="25:25" x14ac:dyDescent="0.2">
      <c r="Y1190" s="18"/>
    </row>
    <row r="1191" spans="25:25" x14ac:dyDescent="0.2">
      <c r="Y1191" s="18"/>
    </row>
    <row r="1192" spans="25:25" x14ac:dyDescent="0.2">
      <c r="Y1192" s="18"/>
    </row>
    <row r="1193" spans="25:25" x14ac:dyDescent="0.2">
      <c r="Y1193" s="18"/>
    </row>
    <row r="1194" spans="25:25" x14ac:dyDescent="0.2">
      <c r="Y1194" s="18"/>
    </row>
    <row r="1195" spans="25:25" x14ac:dyDescent="0.2">
      <c r="Y1195" s="18"/>
    </row>
    <row r="1196" spans="25:25" x14ac:dyDescent="0.2">
      <c r="Y1196" s="18"/>
    </row>
    <row r="1197" spans="25:25" x14ac:dyDescent="0.2">
      <c r="Y1197" s="18"/>
    </row>
    <row r="1198" spans="25:25" x14ac:dyDescent="0.2">
      <c r="Y1198" s="18"/>
    </row>
    <row r="1199" spans="25:25" x14ac:dyDescent="0.2">
      <c r="Y1199" s="18"/>
    </row>
    <row r="1200" spans="25:25" x14ac:dyDescent="0.2">
      <c r="Y1200" s="18"/>
    </row>
    <row r="1201" spans="25:25" x14ac:dyDescent="0.2">
      <c r="Y1201" s="18"/>
    </row>
    <row r="1202" spans="25:25" x14ac:dyDescent="0.2">
      <c r="Y1202" s="18"/>
    </row>
    <row r="1203" spans="25:25" x14ac:dyDescent="0.2">
      <c r="Y1203" s="18"/>
    </row>
    <row r="1204" spans="25:25" x14ac:dyDescent="0.2">
      <c r="Y1204" s="18"/>
    </row>
    <row r="1205" spans="25:25" x14ac:dyDescent="0.2">
      <c r="Y1205" s="18"/>
    </row>
    <row r="1206" spans="25:25" x14ac:dyDescent="0.2">
      <c r="Y1206" s="18"/>
    </row>
    <row r="1207" spans="25:25" x14ac:dyDescent="0.2">
      <c r="Y1207" s="18"/>
    </row>
    <row r="1208" spans="25:25" x14ac:dyDescent="0.2">
      <c r="Y1208" s="18"/>
    </row>
    <row r="1209" spans="25:25" x14ac:dyDescent="0.2">
      <c r="Y1209" s="18"/>
    </row>
    <row r="1210" spans="25:25" x14ac:dyDescent="0.2">
      <c r="Y1210" s="18"/>
    </row>
    <row r="1211" spans="25:25" x14ac:dyDescent="0.2">
      <c r="Y1211" s="18"/>
    </row>
    <row r="1212" spans="25:25" x14ac:dyDescent="0.2">
      <c r="Y1212" s="18"/>
    </row>
    <row r="1213" spans="25:25" x14ac:dyDescent="0.2">
      <c r="Y1213" s="18"/>
    </row>
    <row r="1214" spans="25:25" x14ac:dyDescent="0.2">
      <c r="Y1214" s="18"/>
    </row>
    <row r="1215" spans="25:25" x14ac:dyDescent="0.2">
      <c r="Y1215" s="18"/>
    </row>
    <row r="1216" spans="25:25" x14ac:dyDescent="0.2">
      <c r="Y1216" s="18"/>
    </row>
    <row r="1217" spans="25:25" x14ac:dyDescent="0.2">
      <c r="Y1217" s="18"/>
    </row>
    <row r="1218" spans="25:25" x14ac:dyDescent="0.2">
      <c r="Y1218" s="18"/>
    </row>
    <row r="1219" spans="25:25" x14ac:dyDescent="0.2">
      <c r="Y1219" s="18"/>
    </row>
    <row r="1220" spans="25:25" x14ac:dyDescent="0.2">
      <c r="Y1220" s="18"/>
    </row>
    <row r="1221" spans="25:25" x14ac:dyDescent="0.2">
      <c r="Y1221" s="18"/>
    </row>
    <row r="1222" spans="25:25" x14ac:dyDescent="0.2">
      <c r="Y1222" s="18"/>
    </row>
    <row r="1223" spans="25:25" x14ac:dyDescent="0.2">
      <c r="Y1223" s="18"/>
    </row>
    <row r="1224" spans="25:25" x14ac:dyDescent="0.2">
      <c r="Y1224" s="18"/>
    </row>
    <row r="1225" spans="25:25" x14ac:dyDescent="0.2">
      <c r="Y1225" s="18"/>
    </row>
    <row r="1226" spans="25:25" x14ac:dyDescent="0.2">
      <c r="Y1226" s="18"/>
    </row>
    <row r="1227" spans="25:25" x14ac:dyDescent="0.2">
      <c r="Y1227" s="18"/>
    </row>
    <row r="1228" spans="25:25" x14ac:dyDescent="0.2">
      <c r="Y1228" s="18"/>
    </row>
    <row r="1229" spans="25:25" x14ac:dyDescent="0.2">
      <c r="Y1229" s="18"/>
    </row>
    <row r="1230" spans="25:25" x14ac:dyDescent="0.2">
      <c r="Y1230" s="18"/>
    </row>
    <row r="1231" spans="25:25" x14ac:dyDescent="0.2">
      <c r="Y1231" s="18"/>
    </row>
    <row r="1232" spans="25:25" x14ac:dyDescent="0.2">
      <c r="Y1232" s="18"/>
    </row>
    <row r="1233" spans="25:25" x14ac:dyDescent="0.2">
      <c r="Y1233" s="18"/>
    </row>
    <row r="1234" spans="25:25" x14ac:dyDescent="0.2">
      <c r="Y1234" s="18"/>
    </row>
    <row r="1235" spans="25:25" x14ac:dyDescent="0.2">
      <c r="Y1235" s="18"/>
    </row>
    <row r="1236" spans="25:25" x14ac:dyDescent="0.2">
      <c r="Y1236" s="18"/>
    </row>
    <row r="1237" spans="25:25" x14ac:dyDescent="0.2">
      <c r="Y1237" s="18"/>
    </row>
    <row r="1238" spans="25:25" x14ac:dyDescent="0.2">
      <c r="Y1238" s="18"/>
    </row>
    <row r="1239" spans="25:25" x14ac:dyDescent="0.2">
      <c r="Y1239" s="18"/>
    </row>
    <row r="1240" spans="25:25" x14ac:dyDescent="0.2">
      <c r="Y1240" s="18"/>
    </row>
    <row r="1241" spans="25:25" x14ac:dyDescent="0.2">
      <c r="Y1241" s="18"/>
    </row>
    <row r="1242" spans="25:25" x14ac:dyDescent="0.2">
      <c r="Y1242" s="18"/>
    </row>
    <row r="1243" spans="25:25" x14ac:dyDescent="0.2">
      <c r="Y1243" s="18"/>
    </row>
    <row r="1244" spans="25:25" x14ac:dyDescent="0.2">
      <c r="Y1244" s="18"/>
    </row>
    <row r="1245" spans="25:25" x14ac:dyDescent="0.2">
      <c r="Y1245" s="18"/>
    </row>
    <row r="1246" spans="25:25" x14ac:dyDescent="0.2">
      <c r="Y1246" s="18"/>
    </row>
    <row r="1247" spans="25:25" x14ac:dyDescent="0.2">
      <c r="Y1247" s="18"/>
    </row>
    <row r="1248" spans="25:25" x14ac:dyDescent="0.2">
      <c r="Y1248" s="18"/>
    </row>
    <row r="1249" spans="25:25" x14ac:dyDescent="0.2">
      <c r="Y1249" s="18"/>
    </row>
    <row r="1250" spans="25:25" x14ac:dyDescent="0.2">
      <c r="Y1250" s="18"/>
    </row>
    <row r="1251" spans="25:25" x14ac:dyDescent="0.2">
      <c r="Y1251" s="18"/>
    </row>
    <row r="1252" spans="25:25" x14ac:dyDescent="0.2">
      <c r="Y1252" s="18"/>
    </row>
    <row r="1253" spans="25:25" x14ac:dyDescent="0.2">
      <c r="Y1253" s="18"/>
    </row>
    <row r="1254" spans="25:25" x14ac:dyDescent="0.2">
      <c r="Y1254" s="18"/>
    </row>
    <row r="1255" spans="25:25" x14ac:dyDescent="0.2">
      <c r="Y1255" s="18"/>
    </row>
    <row r="1256" spans="25:25" x14ac:dyDescent="0.2">
      <c r="Y1256" s="18"/>
    </row>
    <row r="1257" spans="25:25" x14ac:dyDescent="0.2">
      <c r="Y1257" s="18"/>
    </row>
    <row r="1258" spans="25:25" x14ac:dyDescent="0.2">
      <c r="Y1258" s="18"/>
    </row>
    <row r="1259" spans="25:25" x14ac:dyDescent="0.2">
      <c r="Y1259" s="18"/>
    </row>
    <row r="1260" spans="25:25" x14ac:dyDescent="0.2">
      <c r="Y1260" s="18"/>
    </row>
    <row r="1261" spans="25:25" x14ac:dyDescent="0.2">
      <c r="Y1261" s="18"/>
    </row>
    <row r="1262" spans="25:25" x14ac:dyDescent="0.2">
      <c r="Y1262" s="18"/>
    </row>
    <row r="1263" spans="25:25" x14ac:dyDescent="0.2">
      <c r="Y1263" s="18"/>
    </row>
    <row r="1264" spans="25:25" x14ac:dyDescent="0.2">
      <c r="Y1264" s="18"/>
    </row>
    <row r="1265" spans="25:25" x14ac:dyDescent="0.2">
      <c r="Y1265" s="18"/>
    </row>
    <row r="1266" spans="25:25" x14ac:dyDescent="0.2">
      <c r="Y1266" s="18"/>
    </row>
    <row r="1267" spans="25:25" x14ac:dyDescent="0.2">
      <c r="Y1267" s="18"/>
    </row>
    <row r="1268" spans="25:25" x14ac:dyDescent="0.2">
      <c r="Y1268" s="18"/>
    </row>
    <row r="1269" spans="25:25" x14ac:dyDescent="0.2">
      <c r="Y1269" s="18"/>
    </row>
    <row r="1270" spans="25:25" x14ac:dyDescent="0.2">
      <c r="Y1270" s="18"/>
    </row>
    <row r="1271" spans="25:25" x14ac:dyDescent="0.2">
      <c r="Y1271" s="18"/>
    </row>
    <row r="1272" spans="25:25" x14ac:dyDescent="0.2">
      <c r="Y1272" s="18"/>
    </row>
    <row r="1273" spans="25:25" x14ac:dyDescent="0.2">
      <c r="Y1273" s="18"/>
    </row>
    <row r="1274" spans="25:25" x14ac:dyDescent="0.2">
      <c r="Y1274" s="18"/>
    </row>
    <row r="1275" spans="25:25" x14ac:dyDescent="0.2">
      <c r="Y1275" s="18"/>
    </row>
    <row r="1276" spans="25:25" x14ac:dyDescent="0.2">
      <c r="Y1276" s="18"/>
    </row>
    <row r="1277" spans="25:25" x14ac:dyDescent="0.2">
      <c r="Y1277" s="18"/>
    </row>
    <row r="1278" spans="25:25" x14ac:dyDescent="0.2">
      <c r="Y1278" s="18"/>
    </row>
    <row r="1279" spans="25:25" x14ac:dyDescent="0.2">
      <c r="Y1279" s="18"/>
    </row>
    <row r="1280" spans="25:25" x14ac:dyDescent="0.2">
      <c r="Y1280" s="18"/>
    </row>
    <row r="1281" spans="25:25" x14ac:dyDescent="0.2">
      <c r="Y1281" s="18"/>
    </row>
    <row r="1282" spans="25:25" x14ac:dyDescent="0.2">
      <c r="Y1282" s="18"/>
    </row>
    <row r="1283" spans="25:25" x14ac:dyDescent="0.2">
      <c r="Y1283" s="18"/>
    </row>
    <row r="1284" spans="25:25" x14ac:dyDescent="0.2">
      <c r="Y1284" s="18"/>
    </row>
    <row r="1285" spans="25:25" x14ac:dyDescent="0.2">
      <c r="Y1285" s="18"/>
    </row>
    <row r="1286" spans="25:25" x14ac:dyDescent="0.2">
      <c r="Y1286" s="18"/>
    </row>
    <row r="1287" spans="25:25" x14ac:dyDescent="0.2">
      <c r="Y1287" s="18"/>
    </row>
    <row r="1288" spans="25:25" x14ac:dyDescent="0.2">
      <c r="Y1288" s="18"/>
    </row>
    <row r="1289" spans="25:25" x14ac:dyDescent="0.2">
      <c r="Y1289" s="18"/>
    </row>
    <row r="1290" spans="25:25" x14ac:dyDescent="0.2">
      <c r="Y1290" s="18"/>
    </row>
    <row r="1291" spans="25:25" x14ac:dyDescent="0.2">
      <c r="Y1291" s="18"/>
    </row>
    <row r="1292" spans="25:25" x14ac:dyDescent="0.2">
      <c r="Y1292" s="18"/>
    </row>
    <row r="1293" spans="25:25" x14ac:dyDescent="0.2">
      <c r="Y1293" s="18"/>
    </row>
    <row r="1294" spans="25:25" x14ac:dyDescent="0.2">
      <c r="Y1294" s="18"/>
    </row>
    <row r="1295" spans="25:25" x14ac:dyDescent="0.2">
      <c r="Y1295" s="18"/>
    </row>
    <row r="1296" spans="25:25" x14ac:dyDescent="0.2">
      <c r="Y1296" s="18"/>
    </row>
    <row r="1297" spans="25:25" x14ac:dyDescent="0.2">
      <c r="Y1297" s="18"/>
    </row>
    <row r="1298" spans="25:25" x14ac:dyDescent="0.2">
      <c r="Y1298" s="18"/>
    </row>
    <row r="1299" spans="25:25" x14ac:dyDescent="0.2">
      <c r="Y1299" s="18"/>
    </row>
    <row r="1300" spans="25:25" x14ac:dyDescent="0.2">
      <c r="Y1300" s="18"/>
    </row>
    <row r="1301" spans="25:25" x14ac:dyDescent="0.2">
      <c r="Y1301" s="18"/>
    </row>
    <row r="1302" spans="25:25" x14ac:dyDescent="0.2">
      <c r="Y1302" s="18"/>
    </row>
    <row r="1303" spans="25:25" x14ac:dyDescent="0.2">
      <c r="Y1303" s="18"/>
    </row>
    <row r="1304" spans="25:25" x14ac:dyDescent="0.2">
      <c r="Y1304" s="18"/>
    </row>
    <row r="1305" spans="25:25" x14ac:dyDescent="0.2">
      <c r="Y1305" s="18"/>
    </row>
    <row r="1306" spans="25:25" x14ac:dyDescent="0.2">
      <c r="Y1306" s="18"/>
    </row>
    <row r="1307" spans="25:25" x14ac:dyDescent="0.2">
      <c r="Y1307" s="18"/>
    </row>
    <row r="1308" spans="25:25" x14ac:dyDescent="0.2">
      <c r="Y1308" s="18"/>
    </row>
    <row r="1309" spans="25:25" x14ac:dyDescent="0.2">
      <c r="Y1309" s="18"/>
    </row>
    <row r="1310" spans="25:25" x14ac:dyDescent="0.2">
      <c r="Y1310" s="18"/>
    </row>
    <row r="1311" spans="25:25" x14ac:dyDescent="0.2">
      <c r="Y1311" s="18"/>
    </row>
    <row r="1312" spans="25:25" x14ac:dyDescent="0.2">
      <c r="Y1312" s="18"/>
    </row>
    <row r="1313" spans="25:25" x14ac:dyDescent="0.2">
      <c r="Y1313" s="18"/>
    </row>
    <row r="1314" spans="25:25" x14ac:dyDescent="0.2">
      <c r="Y1314" s="18"/>
    </row>
    <row r="1315" spans="25:25" x14ac:dyDescent="0.2">
      <c r="Y1315" s="18"/>
    </row>
    <row r="1316" spans="25:25" x14ac:dyDescent="0.2">
      <c r="Y1316" s="18"/>
    </row>
    <row r="1317" spans="25:25" x14ac:dyDescent="0.2">
      <c r="Y1317" s="18"/>
    </row>
    <row r="1318" spans="25:25" x14ac:dyDescent="0.2">
      <c r="Y1318" s="18"/>
    </row>
    <row r="1319" spans="25:25" x14ac:dyDescent="0.2">
      <c r="Y1319" s="18"/>
    </row>
    <row r="1320" spans="25:25" x14ac:dyDescent="0.2">
      <c r="Y1320" s="18"/>
    </row>
    <row r="1321" spans="25:25" x14ac:dyDescent="0.2">
      <c r="Y1321" s="18"/>
    </row>
    <row r="1322" spans="25:25" x14ac:dyDescent="0.2">
      <c r="Y1322" s="18"/>
    </row>
    <row r="1323" spans="25:25" x14ac:dyDescent="0.2">
      <c r="Y1323" s="18"/>
    </row>
    <row r="1324" spans="25:25" x14ac:dyDescent="0.2">
      <c r="Y1324" s="18"/>
    </row>
    <row r="1325" spans="25:25" x14ac:dyDescent="0.2">
      <c r="Y1325" s="18"/>
    </row>
    <row r="1326" spans="25:25" x14ac:dyDescent="0.2">
      <c r="Y1326" s="18"/>
    </row>
    <row r="1327" spans="25:25" x14ac:dyDescent="0.2">
      <c r="Y1327" s="18"/>
    </row>
    <row r="1328" spans="25:25" x14ac:dyDescent="0.2">
      <c r="Y1328" s="18"/>
    </row>
    <row r="1329" spans="25:25" x14ac:dyDescent="0.2">
      <c r="Y1329" s="18"/>
    </row>
    <row r="1330" spans="25:25" x14ac:dyDescent="0.2">
      <c r="Y1330" s="18"/>
    </row>
    <row r="1331" spans="25:25" x14ac:dyDescent="0.2">
      <c r="Y1331" s="18"/>
    </row>
    <row r="1332" spans="25:25" x14ac:dyDescent="0.2">
      <c r="Y1332" s="18"/>
    </row>
    <row r="1333" spans="25:25" x14ac:dyDescent="0.2">
      <c r="Y1333" s="18"/>
    </row>
    <row r="1334" spans="25:25" x14ac:dyDescent="0.2">
      <c r="Y1334" s="18"/>
    </row>
    <row r="1335" spans="25:25" x14ac:dyDescent="0.2">
      <c r="Y1335" s="18"/>
    </row>
    <row r="1336" spans="25:25" x14ac:dyDescent="0.2">
      <c r="Y1336" s="18"/>
    </row>
    <row r="1337" spans="25:25" x14ac:dyDescent="0.2">
      <c r="Y1337" s="18"/>
    </row>
    <row r="1338" spans="25:25" x14ac:dyDescent="0.2">
      <c r="Y1338" s="18"/>
    </row>
    <row r="1339" spans="25:25" x14ac:dyDescent="0.2">
      <c r="Y1339" s="18"/>
    </row>
    <row r="1340" spans="25:25" x14ac:dyDescent="0.2">
      <c r="Y1340" s="18"/>
    </row>
    <row r="1341" spans="25:25" x14ac:dyDescent="0.2">
      <c r="Y1341" s="18"/>
    </row>
    <row r="1342" spans="25:25" x14ac:dyDescent="0.2">
      <c r="Y1342" s="18"/>
    </row>
    <row r="1343" spans="25:25" x14ac:dyDescent="0.2">
      <c r="Y1343" s="18"/>
    </row>
    <row r="1344" spans="25:25" x14ac:dyDescent="0.2">
      <c r="Y1344" s="18"/>
    </row>
    <row r="1345" spans="25:25" x14ac:dyDescent="0.2">
      <c r="Y1345" s="18"/>
    </row>
    <row r="1346" spans="25:25" x14ac:dyDescent="0.2">
      <c r="Y1346" s="18"/>
    </row>
    <row r="1347" spans="25:25" x14ac:dyDescent="0.2">
      <c r="Y1347" s="18"/>
    </row>
    <row r="1348" spans="25:25" x14ac:dyDescent="0.2">
      <c r="Y1348" s="18"/>
    </row>
    <row r="1349" spans="25:25" x14ac:dyDescent="0.2">
      <c r="Y1349" s="18"/>
    </row>
    <row r="1350" spans="25:25" x14ac:dyDescent="0.2">
      <c r="Y1350" s="18"/>
    </row>
    <row r="1351" spans="25:25" x14ac:dyDescent="0.2">
      <c r="Y1351" s="18"/>
    </row>
    <row r="1352" spans="25:25" x14ac:dyDescent="0.2">
      <c r="Y1352" s="18"/>
    </row>
    <row r="1353" spans="25:25" x14ac:dyDescent="0.2">
      <c r="Y1353" s="18"/>
    </row>
    <row r="1354" spans="25:25" x14ac:dyDescent="0.2">
      <c r="Y1354" s="18"/>
    </row>
    <row r="1355" spans="25:25" x14ac:dyDescent="0.2">
      <c r="Y1355" s="18"/>
    </row>
    <row r="1356" spans="25:25" x14ac:dyDescent="0.2">
      <c r="Y1356" s="18"/>
    </row>
    <row r="1357" spans="25:25" x14ac:dyDescent="0.2">
      <c r="Y1357" s="18"/>
    </row>
    <row r="1358" spans="25:25" x14ac:dyDescent="0.2">
      <c r="Y1358" s="18"/>
    </row>
    <row r="1359" spans="25:25" x14ac:dyDescent="0.2">
      <c r="Y1359" s="18"/>
    </row>
    <row r="1360" spans="25:25" x14ac:dyDescent="0.2">
      <c r="Y1360" s="18"/>
    </row>
    <row r="1361" spans="25:25" x14ac:dyDescent="0.2">
      <c r="Y1361" s="18"/>
    </row>
    <row r="1362" spans="25:25" x14ac:dyDescent="0.2">
      <c r="Y1362" s="18"/>
    </row>
    <row r="1363" spans="25:25" x14ac:dyDescent="0.2">
      <c r="Y1363" s="18"/>
    </row>
    <row r="1364" spans="25:25" x14ac:dyDescent="0.2">
      <c r="Y1364" s="18"/>
    </row>
    <row r="1365" spans="25:25" x14ac:dyDescent="0.2">
      <c r="Y1365" s="18"/>
    </row>
    <row r="1366" spans="25:25" x14ac:dyDescent="0.2">
      <c r="Y1366" s="18"/>
    </row>
    <row r="1367" spans="25:25" x14ac:dyDescent="0.2">
      <c r="Y1367" s="18"/>
    </row>
    <row r="1368" spans="25:25" x14ac:dyDescent="0.2">
      <c r="Y1368" s="18"/>
    </row>
    <row r="1369" spans="25:25" x14ac:dyDescent="0.2">
      <c r="Y1369" s="18"/>
    </row>
    <row r="1370" spans="25:25" x14ac:dyDescent="0.2">
      <c r="Y1370" s="18"/>
    </row>
    <row r="1371" spans="25:25" x14ac:dyDescent="0.2">
      <c r="Y1371" s="18"/>
    </row>
    <row r="1372" spans="25:25" x14ac:dyDescent="0.2">
      <c r="Y1372" s="18"/>
    </row>
    <row r="1373" spans="25:25" x14ac:dyDescent="0.2">
      <c r="Y1373" s="18"/>
    </row>
    <row r="1374" spans="25:25" x14ac:dyDescent="0.2">
      <c r="Y1374" s="18"/>
    </row>
    <row r="1375" spans="25:25" x14ac:dyDescent="0.2">
      <c r="Y1375" s="18"/>
    </row>
    <row r="1376" spans="25:25" x14ac:dyDescent="0.2">
      <c r="Y1376" s="18"/>
    </row>
    <row r="1377" spans="25:25" x14ac:dyDescent="0.2">
      <c r="Y1377" s="18"/>
    </row>
    <row r="1378" spans="25:25" x14ac:dyDescent="0.2">
      <c r="Y1378" s="18"/>
    </row>
    <row r="1379" spans="25:25" x14ac:dyDescent="0.2">
      <c r="Y1379" s="18"/>
    </row>
    <row r="1380" spans="25:25" x14ac:dyDescent="0.2">
      <c r="Y1380" s="18"/>
    </row>
    <row r="1381" spans="25:25" x14ac:dyDescent="0.2">
      <c r="Y1381" s="18"/>
    </row>
    <row r="1382" spans="25:25" x14ac:dyDescent="0.2">
      <c r="Y1382" s="18"/>
    </row>
    <row r="1383" spans="25:25" x14ac:dyDescent="0.2">
      <c r="Y1383" s="18"/>
    </row>
    <row r="1384" spans="25:25" x14ac:dyDescent="0.2">
      <c r="Y1384" s="18"/>
    </row>
    <row r="1385" spans="25:25" x14ac:dyDescent="0.2">
      <c r="Y1385" s="18"/>
    </row>
    <row r="1386" spans="25:25" x14ac:dyDescent="0.2">
      <c r="Y1386" s="18"/>
    </row>
    <row r="1387" spans="25:25" x14ac:dyDescent="0.2">
      <c r="Y1387" s="18"/>
    </row>
    <row r="1388" spans="25:25" x14ac:dyDescent="0.2">
      <c r="Y1388" s="18"/>
    </row>
    <row r="1389" spans="25:25" x14ac:dyDescent="0.2">
      <c r="Y1389" s="18"/>
    </row>
    <row r="1390" spans="25:25" x14ac:dyDescent="0.2">
      <c r="Y1390" s="18"/>
    </row>
    <row r="1391" spans="25:25" x14ac:dyDescent="0.2">
      <c r="Y1391" s="18"/>
    </row>
    <row r="1392" spans="25:25" x14ac:dyDescent="0.2">
      <c r="Y1392" s="18"/>
    </row>
    <row r="1393" spans="25:25" x14ac:dyDescent="0.2">
      <c r="Y1393" s="18"/>
    </row>
    <row r="1394" spans="25:25" x14ac:dyDescent="0.2">
      <c r="Y1394" s="18"/>
    </row>
    <row r="1395" spans="25:25" x14ac:dyDescent="0.2">
      <c r="Y1395" s="18"/>
    </row>
    <row r="1396" spans="25:25" x14ac:dyDescent="0.2">
      <c r="Y1396" s="18"/>
    </row>
    <row r="1397" spans="25:25" x14ac:dyDescent="0.2">
      <c r="Y1397" s="18"/>
    </row>
    <row r="1398" spans="25:25" x14ac:dyDescent="0.2">
      <c r="Y1398" s="18"/>
    </row>
    <row r="1399" spans="25:25" x14ac:dyDescent="0.2">
      <c r="Y1399" s="18"/>
    </row>
    <row r="1400" spans="25:25" x14ac:dyDescent="0.2">
      <c r="Y1400" s="18"/>
    </row>
    <row r="1401" spans="25:25" x14ac:dyDescent="0.2">
      <c r="Y1401" s="18"/>
    </row>
    <row r="1402" spans="25:25" x14ac:dyDescent="0.2">
      <c r="Y1402" s="18"/>
    </row>
    <row r="1403" spans="25:25" x14ac:dyDescent="0.2">
      <c r="Y1403" s="18"/>
    </row>
    <row r="1404" spans="25:25" x14ac:dyDescent="0.2">
      <c r="Y1404" s="18"/>
    </row>
    <row r="1405" spans="25:25" x14ac:dyDescent="0.2">
      <c r="Y1405" s="18"/>
    </row>
    <row r="1406" spans="25:25" x14ac:dyDescent="0.2">
      <c r="Y1406" s="18"/>
    </row>
    <row r="1407" spans="25:25" x14ac:dyDescent="0.2">
      <c r="Y1407" s="18"/>
    </row>
    <row r="1408" spans="25:25" x14ac:dyDescent="0.2">
      <c r="Y1408" s="18"/>
    </row>
    <row r="1409" spans="25:25" x14ac:dyDescent="0.2">
      <c r="Y1409" s="18"/>
    </row>
    <row r="1410" spans="25:25" x14ac:dyDescent="0.2">
      <c r="Y1410" s="18"/>
    </row>
    <row r="1411" spans="25:25" x14ac:dyDescent="0.2">
      <c r="Y1411" s="18"/>
    </row>
    <row r="1412" spans="25:25" x14ac:dyDescent="0.2">
      <c r="Y1412" s="18"/>
    </row>
    <row r="1413" spans="25:25" x14ac:dyDescent="0.2">
      <c r="Y1413" s="18"/>
    </row>
    <row r="1414" spans="25:25" x14ac:dyDescent="0.2">
      <c r="Y1414" s="18"/>
    </row>
    <row r="1415" spans="25:25" x14ac:dyDescent="0.2">
      <c r="Y1415" s="18"/>
    </row>
    <row r="1416" spans="25:25" x14ac:dyDescent="0.2">
      <c r="Y1416" s="18"/>
    </row>
    <row r="1417" spans="25:25" x14ac:dyDescent="0.2">
      <c r="Y1417" s="18"/>
    </row>
    <row r="1418" spans="25:25" x14ac:dyDescent="0.2">
      <c r="Y1418" s="18"/>
    </row>
    <row r="1419" spans="25:25" x14ac:dyDescent="0.2">
      <c r="Y1419" s="18"/>
    </row>
    <row r="1420" spans="25:25" x14ac:dyDescent="0.2">
      <c r="Y1420" s="18"/>
    </row>
    <row r="1421" spans="25:25" x14ac:dyDescent="0.2">
      <c r="Y1421" s="18"/>
    </row>
    <row r="1422" spans="25:25" x14ac:dyDescent="0.2">
      <c r="Y1422" s="18"/>
    </row>
    <row r="1423" spans="25:25" x14ac:dyDescent="0.2">
      <c r="Y1423" s="18"/>
    </row>
    <row r="1424" spans="25:25" x14ac:dyDescent="0.2">
      <c r="Y1424" s="18"/>
    </row>
    <row r="1425" spans="25:25" x14ac:dyDescent="0.2">
      <c r="Y1425" s="18"/>
    </row>
    <row r="1426" spans="25:25" x14ac:dyDescent="0.2">
      <c r="Y1426" s="18"/>
    </row>
    <row r="1427" spans="25:25" x14ac:dyDescent="0.2">
      <c r="Y1427" s="18"/>
    </row>
    <row r="1428" spans="25:25" x14ac:dyDescent="0.2">
      <c r="Y1428" s="18"/>
    </row>
    <row r="1429" spans="25:25" x14ac:dyDescent="0.2">
      <c r="Y1429" s="18"/>
    </row>
    <row r="1430" spans="25:25" x14ac:dyDescent="0.2">
      <c r="Y1430" s="18"/>
    </row>
    <row r="1431" spans="25:25" x14ac:dyDescent="0.2">
      <c r="Y1431" s="18"/>
    </row>
    <row r="1432" spans="25:25" x14ac:dyDescent="0.2">
      <c r="Y1432" s="18"/>
    </row>
    <row r="1433" spans="25:25" x14ac:dyDescent="0.2">
      <c r="Y1433" s="18"/>
    </row>
    <row r="1434" spans="25:25" x14ac:dyDescent="0.2">
      <c r="Y1434" s="18"/>
    </row>
    <row r="1435" spans="25:25" x14ac:dyDescent="0.2">
      <c r="Y1435" s="18"/>
    </row>
    <row r="1436" spans="25:25" x14ac:dyDescent="0.2">
      <c r="Y1436" s="18"/>
    </row>
    <row r="1437" spans="25:25" x14ac:dyDescent="0.2">
      <c r="Y1437" s="18"/>
    </row>
    <row r="1438" spans="25:25" x14ac:dyDescent="0.2">
      <c r="Y1438" s="18"/>
    </row>
    <row r="1439" spans="25:25" x14ac:dyDescent="0.2">
      <c r="Y1439" s="18"/>
    </row>
    <row r="1440" spans="25:25" x14ac:dyDescent="0.2">
      <c r="Y1440" s="18"/>
    </row>
    <row r="1441" spans="25:25" x14ac:dyDescent="0.2">
      <c r="Y1441" s="18"/>
    </row>
    <row r="1442" spans="25:25" x14ac:dyDescent="0.2">
      <c r="Y1442" s="18"/>
    </row>
    <row r="1443" spans="25:25" x14ac:dyDescent="0.2">
      <c r="Y1443" s="18"/>
    </row>
    <row r="1444" spans="25:25" x14ac:dyDescent="0.2">
      <c r="Y1444" s="18"/>
    </row>
    <row r="1445" spans="25:25" x14ac:dyDescent="0.2">
      <c r="Y1445" s="18"/>
    </row>
    <row r="1446" spans="25:25" x14ac:dyDescent="0.2">
      <c r="Y1446" s="18"/>
    </row>
    <row r="1447" spans="25:25" x14ac:dyDescent="0.2">
      <c r="Y1447" s="18"/>
    </row>
    <row r="1448" spans="25:25" x14ac:dyDescent="0.2">
      <c r="Y1448" s="18"/>
    </row>
    <row r="1449" spans="25:25" x14ac:dyDescent="0.2">
      <c r="Y1449" s="18"/>
    </row>
    <row r="1450" spans="25:25" x14ac:dyDescent="0.2">
      <c r="Y1450" s="18"/>
    </row>
    <row r="1451" spans="25:25" x14ac:dyDescent="0.2">
      <c r="Y1451" s="18"/>
    </row>
    <row r="1452" spans="25:25" x14ac:dyDescent="0.2">
      <c r="Y1452" s="18"/>
    </row>
    <row r="1453" spans="25:25" x14ac:dyDescent="0.2">
      <c r="Y1453" s="18"/>
    </row>
    <row r="1454" spans="25:25" x14ac:dyDescent="0.2">
      <c r="Y1454" s="18"/>
    </row>
    <row r="1455" spans="25:25" x14ac:dyDescent="0.2">
      <c r="Y1455" s="18"/>
    </row>
    <row r="1456" spans="25:25" x14ac:dyDescent="0.2">
      <c r="Y1456" s="18"/>
    </row>
    <row r="1457" spans="25:25" x14ac:dyDescent="0.2">
      <c r="Y1457" s="18"/>
    </row>
    <row r="1458" spans="25:25" x14ac:dyDescent="0.2">
      <c r="Y1458" s="18"/>
    </row>
    <row r="1459" spans="25:25" x14ac:dyDescent="0.2">
      <c r="Y1459" s="18"/>
    </row>
    <row r="1460" spans="25:25" x14ac:dyDescent="0.2">
      <c r="Y1460" s="18"/>
    </row>
    <row r="1461" spans="25:25" x14ac:dyDescent="0.2">
      <c r="Y1461" s="18"/>
    </row>
    <row r="1462" spans="25:25" x14ac:dyDescent="0.2">
      <c r="Y1462" s="18"/>
    </row>
    <row r="1463" spans="25:25" x14ac:dyDescent="0.2">
      <c r="Y1463" s="18"/>
    </row>
    <row r="1464" spans="25:25" x14ac:dyDescent="0.2">
      <c r="Y1464" s="18"/>
    </row>
    <row r="1465" spans="25:25" x14ac:dyDescent="0.2">
      <c r="Y1465" s="18"/>
    </row>
    <row r="1466" spans="25:25" x14ac:dyDescent="0.2">
      <c r="Y1466" s="18"/>
    </row>
    <row r="1467" spans="25:25" x14ac:dyDescent="0.2">
      <c r="Y1467" s="18"/>
    </row>
    <row r="1468" spans="25:25" x14ac:dyDescent="0.2">
      <c r="Y1468" s="18"/>
    </row>
    <row r="1469" spans="25:25" x14ac:dyDescent="0.2">
      <c r="Y1469" s="18"/>
    </row>
    <row r="1470" spans="25:25" x14ac:dyDescent="0.2">
      <c r="Y1470" s="18"/>
    </row>
    <row r="1471" spans="25:25" x14ac:dyDescent="0.2">
      <c r="Y1471" s="18"/>
    </row>
    <row r="1472" spans="25:25" x14ac:dyDescent="0.2">
      <c r="Y1472" s="18"/>
    </row>
    <row r="1473" spans="25:25" x14ac:dyDescent="0.2">
      <c r="Y1473" s="18"/>
    </row>
    <row r="1474" spans="25:25" x14ac:dyDescent="0.2">
      <c r="Y1474" s="18"/>
    </row>
    <row r="1475" spans="25:25" x14ac:dyDescent="0.2">
      <c r="Y1475" s="18"/>
    </row>
    <row r="1476" spans="25:25" x14ac:dyDescent="0.2">
      <c r="Y1476" s="18"/>
    </row>
    <row r="1477" spans="25:25" x14ac:dyDescent="0.2">
      <c r="Y1477" s="18"/>
    </row>
    <row r="1478" spans="25:25" x14ac:dyDescent="0.2">
      <c r="Y1478" s="18"/>
    </row>
    <row r="1479" spans="25:25" x14ac:dyDescent="0.2">
      <c r="Y1479" s="18"/>
    </row>
    <row r="1480" spans="25:25" x14ac:dyDescent="0.2">
      <c r="Y1480" s="18"/>
    </row>
    <row r="1481" spans="25:25" x14ac:dyDescent="0.2">
      <c r="Y1481" s="18"/>
    </row>
    <row r="1482" spans="25:25" x14ac:dyDescent="0.2">
      <c r="Y1482" s="18"/>
    </row>
    <row r="1483" spans="25:25" x14ac:dyDescent="0.2">
      <c r="Y1483" s="18"/>
    </row>
    <row r="1484" spans="25:25" x14ac:dyDescent="0.2">
      <c r="Y1484" s="18"/>
    </row>
    <row r="1485" spans="25:25" x14ac:dyDescent="0.2">
      <c r="Y1485" s="18"/>
    </row>
    <row r="1486" spans="25:25" x14ac:dyDescent="0.2">
      <c r="Y1486" s="18"/>
    </row>
    <row r="1487" spans="25:25" x14ac:dyDescent="0.2">
      <c r="Y1487" s="18"/>
    </row>
    <row r="1488" spans="25:25" x14ac:dyDescent="0.2">
      <c r="Y1488" s="18"/>
    </row>
    <row r="1489" spans="25:25" x14ac:dyDescent="0.2">
      <c r="Y1489" s="18"/>
    </row>
    <row r="1490" spans="25:25" x14ac:dyDescent="0.2">
      <c r="Y1490" s="18"/>
    </row>
    <row r="1491" spans="25:25" x14ac:dyDescent="0.2">
      <c r="Y1491" s="18"/>
    </row>
    <row r="1492" spans="25:25" x14ac:dyDescent="0.2">
      <c r="Y1492" s="18"/>
    </row>
    <row r="1493" spans="25:25" x14ac:dyDescent="0.2">
      <c r="Y1493" s="18"/>
    </row>
    <row r="1494" spans="25:25" x14ac:dyDescent="0.2">
      <c r="Y1494" s="18"/>
    </row>
    <row r="1495" spans="25:25" x14ac:dyDescent="0.2">
      <c r="Y1495" s="18"/>
    </row>
    <row r="1496" spans="25:25" x14ac:dyDescent="0.2">
      <c r="Y1496" s="18"/>
    </row>
    <row r="1497" spans="25:25" x14ac:dyDescent="0.2">
      <c r="Y1497" s="18"/>
    </row>
    <row r="1498" spans="25:25" x14ac:dyDescent="0.2">
      <c r="Y1498" s="18"/>
    </row>
    <row r="1499" spans="25:25" x14ac:dyDescent="0.2">
      <c r="Y1499" s="18"/>
    </row>
    <row r="1500" spans="25:25" x14ac:dyDescent="0.2">
      <c r="Y1500" s="18"/>
    </row>
    <row r="1501" spans="25:25" x14ac:dyDescent="0.2">
      <c r="Y1501" s="18"/>
    </row>
    <row r="1502" spans="25:25" x14ac:dyDescent="0.2">
      <c r="Y1502" s="18"/>
    </row>
    <row r="1503" spans="25:25" x14ac:dyDescent="0.2">
      <c r="Y1503" s="18"/>
    </row>
    <row r="1504" spans="25:25" x14ac:dyDescent="0.2">
      <c r="Y1504" s="18"/>
    </row>
    <row r="1505" spans="25:25" x14ac:dyDescent="0.2">
      <c r="Y1505" s="18"/>
    </row>
    <row r="1506" spans="25:25" x14ac:dyDescent="0.2">
      <c r="Y1506" s="18"/>
    </row>
    <row r="1507" spans="25:25" x14ac:dyDescent="0.2">
      <c r="Y1507" s="18"/>
    </row>
    <row r="1508" spans="25:25" x14ac:dyDescent="0.2">
      <c r="Y1508" s="18"/>
    </row>
    <row r="1509" spans="25:25" x14ac:dyDescent="0.2">
      <c r="Y1509" s="18"/>
    </row>
    <row r="1510" spans="25:25" x14ac:dyDescent="0.2">
      <c r="Y1510" s="18"/>
    </row>
    <row r="1511" spans="25:25" x14ac:dyDescent="0.2">
      <c r="Y1511" s="18"/>
    </row>
    <row r="1512" spans="25:25" x14ac:dyDescent="0.2">
      <c r="Y1512" s="18"/>
    </row>
    <row r="1513" spans="25:25" x14ac:dyDescent="0.2">
      <c r="Y1513" s="18"/>
    </row>
    <row r="1514" spans="25:25" x14ac:dyDescent="0.2">
      <c r="Y1514" s="18"/>
    </row>
    <row r="1515" spans="25:25" x14ac:dyDescent="0.2">
      <c r="Y1515" s="18"/>
    </row>
    <row r="1516" spans="25:25" x14ac:dyDescent="0.2">
      <c r="Y1516" s="18"/>
    </row>
    <row r="1517" spans="25:25" x14ac:dyDescent="0.2">
      <c r="Y1517" s="18"/>
    </row>
    <row r="1518" spans="25:25" x14ac:dyDescent="0.2">
      <c r="Y1518" s="18"/>
    </row>
    <row r="1519" spans="25:25" x14ac:dyDescent="0.2">
      <c r="Y1519" s="18"/>
    </row>
    <row r="1520" spans="25:25" x14ac:dyDescent="0.2">
      <c r="Y1520" s="18"/>
    </row>
    <row r="1521" spans="25:25" x14ac:dyDescent="0.2">
      <c r="Y1521" s="18"/>
    </row>
    <row r="1522" spans="25:25" x14ac:dyDescent="0.2">
      <c r="Y1522" s="18"/>
    </row>
    <row r="1523" spans="25:25" x14ac:dyDescent="0.2">
      <c r="Y1523" s="18"/>
    </row>
    <row r="1524" spans="25:25" x14ac:dyDescent="0.2">
      <c r="Y1524" s="18"/>
    </row>
    <row r="1525" spans="25:25" x14ac:dyDescent="0.2">
      <c r="Y1525" s="18"/>
    </row>
    <row r="1526" spans="25:25" x14ac:dyDescent="0.2">
      <c r="Y1526" s="18"/>
    </row>
    <row r="1527" spans="25:25" x14ac:dyDescent="0.2">
      <c r="Y1527" s="18"/>
    </row>
    <row r="1528" spans="25:25" x14ac:dyDescent="0.2">
      <c r="Y1528" s="18"/>
    </row>
    <row r="1529" spans="25:25" x14ac:dyDescent="0.2">
      <c r="Y1529" s="18"/>
    </row>
    <row r="1530" spans="25:25" x14ac:dyDescent="0.2">
      <c r="Y1530" s="18"/>
    </row>
    <row r="1531" spans="25:25" x14ac:dyDescent="0.2">
      <c r="Y1531" s="18"/>
    </row>
    <row r="1532" spans="25:25" x14ac:dyDescent="0.2">
      <c r="Y1532" s="18"/>
    </row>
    <row r="1533" spans="25:25" x14ac:dyDescent="0.2">
      <c r="Y1533" s="18"/>
    </row>
    <row r="1534" spans="25:25" x14ac:dyDescent="0.2">
      <c r="Y1534" s="18"/>
    </row>
    <row r="1535" spans="25:25" x14ac:dyDescent="0.2">
      <c r="Y1535" s="18"/>
    </row>
    <row r="1536" spans="25:25" x14ac:dyDescent="0.2">
      <c r="Y1536" s="18"/>
    </row>
    <row r="1537" spans="25:25" x14ac:dyDescent="0.2">
      <c r="Y1537" s="18"/>
    </row>
    <row r="1538" spans="25:25" x14ac:dyDescent="0.2">
      <c r="Y1538" s="18"/>
    </row>
    <row r="1539" spans="25:25" x14ac:dyDescent="0.2">
      <c r="Y1539" s="18"/>
    </row>
    <row r="1540" spans="25:25" x14ac:dyDescent="0.2">
      <c r="Y1540" s="18"/>
    </row>
    <row r="1541" spans="25:25" x14ac:dyDescent="0.2">
      <c r="Y1541" s="18"/>
    </row>
    <row r="1542" spans="25:25" x14ac:dyDescent="0.2">
      <c r="Y1542" s="18"/>
    </row>
    <row r="1543" spans="25:25" x14ac:dyDescent="0.2">
      <c r="Y1543" s="18"/>
    </row>
    <row r="1544" spans="25:25" x14ac:dyDescent="0.2">
      <c r="Y1544" s="18"/>
    </row>
    <row r="1545" spans="25:25" x14ac:dyDescent="0.2">
      <c r="Y1545" s="18"/>
    </row>
    <row r="1546" spans="25:25" x14ac:dyDescent="0.2">
      <c r="Y1546" s="18"/>
    </row>
    <row r="1547" spans="25:25" x14ac:dyDescent="0.2">
      <c r="Y1547" s="18"/>
    </row>
    <row r="1548" spans="25:25" x14ac:dyDescent="0.2">
      <c r="Y1548" s="18"/>
    </row>
    <row r="1549" spans="25:25" x14ac:dyDescent="0.2">
      <c r="Y1549" s="18"/>
    </row>
    <row r="1550" spans="25:25" x14ac:dyDescent="0.2">
      <c r="Y1550" s="18"/>
    </row>
    <row r="1551" spans="25:25" x14ac:dyDescent="0.2">
      <c r="Y1551" s="18"/>
    </row>
    <row r="1552" spans="25:25" x14ac:dyDescent="0.2">
      <c r="Y1552" s="18"/>
    </row>
    <row r="1553" spans="25:25" x14ac:dyDescent="0.2">
      <c r="Y1553" s="18"/>
    </row>
    <row r="1554" spans="25:25" x14ac:dyDescent="0.2">
      <c r="Y1554" s="18"/>
    </row>
    <row r="1555" spans="25:25" x14ac:dyDescent="0.2">
      <c r="Y1555" s="18"/>
    </row>
    <row r="1556" spans="25:25" x14ac:dyDescent="0.2">
      <c r="Y1556" s="18"/>
    </row>
    <row r="1557" spans="25:25" x14ac:dyDescent="0.2">
      <c r="Y1557" s="18"/>
    </row>
    <row r="1558" spans="25:25" x14ac:dyDescent="0.2">
      <c r="Y1558" s="18"/>
    </row>
    <row r="1559" spans="25:25" x14ac:dyDescent="0.2">
      <c r="Y1559" s="18"/>
    </row>
    <row r="1560" spans="25:25" x14ac:dyDescent="0.2">
      <c r="Y1560" s="18"/>
    </row>
    <row r="1561" spans="25:25" x14ac:dyDescent="0.2">
      <c r="Y1561" s="18"/>
    </row>
    <row r="1562" spans="25:25" x14ac:dyDescent="0.2">
      <c r="Y1562" s="18"/>
    </row>
    <row r="1563" spans="25:25" x14ac:dyDescent="0.2">
      <c r="Y1563" s="18"/>
    </row>
    <row r="1564" spans="25:25" x14ac:dyDescent="0.2">
      <c r="Y1564" s="18"/>
    </row>
    <row r="1565" spans="25:25" x14ac:dyDescent="0.2">
      <c r="Y1565" s="18"/>
    </row>
    <row r="1566" spans="25:25" x14ac:dyDescent="0.2">
      <c r="Y1566" s="18"/>
    </row>
    <row r="1567" spans="25:25" x14ac:dyDescent="0.2">
      <c r="Y1567" s="18"/>
    </row>
    <row r="1568" spans="25:25" x14ac:dyDescent="0.2">
      <c r="Y1568" s="18"/>
    </row>
    <row r="1569" spans="25:25" x14ac:dyDescent="0.2">
      <c r="Y1569" s="18"/>
    </row>
    <row r="1570" spans="25:25" x14ac:dyDescent="0.2">
      <c r="Y1570" s="18"/>
    </row>
    <row r="1571" spans="25:25" x14ac:dyDescent="0.2">
      <c r="Y1571" s="18"/>
    </row>
    <row r="1572" spans="25:25" x14ac:dyDescent="0.2">
      <c r="Y1572" s="18"/>
    </row>
    <row r="1573" spans="25:25" x14ac:dyDescent="0.2">
      <c r="Y1573" s="18"/>
    </row>
    <row r="1574" spans="25:25" x14ac:dyDescent="0.2">
      <c r="Y1574" s="18"/>
    </row>
    <row r="1575" spans="25:25" x14ac:dyDescent="0.2">
      <c r="Y1575" s="18"/>
    </row>
    <row r="1576" spans="25:25" x14ac:dyDescent="0.2">
      <c r="Y1576" s="18"/>
    </row>
    <row r="1577" spans="25:25" x14ac:dyDescent="0.2">
      <c r="Y1577" s="18"/>
    </row>
    <row r="1578" spans="25:25" x14ac:dyDescent="0.2">
      <c r="Y1578" s="18"/>
    </row>
    <row r="1579" spans="25:25" x14ac:dyDescent="0.2">
      <c r="Y1579" s="18"/>
    </row>
    <row r="1580" spans="25:25" x14ac:dyDescent="0.2">
      <c r="Y1580" s="18"/>
    </row>
    <row r="1581" spans="25:25" x14ac:dyDescent="0.2">
      <c r="Y1581" s="18"/>
    </row>
    <row r="1582" spans="25:25" x14ac:dyDescent="0.2">
      <c r="Y1582" s="18"/>
    </row>
    <row r="1583" spans="25:25" x14ac:dyDescent="0.2">
      <c r="Y1583" s="18"/>
    </row>
    <row r="1584" spans="25:25" x14ac:dyDescent="0.2">
      <c r="Y1584" s="18"/>
    </row>
    <row r="1585" spans="25:25" x14ac:dyDescent="0.2">
      <c r="Y1585" s="18"/>
    </row>
    <row r="1586" spans="25:25" x14ac:dyDescent="0.2">
      <c r="Y1586" s="18"/>
    </row>
    <row r="1587" spans="25:25" x14ac:dyDescent="0.2">
      <c r="Y1587" s="18"/>
    </row>
    <row r="1588" spans="25:25" x14ac:dyDescent="0.2">
      <c r="Y1588" s="18"/>
    </row>
    <row r="1589" spans="25:25" x14ac:dyDescent="0.2">
      <c r="Y1589" s="18"/>
    </row>
    <row r="1590" spans="25:25" x14ac:dyDescent="0.2">
      <c r="Y1590" s="18"/>
    </row>
    <row r="1591" spans="25:25" x14ac:dyDescent="0.2">
      <c r="Y1591" s="18"/>
    </row>
    <row r="1592" spans="25:25" x14ac:dyDescent="0.2">
      <c r="Y1592" s="18"/>
    </row>
    <row r="1593" spans="25:25" x14ac:dyDescent="0.2">
      <c r="Y1593" s="18"/>
    </row>
    <row r="1594" spans="25:25" x14ac:dyDescent="0.2">
      <c r="Y1594" s="18"/>
    </row>
    <row r="1595" spans="25:25" x14ac:dyDescent="0.2">
      <c r="Y1595" s="18"/>
    </row>
    <row r="1596" spans="25:25" x14ac:dyDescent="0.2">
      <c r="Y1596" s="18"/>
    </row>
    <row r="1597" spans="25:25" x14ac:dyDescent="0.2">
      <c r="Y1597" s="18"/>
    </row>
    <row r="1598" spans="25:25" x14ac:dyDescent="0.2">
      <c r="Y1598" s="18"/>
    </row>
    <row r="1599" spans="25:25" x14ac:dyDescent="0.2">
      <c r="Y1599" s="18"/>
    </row>
    <row r="1600" spans="25:25" x14ac:dyDescent="0.2">
      <c r="Y1600" s="18"/>
    </row>
    <row r="1601" spans="25:25" x14ac:dyDescent="0.2">
      <c r="Y1601" s="18"/>
    </row>
    <row r="1602" spans="25:25" x14ac:dyDescent="0.2">
      <c r="Y1602" s="18"/>
    </row>
    <row r="1603" spans="25:25" x14ac:dyDescent="0.2">
      <c r="Y1603" s="18"/>
    </row>
    <row r="1604" spans="25:25" x14ac:dyDescent="0.2">
      <c r="Y1604" s="18"/>
    </row>
    <row r="1605" spans="25:25" x14ac:dyDescent="0.2">
      <c r="Y1605" s="18"/>
    </row>
    <row r="1606" spans="25:25" x14ac:dyDescent="0.2">
      <c r="Y1606" s="18"/>
    </row>
    <row r="1607" spans="25:25" x14ac:dyDescent="0.2">
      <c r="Y1607" s="18"/>
    </row>
    <row r="1608" spans="25:25" x14ac:dyDescent="0.2">
      <c r="Y1608" s="18"/>
    </row>
    <row r="1609" spans="25:25" x14ac:dyDescent="0.2">
      <c r="Y1609" s="18"/>
    </row>
    <row r="1610" spans="25:25" x14ac:dyDescent="0.2">
      <c r="Y1610" s="18"/>
    </row>
    <row r="1611" spans="25:25" x14ac:dyDescent="0.2">
      <c r="Y1611" s="18"/>
    </row>
    <row r="1612" spans="25:25" x14ac:dyDescent="0.2">
      <c r="Y1612" s="18"/>
    </row>
    <row r="1613" spans="25:25" x14ac:dyDescent="0.2">
      <c r="Y1613" s="18"/>
    </row>
    <row r="1614" spans="25:25" x14ac:dyDescent="0.2">
      <c r="Y1614" s="18"/>
    </row>
    <row r="1615" spans="25:25" x14ac:dyDescent="0.2">
      <c r="Y1615" s="18"/>
    </row>
    <row r="1616" spans="25:25" x14ac:dyDescent="0.2">
      <c r="Y1616" s="18"/>
    </row>
    <row r="1617" spans="25:25" x14ac:dyDescent="0.2">
      <c r="Y1617" s="18"/>
    </row>
    <row r="1618" spans="25:25" x14ac:dyDescent="0.2">
      <c r="Y1618" s="18"/>
    </row>
    <row r="1619" spans="25:25" x14ac:dyDescent="0.2">
      <c r="Y1619" s="18"/>
    </row>
    <row r="1620" spans="25:25" x14ac:dyDescent="0.2">
      <c r="Y1620" s="18"/>
    </row>
    <row r="1621" spans="25:25" x14ac:dyDescent="0.2">
      <c r="Y1621" s="18"/>
    </row>
    <row r="1622" spans="25:25" x14ac:dyDescent="0.2">
      <c r="Y1622" s="18"/>
    </row>
    <row r="1623" spans="25:25" x14ac:dyDescent="0.2">
      <c r="Y1623" s="18"/>
    </row>
    <row r="1624" spans="25:25" x14ac:dyDescent="0.2">
      <c r="Y1624" s="18"/>
    </row>
    <row r="1625" spans="25:25" x14ac:dyDescent="0.2">
      <c r="Y1625" s="18"/>
    </row>
    <row r="1626" spans="25:25" x14ac:dyDescent="0.2">
      <c r="Y1626" s="18"/>
    </row>
    <row r="1627" spans="25:25" x14ac:dyDescent="0.2">
      <c r="Y1627" s="18"/>
    </row>
    <row r="1628" spans="25:25" x14ac:dyDescent="0.2">
      <c r="Y1628" s="18"/>
    </row>
    <row r="1629" spans="25:25" x14ac:dyDescent="0.2">
      <c r="Y1629" s="18"/>
    </row>
    <row r="1630" spans="25:25" x14ac:dyDescent="0.2">
      <c r="Y1630" s="18"/>
    </row>
    <row r="1631" spans="25:25" x14ac:dyDescent="0.2">
      <c r="Y1631" s="18"/>
    </row>
    <row r="1632" spans="25:25" x14ac:dyDescent="0.2">
      <c r="Y1632" s="18"/>
    </row>
    <row r="1633" spans="25:25" x14ac:dyDescent="0.2">
      <c r="Y1633" s="18"/>
    </row>
    <row r="1634" spans="25:25" x14ac:dyDescent="0.2">
      <c r="Y1634" s="18"/>
    </row>
    <row r="1635" spans="25:25" x14ac:dyDescent="0.2">
      <c r="Y1635" s="18"/>
    </row>
    <row r="1636" spans="25:25" x14ac:dyDescent="0.2">
      <c r="Y1636" s="18"/>
    </row>
    <row r="1637" spans="25:25" x14ac:dyDescent="0.2">
      <c r="Y1637" s="18"/>
    </row>
    <row r="1638" spans="25:25" x14ac:dyDescent="0.2">
      <c r="Y1638" s="18"/>
    </row>
    <row r="1639" spans="25:25" x14ac:dyDescent="0.2">
      <c r="Y1639" s="18"/>
    </row>
    <row r="1640" spans="25:25" x14ac:dyDescent="0.2">
      <c r="Y1640" s="18"/>
    </row>
    <row r="1641" spans="25:25" x14ac:dyDescent="0.2">
      <c r="Y1641" s="18"/>
    </row>
    <row r="1642" spans="25:25" x14ac:dyDescent="0.2">
      <c r="Y1642" s="18"/>
    </row>
    <row r="1643" spans="25:25" x14ac:dyDescent="0.2">
      <c r="Y1643" s="18"/>
    </row>
    <row r="1644" spans="25:25" x14ac:dyDescent="0.2">
      <c r="Y1644" s="18"/>
    </row>
    <row r="1645" spans="25:25" x14ac:dyDescent="0.2">
      <c r="Y1645" s="18"/>
    </row>
    <row r="1646" spans="25:25" x14ac:dyDescent="0.2">
      <c r="Y1646" s="18"/>
    </row>
    <row r="1647" spans="25:25" x14ac:dyDescent="0.2">
      <c r="Y1647" s="18"/>
    </row>
    <row r="1648" spans="25:25" x14ac:dyDescent="0.2">
      <c r="Y1648" s="18"/>
    </row>
    <row r="1649" spans="25:25" x14ac:dyDescent="0.2">
      <c r="Y1649" s="18"/>
    </row>
    <row r="1650" spans="25:25" x14ac:dyDescent="0.2">
      <c r="Y1650" s="18"/>
    </row>
    <row r="1651" spans="25:25" x14ac:dyDescent="0.2">
      <c r="Y1651" s="18"/>
    </row>
    <row r="1652" spans="25:25" x14ac:dyDescent="0.2">
      <c r="Y1652" s="18"/>
    </row>
    <row r="1653" spans="25:25" x14ac:dyDescent="0.2">
      <c r="Y1653" s="18"/>
    </row>
    <row r="1654" spans="25:25" x14ac:dyDescent="0.2">
      <c r="Y1654" s="18"/>
    </row>
    <row r="1655" spans="25:25" x14ac:dyDescent="0.2">
      <c r="Y1655" s="18"/>
    </row>
    <row r="1656" spans="25:25" x14ac:dyDescent="0.2">
      <c r="Y1656" s="18"/>
    </row>
    <row r="1657" spans="25:25" x14ac:dyDescent="0.2">
      <c r="Y1657" s="18"/>
    </row>
    <row r="1658" spans="25:25" x14ac:dyDescent="0.2">
      <c r="Y1658" s="18"/>
    </row>
    <row r="1659" spans="25:25" x14ac:dyDescent="0.2">
      <c r="Y1659" s="18"/>
    </row>
    <row r="1660" spans="25:25" x14ac:dyDescent="0.2">
      <c r="Y1660" s="18"/>
    </row>
    <row r="1661" spans="25:25" x14ac:dyDescent="0.2">
      <c r="Y1661" s="18"/>
    </row>
    <row r="1662" spans="25:25" x14ac:dyDescent="0.2">
      <c r="Y1662" s="18"/>
    </row>
    <row r="1663" spans="25:25" x14ac:dyDescent="0.2">
      <c r="Y1663" s="18"/>
    </row>
    <row r="1664" spans="25:25" x14ac:dyDescent="0.2">
      <c r="Y1664" s="18"/>
    </row>
    <row r="1665" spans="25:25" x14ac:dyDescent="0.2">
      <c r="Y1665" s="18"/>
    </row>
    <row r="1666" spans="25:25" x14ac:dyDescent="0.2">
      <c r="Y1666" s="18"/>
    </row>
    <row r="1667" spans="25:25" x14ac:dyDescent="0.2">
      <c r="Y1667" s="18"/>
    </row>
    <row r="1668" spans="25:25" x14ac:dyDescent="0.2">
      <c r="Y1668" s="18"/>
    </row>
    <row r="1669" spans="25:25" x14ac:dyDescent="0.2">
      <c r="Y1669" s="18"/>
    </row>
    <row r="1670" spans="25:25" x14ac:dyDescent="0.2">
      <c r="Y1670" s="18"/>
    </row>
    <row r="1671" spans="25:25" x14ac:dyDescent="0.2">
      <c r="Y1671" s="18"/>
    </row>
    <row r="1672" spans="25:25" x14ac:dyDescent="0.2">
      <c r="Y1672" s="18"/>
    </row>
    <row r="1673" spans="25:25" x14ac:dyDescent="0.2">
      <c r="Y1673" s="18"/>
    </row>
    <row r="1674" spans="25:25" x14ac:dyDescent="0.2">
      <c r="Y1674" s="18"/>
    </row>
    <row r="1675" spans="25:25" x14ac:dyDescent="0.2">
      <c r="Y1675" s="18"/>
    </row>
    <row r="1676" spans="25:25" x14ac:dyDescent="0.2">
      <c r="Y1676" s="18"/>
    </row>
    <row r="1677" spans="25:25" x14ac:dyDescent="0.2">
      <c r="Y1677" s="18"/>
    </row>
    <row r="1678" spans="25:25" x14ac:dyDescent="0.2">
      <c r="Y1678" s="18"/>
    </row>
    <row r="1679" spans="25:25" x14ac:dyDescent="0.2">
      <c r="Y1679" s="18"/>
    </row>
    <row r="1680" spans="25:25" x14ac:dyDescent="0.2">
      <c r="Y1680" s="18"/>
    </row>
    <row r="1681" spans="25:25" x14ac:dyDescent="0.2">
      <c r="Y1681" s="18"/>
    </row>
    <row r="1682" spans="25:25" x14ac:dyDescent="0.2">
      <c r="Y1682" s="18"/>
    </row>
    <row r="1683" spans="25:25" x14ac:dyDescent="0.2">
      <c r="Y1683" s="18"/>
    </row>
    <row r="1684" spans="25:25" x14ac:dyDescent="0.2">
      <c r="Y1684" s="18"/>
    </row>
    <row r="1685" spans="25:25" x14ac:dyDescent="0.2">
      <c r="Y1685" s="18"/>
    </row>
    <row r="1686" spans="25:25" x14ac:dyDescent="0.2">
      <c r="Y1686" s="18"/>
    </row>
    <row r="1687" spans="25:25" x14ac:dyDescent="0.2">
      <c r="Y1687" s="18"/>
    </row>
    <row r="1688" spans="25:25" x14ac:dyDescent="0.2">
      <c r="Y1688" s="18"/>
    </row>
    <row r="1689" spans="25:25" x14ac:dyDescent="0.2">
      <c r="Y1689" s="18"/>
    </row>
    <row r="1690" spans="25:25" x14ac:dyDescent="0.2">
      <c r="Y1690" s="18"/>
    </row>
    <row r="1691" spans="25:25" x14ac:dyDescent="0.2">
      <c r="Y1691" s="18"/>
    </row>
    <row r="1692" spans="25:25" x14ac:dyDescent="0.2">
      <c r="Y1692" s="18"/>
    </row>
    <row r="1693" spans="25:25" x14ac:dyDescent="0.2">
      <c r="Y1693" s="18"/>
    </row>
    <row r="1694" spans="25:25" x14ac:dyDescent="0.2">
      <c r="Y1694" s="18"/>
    </row>
    <row r="1695" spans="25:25" x14ac:dyDescent="0.2">
      <c r="Y1695" s="18"/>
    </row>
    <row r="1696" spans="25:25" x14ac:dyDescent="0.2">
      <c r="Y1696" s="18"/>
    </row>
    <row r="1697" spans="25:25" x14ac:dyDescent="0.2">
      <c r="Y1697" s="18"/>
    </row>
    <row r="1698" spans="25:25" x14ac:dyDescent="0.2">
      <c r="Y1698" s="18"/>
    </row>
    <row r="1699" spans="25:25" x14ac:dyDescent="0.2">
      <c r="Y1699" s="18"/>
    </row>
    <row r="1700" spans="25:25" x14ac:dyDescent="0.2">
      <c r="Y1700" s="18"/>
    </row>
    <row r="1701" spans="25:25" x14ac:dyDescent="0.2">
      <c r="Y1701" s="18"/>
    </row>
    <row r="1702" spans="25:25" x14ac:dyDescent="0.2">
      <c r="Y1702" s="18"/>
    </row>
    <row r="1703" spans="25:25" x14ac:dyDescent="0.2">
      <c r="Y1703" s="18"/>
    </row>
    <row r="1704" spans="25:25" x14ac:dyDescent="0.2">
      <c r="Y1704" s="18"/>
    </row>
    <row r="1705" spans="25:25" x14ac:dyDescent="0.2">
      <c r="Y1705" s="18"/>
    </row>
    <row r="1706" spans="25:25" x14ac:dyDescent="0.2">
      <c r="Y1706" s="18"/>
    </row>
    <row r="1707" spans="25:25" x14ac:dyDescent="0.2">
      <c r="Y1707" s="18"/>
    </row>
    <row r="1708" spans="25:25" x14ac:dyDescent="0.2">
      <c r="Y1708" s="18"/>
    </row>
    <row r="1709" spans="25:25" x14ac:dyDescent="0.2">
      <c r="Y1709" s="18"/>
    </row>
    <row r="1710" spans="25:25" x14ac:dyDescent="0.2">
      <c r="Y1710" s="18"/>
    </row>
    <row r="1711" spans="25:25" x14ac:dyDescent="0.2">
      <c r="Y1711" s="18"/>
    </row>
    <row r="1712" spans="25:25" x14ac:dyDescent="0.2">
      <c r="Y1712" s="18"/>
    </row>
    <row r="1713" spans="25:25" x14ac:dyDescent="0.2">
      <c r="Y1713" s="18"/>
    </row>
    <row r="1714" spans="25:25" x14ac:dyDescent="0.2">
      <c r="Y1714" s="18"/>
    </row>
    <row r="1715" spans="25:25" x14ac:dyDescent="0.2">
      <c r="Y1715" s="18"/>
    </row>
    <row r="1716" spans="25:25" x14ac:dyDescent="0.2">
      <c r="Y1716" s="18"/>
    </row>
    <row r="1717" spans="25:25" x14ac:dyDescent="0.2">
      <c r="Y1717" s="18"/>
    </row>
    <row r="1718" spans="25:25" x14ac:dyDescent="0.2">
      <c r="Y1718" s="18"/>
    </row>
    <row r="1719" spans="25:25" x14ac:dyDescent="0.2">
      <c r="Y1719" s="18"/>
    </row>
    <row r="1720" spans="25:25" x14ac:dyDescent="0.2">
      <c r="Y1720" s="18"/>
    </row>
    <row r="1721" spans="25:25" x14ac:dyDescent="0.2">
      <c r="Y1721" s="18"/>
    </row>
    <row r="1722" spans="25:25" x14ac:dyDescent="0.2">
      <c r="Y1722" s="18"/>
    </row>
    <row r="1723" spans="25:25" x14ac:dyDescent="0.2">
      <c r="Y1723" s="18"/>
    </row>
    <row r="1724" spans="25:25" x14ac:dyDescent="0.2">
      <c r="Y1724" s="18"/>
    </row>
    <row r="1725" spans="25:25" x14ac:dyDescent="0.2">
      <c r="Y1725" s="18"/>
    </row>
    <row r="1726" spans="25:25" x14ac:dyDescent="0.2">
      <c r="Y1726" s="18"/>
    </row>
    <row r="1727" spans="25:25" x14ac:dyDescent="0.2">
      <c r="Y1727" s="18"/>
    </row>
    <row r="1728" spans="25:25" x14ac:dyDescent="0.2">
      <c r="Y1728" s="18"/>
    </row>
    <row r="1729" spans="25:25" x14ac:dyDescent="0.2">
      <c r="Y1729" s="18"/>
    </row>
    <row r="1730" spans="25:25" x14ac:dyDescent="0.2">
      <c r="Y1730" s="18"/>
    </row>
    <row r="1731" spans="25:25" x14ac:dyDescent="0.2">
      <c r="Y1731" s="18"/>
    </row>
    <row r="1732" spans="25:25" x14ac:dyDescent="0.2">
      <c r="Y1732" s="18"/>
    </row>
    <row r="1733" spans="25:25" x14ac:dyDescent="0.2">
      <c r="Y1733" s="18"/>
    </row>
    <row r="1734" spans="25:25" x14ac:dyDescent="0.2">
      <c r="Y1734" s="18"/>
    </row>
    <row r="1735" spans="25:25" x14ac:dyDescent="0.2">
      <c r="Y1735" s="18"/>
    </row>
    <row r="1736" spans="25:25" x14ac:dyDescent="0.2">
      <c r="Y1736" s="18"/>
    </row>
    <row r="1737" spans="25:25" x14ac:dyDescent="0.2">
      <c r="Y1737" s="18"/>
    </row>
    <row r="1738" spans="25:25" x14ac:dyDescent="0.2">
      <c r="Y1738" s="18"/>
    </row>
    <row r="1739" spans="25:25" x14ac:dyDescent="0.2">
      <c r="Y1739" s="18"/>
    </row>
    <row r="1740" spans="25:25" x14ac:dyDescent="0.2">
      <c r="Y1740" s="18"/>
    </row>
    <row r="1741" spans="25:25" x14ac:dyDescent="0.2">
      <c r="Y1741" s="18"/>
    </row>
    <row r="1742" spans="25:25" x14ac:dyDescent="0.2">
      <c r="Y1742" s="18"/>
    </row>
    <row r="1743" spans="25:25" x14ac:dyDescent="0.2">
      <c r="Y1743" s="18"/>
    </row>
    <row r="1744" spans="25:25" x14ac:dyDescent="0.2">
      <c r="Y1744" s="18"/>
    </row>
    <row r="1745" spans="25:25" x14ac:dyDescent="0.2">
      <c r="Y1745" s="18"/>
    </row>
    <row r="1746" spans="25:25" x14ac:dyDescent="0.2">
      <c r="Y1746" s="18"/>
    </row>
    <row r="1747" spans="25:25" x14ac:dyDescent="0.2">
      <c r="Y1747" s="18"/>
    </row>
    <row r="1748" spans="25:25" x14ac:dyDescent="0.2">
      <c r="Y1748" s="18"/>
    </row>
    <row r="1749" spans="25:25" x14ac:dyDescent="0.2">
      <c r="Y1749" s="18"/>
    </row>
    <row r="1750" spans="25:25" x14ac:dyDescent="0.2">
      <c r="Y1750" s="18"/>
    </row>
    <row r="1751" spans="25:25" x14ac:dyDescent="0.2">
      <c r="Y1751" s="18"/>
    </row>
    <row r="1752" spans="25:25" x14ac:dyDescent="0.2">
      <c r="Y1752" s="18"/>
    </row>
    <row r="1753" spans="25:25" x14ac:dyDescent="0.2">
      <c r="Y1753" s="18"/>
    </row>
    <row r="1754" spans="25:25" x14ac:dyDescent="0.2">
      <c r="Y1754" s="18"/>
    </row>
    <row r="1755" spans="25:25" x14ac:dyDescent="0.2">
      <c r="Y1755" s="18"/>
    </row>
    <row r="1756" spans="25:25" x14ac:dyDescent="0.2">
      <c r="Y1756" s="18"/>
    </row>
    <row r="1757" spans="25:25" x14ac:dyDescent="0.2">
      <c r="Y1757" s="18"/>
    </row>
    <row r="1758" spans="25:25" x14ac:dyDescent="0.2">
      <c r="Y1758" s="18"/>
    </row>
    <row r="1759" spans="25:25" x14ac:dyDescent="0.2">
      <c r="Y1759" s="18"/>
    </row>
    <row r="1760" spans="25:25" x14ac:dyDescent="0.2">
      <c r="Y1760" s="18"/>
    </row>
    <row r="1761" spans="25:25" x14ac:dyDescent="0.2">
      <c r="Y1761" s="18"/>
    </row>
    <row r="1762" spans="25:25" x14ac:dyDescent="0.2">
      <c r="Y1762" s="18"/>
    </row>
    <row r="1763" spans="25:25" x14ac:dyDescent="0.2">
      <c r="Y1763" s="18"/>
    </row>
    <row r="1764" spans="25:25" x14ac:dyDescent="0.2">
      <c r="Y1764" s="18"/>
    </row>
    <row r="1765" spans="25:25" x14ac:dyDescent="0.2">
      <c r="Y1765" s="18"/>
    </row>
    <row r="1766" spans="25:25" x14ac:dyDescent="0.2">
      <c r="Y1766" s="18"/>
    </row>
    <row r="1767" spans="25:25" x14ac:dyDescent="0.2">
      <c r="Y1767" s="18"/>
    </row>
    <row r="1768" spans="25:25" x14ac:dyDescent="0.2">
      <c r="Y1768" s="18"/>
    </row>
    <row r="1769" spans="25:25" x14ac:dyDescent="0.2">
      <c r="Y1769" s="18"/>
    </row>
    <row r="1770" spans="25:25" x14ac:dyDescent="0.2">
      <c r="Y1770" s="18"/>
    </row>
    <row r="1771" spans="25:25" x14ac:dyDescent="0.2">
      <c r="Y1771" s="18"/>
    </row>
    <row r="1772" spans="25:25" x14ac:dyDescent="0.2">
      <c r="Y1772" s="18"/>
    </row>
    <row r="1773" spans="25:25" x14ac:dyDescent="0.2">
      <c r="Y1773" s="18"/>
    </row>
    <row r="1774" spans="25:25" x14ac:dyDescent="0.2">
      <c r="Y1774" s="18"/>
    </row>
    <row r="1775" spans="25:25" x14ac:dyDescent="0.2">
      <c r="Y1775" s="18"/>
    </row>
    <row r="1776" spans="25:25" x14ac:dyDescent="0.2">
      <c r="Y1776" s="18"/>
    </row>
    <row r="1777" spans="25:25" x14ac:dyDescent="0.2">
      <c r="Y1777" s="18"/>
    </row>
    <row r="1778" spans="25:25" x14ac:dyDescent="0.2">
      <c r="Y1778" s="18"/>
    </row>
    <row r="1779" spans="25:25" x14ac:dyDescent="0.2">
      <c r="Y1779" s="18"/>
    </row>
    <row r="1780" spans="25:25" x14ac:dyDescent="0.2">
      <c r="Y1780" s="18"/>
    </row>
    <row r="1781" spans="25:25" x14ac:dyDescent="0.2">
      <c r="Y1781" s="18"/>
    </row>
    <row r="1782" spans="25:25" x14ac:dyDescent="0.2">
      <c r="Y1782" s="18"/>
    </row>
    <row r="1783" spans="25:25" x14ac:dyDescent="0.2">
      <c r="Y1783" s="18"/>
    </row>
    <row r="1784" spans="25:25" x14ac:dyDescent="0.2">
      <c r="Y1784" s="18"/>
    </row>
    <row r="1785" spans="25:25" x14ac:dyDescent="0.2">
      <c r="Y1785" s="18"/>
    </row>
    <row r="1786" spans="25:25" x14ac:dyDescent="0.2">
      <c r="Y1786" s="18"/>
    </row>
    <row r="1787" spans="25:25" x14ac:dyDescent="0.2">
      <c r="Y1787" s="18"/>
    </row>
    <row r="1788" spans="25:25" x14ac:dyDescent="0.2">
      <c r="Y1788" s="18"/>
    </row>
    <row r="1789" spans="25:25" x14ac:dyDescent="0.2">
      <c r="Y1789" s="18"/>
    </row>
    <row r="1790" spans="25:25" x14ac:dyDescent="0.2">
      <c r="Y1790" s="18"/>
    </row>
    <row r="1791" spans="25:25" x14ac:dyDescent="0.2">
      <c r="Y1791" s="18"/>
    </row>
    <row r="1792" spans="25:25" x14ac:dyDescent="0.2">
      <c r="Y1792" s="18"/>
    </row>
    <row r="1793" spans="25:25" x14ac:dyDescent="0.2">
      <c r="Y1793" s="18"/>
    </row>
    <row r="1794" spans="25:25" x14ac:dyDescent="0.2">
      <c r="Y1794" s="18"/>
    </row>
    <row r="1795" spans="25:25" x14ac:dyDescent="0.2">
      <c r="Y1795" s="18"/>
    </row>
    <row r="1796" spans="25:25" x14ac:dyDescent="0.2">
      <c r="Y1796" s="18"/>
    </row>
    <row r="1797" spans="25:25" x14ac:dyDescent="0.2">
      <c r="Y1797" s="18"/>
    </row>
    <row r="1798" spans="25:25" x14ac:dyDescent="0.2">
      <c r="Y1798" s="18"/>
    </row>
    <row r="1799" spans="25:25" x14ac:dyDescent="0.2">
      <c r="Y1799" s="18"/>
    </row>
    <row r="1800" spans="25:25" x14ac:dyDescent="0.2">
      <c r="Y1800" s="18"/>
    </row>
    <row r="1801" spans="25:25" x14ac:dyDescent="0.2">
      <c r="Y1801" s="18"/>
    </row>
    <row r="1802" spans="25:25" x14ac:dyDescent="0.2">
      <c r="Y1802" s="18"/>
    </row>
    <row r="1803" spans="25:25" x14ac:dyDescent="0.2">
      <c r="Y1803" s="18"/>
    </row>
    <row r="1804" spans="25:25" x14ac:dyDescent="0.2">
      <c r="Y1804" s="18"/>
    </row>
    <row r="1805" spans="25:25" x14ac:dyDescent="0.2">
      <c r="Y1805" s="18"/>
    </row>
    <row r="1806" spans="25:25" x14ac:dyDescent="0.2">
      <c r="Y1806" s="18"/>
    </row>
    <row r="1807" spans="25:25" x14ac:dyDescent="0.2">
      <c r="Y1807" s="18"/>
    </row>
    <row r="1808" spans="25:25" x14ac:dyDescent="0.2">
      <c r="Y1808" s="18"/>
    </row>
    <row r="1809" spans="25:25" x14ac:dyDescent="0.2">
      <c r="Y1809" s="18"/>
    </row>
    <row r="1810" spans="25:25" x14ac:dyDescent="0.2">
      <c r="Y1810" s="18"/>
    </row>
    <row r="1811" spans="25:25" x14ac:dyDescent="0.2">
      <c r="Y1811" s="18"/>
    </row>
    <row r="1812" spans="25:25" x14ac:dyDescent="0.2">
      <c r="Y1812" s="18"/>
    </row>
    <row r="1813" spans="25:25" x14ac:dyDescent="0.2">
      <c r="Y1813" s="18"/>
    </row>
    <row r="1814" spans="25:25" x14ac:dyDescent="0.2">
      <c r="Y1814" s="18"/>
    </row>
    <row r="1815" spans="25:25" x14ac:dyDescent="0.2">
      <c r="Y1815" s="18"/>
    </row>
    <row r="1816" spans="25:25" x14ac:dyDescent="0.2">
      <c r="Y1816" s="18"/>
    </row>
    <row r="1817" spans="25:25" x14ac:dyDescent="0.2">
      <c r="Y1817" s="18"/>
    </row>
    <row r="1818" spans="25:25" x14ac:dyDescent="0.2">
      <c r="Y1818" s="18"/>
    </row>
    <row r="1819" spans="25:25" x14ac:dyDescent="0.2">
      <c r="Y1819" s="18"/>
    </row>
    <row r="1820" spans="25:25" x14ac:dyDescent="0.2">
      <c r="Y1820" s="18"/>
    </row>
    <row r="1821" spans="25:25" x14ac:dyDescent="0.2">
      <c r="Y1821" s="18"/>
    </row>
    <row r="1822" spans="25:25" x14ac:dyDescent="0.2">
      <c r="Y1822" s="18"/>
    </row>
    <row r="1823" spans="25:25" x14ac:dyDescent="0.2">
      <c r="Y1823" s="18"/>
    </row>
    <row r="1824" spans="25:25" x14ac:dyDescent="0.2">
      <c r="Y1824" s="18"/>
    </row>
    <row r="1825" spans="25:25" x14ac:dyDescent="0.2">
      <c r="Y1825" s="18"/>
    </row>
    <row r="1826" spans="25:25" x14ac:dyDescent="0.2">
      <c r="Y1826" s="18"/>
    </row>
    <row r="1827" spans="25:25" x14ac:dyDescent="0.2">
      <c r="Y1827" s="18"/>
    </row>
    <row r="1828" spans="25:25" x14ac:dyDescent="0.2">
      <c r="Y1828" s="18"/>
    </row>
    <row r="1829" spans="25:25" x14ac:dyDescent="0.2">
      <c r="Y1829" s="18"/>
    </row>
    <row r="1830" spans="25:25" x14ac:dyDescent="0.2">
      <c r="Y1830" s="18"/>
    </row>
    <row r="1831" spans="25:25" x14ac:dyDescent="0.2">
      <c r="Y1831" s="18"/>
    </row>
    <row r="1832" spans="25:25" x14ac:dyDescent="0.2">
      <c r="Y1832" s="18"/>
    </row>
    <row r="1833" spans="25:25" x14ac:dyDescent="0.2">
      <c r="Y1833" s="18"/>
    </row>
    <row r="1834" spans="25:25" x14ac:dyDescent="0.2">
      <c r="Y1834" s="18"/>
    </row>
    <row r="1835" spans="25:25" x14ac:dyDescent="0.2">
      <c r="Y1835" s="18"/>
    </row>
    <row r="1836" spans="25:25" x14ac:dyDescent="0.2">
      <c r="Y1836" s="18"/>
    </row>
    <row r="1837" spans="25:25" x14ac:dyDescent="0.2">
      <c r="Y1837" s="18"/>
    </row>
    <row r="1838" spans="25:25" x14ac:dyDescent="0.2">
      <c r="Y1838" s="18"/>
    </row>
    <row r="1839" spans="25:25" x14ac:dyDescent="0.2">
      <c r="Y1839" s="18"/>
    </row>
    <row r="1840" spans="25:25" x14ac:dyDescent="0.2">
      <c r="Y1840" s="18"/>
    </row>
    <row r="1841" spans="25:25" x14ac:dyDescent="0.2">
      <c r="Y1841" s="18"/>
    </row>
    <row r="1842" spans="25:25" x14ac:dyDescent="0.2">
      <c r="Y1842" s="18"/>
    </row>
    <row r="1843" spans="25:25" x14ac:dyDescent="0.2">
      <c r="Y1843" s="18"/>
    </row>
    <row r="1844" spans="25:25" x14ac:dyDescent="0.2">
      <c r="Y1844" s="18"/>
    </row>
    <row r="1845" spans="25:25" x14ac:dyDescent="0.2">
      <c r="Y1845" s="18"/>
    </row>
    <row r="1846" spans="25:25" x14ac:dyDescent="0.2">
      <c r="Y1846" s="18"/>
    </row>
    <row r="1847" spans="25:25" x14ac:dyDescent="0.2">
      <c r="Y1847" s="18"/>
    </row>
    <row r="1848" spans="25:25" x14ac:dyDescent="0.2">
      <c r="Y1848" s="18"/>
    </row>
    <row r="1849" spans="25:25" x14ac:dyDescent="0.2">
      <c r="Y1849" s="18"/>
    </row>
    <row r="1850" spans="25:25" x14ac:dyDescent="0.2">
      <c r="Y1850" s="18"/>
    </row>
    <row r="1851" spans="25:25" x14ac:dyDescent="0.2">
      <c r="Y1851" s="18"/>
    </row>
    <row r="1852" spans="25:25" x14ac:dyDescent="0.2">
      <c r="Y1852" s="18"/>
    </row>
    <row r="1853" spans="25:25" x14ac:dyDescent="0.2">
      <c r="Y1853" s="18"/>
    </row>
    <row r="1854" spans="25:25" x14ac:dyDescent="0.2">
      <c r="Y1854" s="18"/>
    </row>
    <row r="1855" spans="25:25" x14ac:dyDescent="0.2">
      <c r="Y1855" s="18"/>
    </row>
    <row r="1856" spans="25:25" x14ac:dyDescent="0.2">
      <c r="Y1856" s="18"/>
    </row>
    <row r="1857" spans="25:25" x14ac:dyDescent="0.2">
      <c r="Y1857" s="18"/>
    </row>
    <row r="1858" spans="25:25" x14ac:dyDescent="0.2">
      <c r="Y1858" s="18"/>
    </row>
    <row r="1859" spans="25:25" x14ac:dyDescent="0.2">
      <c r="Y1859" s="18"/>
    </row>
    <row r="1860" spans="25:25" x14ac:dyDescent="0.2">
      <c r="Y1860" s="18"/>
    </row>
    <row r="1861" spans="25:25" x14ac:dyDescent="0.2">
      <c r="Y1861" s="18"/>
    </row>
    <row r="1862" spans="25:25" x14ac:dyDescent="0.2">
      <c r="Y1862" s="18"/>
    </row>
    <row r="1863" spans="25:25" x14ac:dyDescent="0.2">
      <c r="Y1863" s="18"/>
    </row>
    <row r="1864" spans="25:25" x14ac:dyDescent="0.2">
      <c r="Y1864" s="18"/>
    </row>
    <row r="1865" spans="25:25" x14ac:dyDescent="0.2">
      <c r="Y1865" s="18"/>
    </row>
    <row r="1866" spans="25:25" x14ac:dyDescent="0.2">
      <c r="Y1866" s="18"/>
    </row>
    <row r="1867" spans="25:25" x14ac:dyDescent="0.2">
      <c r="Y1867" s="18"/>
    </row>
    <row r="1868" spans="25:25" x14ac:dyDescent="0.2">
      <c r="Y1868" s="18"/>
    </row>
    <row r="1869" spans="25:25" x14ac:dyDescent="0.2">
      <c r="Y1869" s="18"/>
    </row>
    <row r="1870" spans="25:25" x14ac:dyDescent="0.2">
      <c r="Y1870" s="18"/>
    </row>
    <row r="1871" spans="25:25" x14ac:dyDescent="0.2">
      <c r="Y1871" s="18"/>
    </row>
    <row r="1872" spans="25:25" x14ac:dyDescent="0.2">
      <c r="Y1872" s="18"/>
    </row>
    <row r="1873" spans="25:25" x14ac:dyDescent="0.2">
      <c r="Y1873" s="18"/>
    </row>
    <row r="1874" spans="25:25" x14ac:dyDescent="0.2">
      <c r="Y1874" s="18"/>
    </row>
    <row r="1875" spans="25:25" x14ac:dyDescent="0.2">
      <c r="Y1875" s="18"/>
    </row>
    <row r="1876" spans="25:25" x14ac:dyDescent="0.2">
      <c r="Y1876" s="18"/>
    </row>
    <row r="1877" spans="25:25" x14ac:dyDescent="0.2">
      <c r="Y1877" s="18"/>
    </row>
    <row r="1878" spans="25:25" x14ac:dyDescent="0.2">
      <c r="Y1878" s="18"/>
    </row>
    <row r="1879" spans="25:25" x14ac:dyDescent="0.2">
      <c r="Y1879" s="18"/>
    </row>
    <row r="1880" spans="25:25" x14ac:dyDescent="0.2">
      <c r="Y1880" s="18"/>
    </row>
    <row r="1881" spans="25:25" x14ac:dyDescent="0.2">
      <c r="Y1881" s="18"/>
    </row>
    <row r="1882" spans="25:25" x14ac:dyDescent="0.2">
      <c r="Y1882" s="18"/>
    </row>
    <row r="1883" spans="25:25" x14ac:dyDescent="0.2">
      <c r="Y1883" s="18"/>
    </row>
    <row r="1884" spans="25:25" x14ac:dyDescent="0.2">
      <c r="Y1884" s="18"/>
    </row>
    <row r="1885" spans="25:25" x14ac:dyDescent="0.2">
      <c r="Y1885" s="18"/>
    </row>
    <row r="1886" spans="25:25" x14ac:dyDescent="0.2">
      <c r="Y1886" s="18"/>
    </row>
    <row r="1887" spans="25:25" x14ac:dyDescent="0.2">
      <c r="Y1887" s="18"/>
    </row>
    <row r="1888" spans="25:25" x14ac:dyDescent="0.2">
      <c r="Y1888" s="18"/>
    </row>
    <row r="1889" spans="25:25" x14ac:dyDescent="0.2">
      <c r="Y1889" s="18"/>
    </row>
    <row r="1890" spans="25:25" x14ac:dyDescent="0.2">
      <c r="Y1890" s="18"/>
    </row>
    <row r="1891" spans="25:25" x14ac:dyDescent="0.2">
      <c r="Y1891" s="18"/>
    </row>
    <row r="1892" spans="25:25" x14ac:dyDescent="0.2">
      <c r="Y1892" s="18"/>
    </row>
    <row r="1893" spans="25:25" x14ac:dyDescent="0.2">
      <c r="Y1893" s="18"/>
    </row>
    <row r="1894" spans="25:25" x14ac:dyDescent="0.2">
      <c r="Y1894" s="18"/>
    </row>
    <row r="1895" spans="25:25" x14ac:dyDescent="0.2">
      <c r="Y1895" s="18"/>
    </row>
    <row r="1896" spans="25:25" x14ac:dyDescent="0.2">
      <c r="Y1896" s="18"/>
    </row>
    <row r="1897" spans="25:25" x14ac:dyDescent="0.2">
      <c r="Y1897" s="18"/>
    </row>
    <row r="1898" spans="25:25" x14ac:dyDescent="0.2">
      <c r="Y1898" s="18"/>
    </row>
    <row r="1899" spans="25:25" x14ac:dyDescent="0.2">
      <c r="Y1899" s="18"/>
    </row>
    <row r="1900" spans="25:25" x14ac:dyDescent="0.2">
      <c r="Y1900" s="18"/>
    </row>
    <row r="1901" spans="25:25" x14ac:dyDescent="0.2">
      <c r="Y1901" s="18"/>
    </row>
    <row r="1902" spans="25:25" x14ac:dyDescent="0.2">
      <c r="Y1902" s="18"/>
    </row>
    <row r="1903" spans="25:25" x14ac:dyDescent="0.2">
      <c r="Y1903" s="18"/>
    </row>
    <row r="1904" spans="25:25" x14ac:dyDescent="0.2">
      <c r="Y1904" s="18"/>
    </row>
    <row r="1905" spans="25:25" x14ac:dyDescent="0.2">
      <c r="Y1905" s="18"/>
    </row>
    <row r="1906" spans="25:25" x14ac:dyDescent="0.2">
      <c r="Y1906" s="18"/>
    </row>
    <row r="1907" spans="25:25" x14ac:dyDescent="0.2">
      <c r="Y1907" s="18"/>
    </row>
    <row r="1908" spans="25:25" x14ac:dyDescent="0.2">
      <c r="Y1908" s="18"/>
    </row>
    <row r="1909" spans="25:25" x14ac:dyDescent="0.2">
      <c r="Y1909" s="18"/>
    </row>
    <row r="1910" spans="25:25" x14ac:dyDescent="0.2">
      <c r="Y1910" s="18"/>
    </row>
    <row r="1911" spans="25:25" x14ac:dyDescent="0.2">
      <c r="Y1911" s="18"/>
    </row>
    <row r="1912" spans="25:25" x14ac:dyDescent="0.2">
      <c r="Y1912" s="18"/>
    </row>
    <row r="1913" spans="25:25" x14ac:dyDescent="0.2">
      <c r="Y1913" s="18"/>
    </row>
    <row r="1914" spans="25:25" x14ac:dyDescent="0.2">
      <c r="Y1914" s="18"/>
    </row>
    <row r="1915" spans="25:25" x14ac:dyDescent="0.2">
      <c r="Y1915" s="18"/>
    </row>
    <row r="1916" spans="25:25" x14ac:dyDescent="0.2">
      <c r="Y1916" s="18"/>
    </row>
    <row r="1917" spans="25:25" x14ac:dyDescent="0.2">
      <c r="Y1917" s="18"/>
    </row>
    <row r="1918" spans="25:25" x14ac:dyDescent="0.2">
      <c r="Y1918" s="18"/>
    </row>
    <row r="1919" spans="25:25" x14ac:dyDescent="0.2">
      <c r="Y1919" s="18"/>
    </row>
    <row r="1920" spans="25:25" x14ac:dyDescent="0.2">
      <c r="Y1920" s="18"/>
    </row>
    <row r="1921" spans="25:25" x14ac:dyDescent="0.2">
      <c r="Y1921" s="18"/>
    </row>
    <row r="1922" spans="25:25" x14ac:dyDescent="0.2">
      <c r="Y1922" s="18"/>
    </row>
    <row r="1923" spans="25:25" x14ac:dyDescent="0.2">
      <c r="Y1923" s="18"/>
    </row>
    <row r="1924" spans="25:25" x14ac:dyDescent="0.2">
      <c r="Y1924" s="18"/>
    </row>
    <row r="1925" spans="25:25" x14ac:dyDescent="0.2">
      <c r="Y1925" s="18"/>
    </row>
    <row r="1926" spans="25:25" x14ac:dyDescent="0.2">
      <c r="Y1926" s="18"/>
    </row>
    <row r="1927" spans="25:25" x14ac:dyDescent="0.2">
      <c r="Y1927" s="18"/>
    </row>
    <row r="1928" spans="25:25" x14ac:dyDescent="0.2">
      <c r="Y1928" s="18"/>
    </row>
    <row r="1929" spans="25:25" x14ac:dyDescent="0.2">
      <c r="Y1929" s="18"/>
    </row>
    <row r="1930" spans="25:25" x14ac:dyDescent="0.2">
      <c r="Y1930" s="18"/>
    </row>
    <row r="1931" spans="25:25" x14ac:dyDescent="0.2">
      <c r="Y1931" s="18"/>
    </row>
    <row r="1932" spans="25:25" x14ac:dyDescent="0.2">
      <c r="Y1932" s="18"/>
    </row>
    <row r="1933" spans="25:25" x14ac:dyDescent="0.2">
      <c r="Y1933" s="18"/>
    </row>
    <row r="1934" spans="25:25" x14ac:dyDescent="0.2">
      <c r="Y1934" s="18"/>
    </row>
    <row r="1935" spans="25:25" x14ac:dyDescent="0.2">
      <c r="Y1935" s="18"/>
    </row>
    <row r="1936" spans="25:25" x14ac:dyDescent="0.2">
      <c r="Y1936" s="18"/>
    </row>
    <row r="1937" spans="25:25" x14ac:dyDescent="0.2">
      <c r="Y1937" s="18"/>
    </row>
    <row r="1938" spans="25:25" x14ac:dyDescent="0.2">
      <c r="Y1938" s="18"/>
    </row>
    <row r="1939" spans="25:25" x14ac:dyDescent="0.2">
      <c r="Y1939" s="18"/>
    </row>
    <row r="1940" spans="25:25" x14ac:dyDescent="0.2">
      <c r="Y1940" s="18"/>
    </row>
    <row r="1941" spans="25:25" x14ac:dyDescent="0.2">
      <c r="Y1941" s="18"/>
    </row>
    <row r="1942" spans="25:25" x14ac:dyDescent="0.2">
      <c r="Y1942" s="18"/>
    </row>
    <row r="1943" spans="25:25" x14ac:dyDescent="0.2">
      <c r="Y1943" s="18"/>
    </row>
    <row r="1944" spans="25:25" x14ac:dyDescent="0.2">
      <c r="Y1944" s="18"/>
    </row>
    <row r="1945" spans="25:25" x14ac:dyDescent="0.2">
      <c r="Y1945" s="18"/>
    </row>
    <row r="1946" spans="25:25" x14ac:dyDescent="0.2">
      <c r="Y1946" s="18"/>
    </row>
    <row r="1947" spans="25:25" x14ac:dyDescent="0.2">
      <c r="Y1947" s="18"/>
    </row>
    <row r="1948" spans="25:25" x14ac:dyDescent="0.2">
      <c r="Y1948" s="18"/>
    </row>
    <row r="1949" spans="25:25" x14ac:dyDescent="0.2">
      <c r="Y1949" s="18"/>
    </row>
    <row r="1950" spans="25:25" x14ac:dyDescent="0.2">
      <c r="Y1950" s="18"/>
    </row>
    <row r="1951" spans="25:25" x14ac:dyDescent="0.2">
      <c r="Y1951" s="18"/>
    </row>
    <row r="1952" spans="25:25" x14ac:dyDescent="0.2">
      <c r="Y1952" s="18"/>
    </row>
    <row r="1953" spans="25:25" x14ac:dyDescent="0.2">
      <c r="Y1953" s="18"/>
    </row>
    <row r="1954" spans="25:25" x14ac:dyDescent="0.2">
      <c r="Y1954" s="18"/>
    </row>
    <row r="1955" spans="25:25" x14ac:dyDescent="0.2">
      <c r="Y1955" s="18"/>
    </row>
    <row r="1956" spans="25:25" x14ac:dyDescent="0.2">
      <c r="Y1956" s="18"/>
    </row>
    <row r="1957" spans="25:25" x14ac:dyDescent="0.2">
      <c r="Y1957" s="18"/>
    </row>
    <row r="1958" spans="25:25" x14ac:dyDescent="0.2">
      <c r="Y1958" s="18"/>
    </row>
    <row r="1959" spans="25:25" x14ac:dyDescent="0.2">
      <c r="Y1959" s="18"/>
    </row>
    <row r="1960" spans="25:25" x14ac:dyDescent="0.2">
      <c r="Y1960" s="18"/>
    </row>
    <row r="1961" spans="25:25" x14ac:dyDescent="0.2">
      <c r="Y1961" s="18"/>
    </row>
    <row r="1962" spans="25:25" x14ac:dyDescent="0.2">
      <c r="Y1962" s="18"/>
    </row>
    <row r="1963" spans="25:25" x14ac:dyDescent="0.2">
      <c r="Y1963" s="18"/>
    </row>
    <row r="1964" spans="25:25" x14ac:dyDescent="0.2">
      <c r="Y1964" s="18"/>
    </row>
    <row r="1965" spans="25:25" x14ac:dyDescent="0.2">
      <c r="Y1965" s="18"/>
    </row>
    <row r="1966" spans="25:25" x14ac:dyDescent="0.2">
      <c r="Y1966" s="18"/>
    </row>
    <row r="1967" spans="25:25" x14ac:dyDescent="0.2">
      <c r="Y1967" s="18"/>
    </row>
    <row r="1968" spans="25:25" x14ac:dyDescent="0.2">
      <c r="Y1968" s="18"/>
    </row>
    <row r="1969" spans="25:25" x14ac:dyDescent="0.2">
      <c r="Y1969" s="18"/>
    </row>
    <row r="1970" spans="25:25" x14ac:dyDescent="0.2">
      <c r="Y1970" s="18"/>
    </row>
    <row r="1971" spans="25:25" x14ac:dyDescent="0.2">
      <c r="Y1971" s="18"/>
    </row>
    <row r="1972" spans="25:25" x14ac:dyDescent="0.2">
      <c r="Y1972" s="18"/>
    </row>
    <row r="1973" spans="25:25" x14ac:dyDescent="0.2">
      <c r="Y1973" s="18"/>
    </row>
    <row r="1974" spans="25:25" x14ac:dyDescent="0.2">
      <c r="Y1974" s="18"/>
    </row>
    <row r="1975" spans="25:25" x14ac:dyDescent="0.2">
      <c r="Y1975" s="18"/>
    </row>
    <row r="1976" spans="25:25" x14ac:dyDescent="0.2">
      <c r="Y1976" s="18"/>
    </row>
    <row r="1977" spans="25:25" x14ac:dyDescent="0.2">
      <c r="Y1977" s="18"/>
    </row>
    <row r="1978" spans="25:25" x14ac:dyDescent="0.2">
      <c r="Y1978" s="18"/>
    </row>
    <row r="1979" spans="25:25" x14ac:dyDescent="0.2">
      <c r="Y1979" s="18"/>
    </row>
    <row r="1980" spans="25:25" x14ac:dyDescent="0.2">
      <c r="Y1980" s="18"/>
    </row>
    <row r="1981" spans="25:25" x14ac:dyDescent="0.2">
      <c r="Y1981" s="18"/>
    </row>
    <row r="1982" spans="25:25" x14ac:dyDescent="0.2">
      <c r="Y1982" s="18"/>
    </row>
    <row r="1983" spans="25:25" x14ac:dyDescent="0.2">
      <c r="Y1983" s="18"/>
    </row>
    <row r="1984" spans="25:25" x14ac:dyDescent="0.2">
      <c r="Y1984" s="18"/>
    </row>
    <row r="1985" spans="25:25" x14ac:dyDescent="0.2">
      <c r="Y1985" s="18"/>
    </row>
    <row r="1986" spans="25:25" x14ac:dyDescent="0.2">
      <c r="Y1986" s="18"/>
    </row>
    <row r="1987" spans="25:25" x14ac:dyDescent="0.2">
      <c r="Y1987" s="18"/>
    </row>
    <row r="1988" spans="25:25" x14ac:dyDescent="0.2">
      <c r="Y1988" s="18"/>
    </row>
    <row r="1989" spans="25:25" x14ac:dyDescent="0.2">
      <c r="Y1989" s="18"/>
    </row>
    <row r="1990" spans="25:25" x14ac:dyDescent="0.2">
      <c r="Y1990" s="18"/>
    </row>
    <row r="1991" spans="25:25" x14ac:dyDescent="0.2">
      <c r="Y1991" s="18"/>
    </row>
    <row r="1992" spans="25:25" x14ac:dyDescent="0.2">
      <c r="Y1992" s="18"/>
    </row>
    <row r="1993" spans="25:25" x14ac:dyDescent="0.2">
      <c r="Y1993" s="18"/>
    </row>
    <row r="1994" spans="25:25" x14ac:dyDescent="0.2">
      <c r="Y1994" s="18"/>
    </row>
    <row r="1995" spans="25:25" x14ac:dyDescent="0.2">
      <c r="Y1995" s="18"/>
    </row>
    <row r="1996" spans="25:25" x14ac:dyDescent="0.2">
      <c r="Y1996" s="18"/>
    </row>
    <row r="1997" spans="25:25" x14ac:dyDescent="0.2">
      <c r="Y1997" s="18"/>
    </row>
    <row r="1998" spans="25:25" x14ac:dyDescent="0.2">
      <c r="Y1998" s="18"/>
    </row>
    <row r="1999" spans="25:25" x14ac:dyDescent="0.2">
      <c r="Y1999" s="18"/>
    </row>
    <row r="2000" spans="25:25" x14ac:dyDescent="0.2">
      <c r="Y2000" s="18"/>
    </row>
    <row r="2001" spans="25:25" x14ac:dyDescent="0.2">
      <c r="Y2001" s="18"/>
    </row>
    <row r="2002" spans="25:25" x14ac:dyDescent="0.2">
      <c r="Y2002" s="18"/>
    </row>
    <row r="2003" spans="25:25" x14ac:dyDescent="0.2">
      <c r="Y2003" s="18"/>
    </row>
    <row r="2004" spans="25:25" x14ac:dyDescent="0.2">
      <c r="Y2004" s="18"/>
    </row>
    <row r="2005" spans="25:25" x14ac:dyDescent="0.2">
      <c r="Y2005" s="18"/>
    </row>
    <row r="2006" spans="25:25" x14ac:dyDescent="0.2">
      <c r="Y2006" s="18"/>
    </row>
    <row r="2007" spans="25:25" x14ac:dyDescent="0.2">
      <c r="Y2007" s="18"/>
    </row>
    <row r="2008" spans="25:25" x14ac:dyDescent="0.2">
      <c r="Y2008" s="18"/>
    </row>
    <row r="2009" spans="25:25" x14ac:dyDescent="0.2">
      <c r="Y2009" s="18"/>
    </row>
    <row r="2010" spans="25:25" x14ac:dyDescent="0.2">
      <c r="Y2010" s="18"/>
    </row>
    <row r="2011" spans="25:25" x14ac:dyDescent="0.2">
      <c r="Y2011" s="18"/>
    </row>
    <row r="2012" spans="25:25" x14ac:dyDescent="0.2">
      <c r="Y2012" s="18"/>
    </row>
    <row r="2013" spans="25:25" x14ac:dyDescent="0.2">
      <c r="Y2013" s="18"/>
    </row>
    <row r="2014" spans="25:25" x14ac:dyDescent="0.2">
      <c r="Y2014" s="18"/>
    </row>
    <row r="2015" spans="25:25" x14ac:dyDescent="0.2">
      <c r="Y2015" s="18"/>
    </row>
    <row r="2016" spans="25:25" x14ac:dyDescent="0.2">
      <c r="Y2016" s="18"/>
    </row>
    <row r="2017" spans="25:25" x14ac:dyDescent="0.2">
      <c r="Y2017" s="18"/>
    </row>
    <row r="2018" spans="25:25" x14ac:dyDescent="0.2">
      <c r="Y2018" s="18"/>
    </row>
    <row r="2019" spans="25:25" x14ac:dyDescent="0.2">
      <c r="Y2019" s="18"/>
    </row>
    <row r="2020" spans="25:25" x14ac:dyDescent="0.2">
      <c r="Y2020" s="18"/>
    </row>
    <row r="2021" spans="25:25" x14ac:dyDescent="0.2">
      <c r="Y2021" s="18"/>
    </row>
    <row r="2022" spans="25:25" x14ac:dyDescent="0.2">
      <c r="Y2022" s="18"/>
    </row>
    <row r="2023" spans="25:25" x14ac:dyDescent="0.2">
      <c r="Y2023" s="18"/>
    </row>
    <row r="2024" spans="25:25" x14ac:dyDescent="0.2">
      <c r="Y2024" s="18"/>
    </row>
    <row r="2025" spans="25:25" x14ac:dyDescent="0.2">
      <c r="Y2025" s="18"/>
    </row>
    <row r="2026" spans="25:25" x14ac:dyDescent="0.2">
      <c r="Y2026" s="18"/>
    </row>
    <row r="2027" spans="25:25" x14ac:dyDescent="0.2">
      <c r="Y2027" s="18"/>
    </row>
    <row r="2028" spans="25:25" x14ac:dyDescent="0.2">
      <c r="Y2028" s="18"/>
    </row>
    <row r="2029" spans="25:25" x14ac:dyDescent="0.2">
      <c r="Y2029" s="18"/>
    </row>
    <row r="2030" spans="25:25" x14ac:dyDescent="0.2">
      <c r="Y2030" s="18"/>
    </row>
    <row r="2031" spans="25:25" x14ac:dyDescent="0.2">
      <c r="Y2031" s="18"/>
    </row>
    <row r="2032" spans="25:25" x14ac:dyDescent="0.2">
      <c r="Y2032" s="18"/>
    </row>
    <row r="2033" spans="25:25" x14ac:dyDescent="0.2">
      <c r="Y2033" s="18"/>
    </row>
    <row r="2034" spans="25:25" x14ac:dyDescent="0.2">
      <c r="Y2034" s="18"/>
    </row>
    <row r="2035" spans="25:25" x14ac:dyDescent="0.2">
      <c r="Y2035" s="18"/>
    </row>
    <row r="2036" spans="25:25" x14ac:dyDescent="0.2">
      <c r="Y2036" s="18"/>
    </row>
    <row r="2037" spans="25:25" x14ac:dyDescent="0.2">
      <c r="Y2037" s="18"/>
    </row>
    <row r="2038" spans="25:25" x14ac:dyDescent="0.2">
      <c r="Y2038" s="18"/>
    </row>
    <row r="2039" spans="25:25" x14ac:dyDescent="0.2">
      <c r="Y2039" s="18"/>
    </row>
    <row r="2040" spans="25:25" x14ac:dyDescent="0.2">
      <c r="Y2040" s="18"/>
    </row>
    <row r="2041" spans="25:25" x14ac:dyDescent="0.2">
      <c r="Y2041" s="18"/>
    </row>
    <row r="2042" spans="25:25" x14ac:dyDescent="0.2">
      <c r="Y2042" s="18"/>
    </row>
    <row r="2043" spans="25:25" x14ac:dyDescent="0.2">
      <c r="Y2043" s="18"/>
    </row>
    <row r="2044" spans="25:25" x14ac:dyDescent="0.2">
      <c r="Y2044" s="18"/>
    </row>
    <row r="2045" spans="25:25" x14ac:dyDescent="0.2">
      <c r="Y2045" s="18"/>
    </row>
    <row r="2046" spans="25:25" x14ac:dyDescent="0.2">
      <c r="Y2046" s="18"/>
    </row>
    <row r="2047" spans="25:25" x14ac:dyDescent="0.2">
      <c r="Y2047" s="18"/>
    </row>
    <row r="2048" spans="25:25" x14ac:dyDescent="0.2">
      <c r="Y2048" s="18"/>
    </row>
    <row r="2049" spans="25:25" x14ac:dyDescent="0.2">
      <c r="Y2049" s="18"/>
    </row>
    <row r="2050" spans="25:25" x14ac:dyDescent="0.2">
      <c r="Y2050" s="18"/>
    </row>
    <row r="2051" spans="25:25" x14ac:dyDescent="0.2">
      <c r="Y2051" s="18"/>
    </row>
    <row r="2052" spans="25:25" x14ac:dyDescent="0.2">
      <c r="Y2052" s="18"/>
    </row>
    <row r="2053" spans="25:25" x14ac:dyDescent="0.2">
      <c r="Y2053" s="18"/>
    </row>
    <row r="2054" spans="25:25" x14ac:dyDescent="0.2">
      <c r="Y2054" s="18"/>
    </row>
    <row r="2055" spans="25:25" x14ac:dyDescent="0.2">
      <c r="Y2055" s="18"/>
    </row>
    <row r="2056" spans="25:25" x14ac:dyDescent="0.2">
      <c r="Y2056" s="18"/>
    </row>
    <row r="2057" spans="25:25" x14ac:dyDescent="0.2">
      <c r="Y2057" s="18"/>
    </row>
    <row r="2058" spans="25:25" x14ac:dyDescent="0.2">
      <c r="Y2058" s="18"/>
    </row>
    <row r="2059" spans="25:25" x14ac:dyDescent="0.2">
      <c r="Y2059" s="18"/>
    </row>
    <row r="2060" spans="25:25" x14ac:dyDescent="0.2">
      <c r="Y2060" s="18"/>
    </row>
    <row r="2061" spans="25:25" x14ac:dyDescent="0.2">
      <c r="Y2061" s="18"/>
    </row>
    <row r="2062" spans="25:25" x14ac:dyDescent="0.2">
      <c r="Y2062" s="18"/>
    </row>
    <row r="2063" spans="25:25" x14ac:dyDescent="0.2">
      <c r="Y2063" s="18"/>
    </row>
    <row r="2064" spans="25:25" x14ac:dyDescent="0.2">
      <c r="Y2064" s="18"/>
    </row>
    <row r="2065" spans="25:25" x14ac:dyDescent="0.2">
      <c r="Y2065" s="18"/>
    </row>
    <row r="2066" spans="25:25" x14ac:dyDescent="0.2">
      <c r="Y2066" s="18"/>
    </row>
    <row r="2067" spans="25:25" x14ac:dyDescent="0.2">
      <c r="Y2067" s="18"/>
    </row>
    <row r="2068" spans="25:25" x14ac:dyDescent="0.2">
      <c r="Y2068" s="18"/>
    </row>
    <row r="2069" spans="25:25" x14ac:dyDescent="0.2">
      <c r="Y2069" s="18"/>
    </row>
    <row r="2070" spans="25:25" x14ac:dyDescent="0.2">
      <c r="Y2070" s="18"/>
    </row>
    <row r="2071" spans="25:25" x14ac:dyDescent="0.2">
      <c r="Y2071" s="18"/>
    </row>
    <row r="2072" spans="25:25" x14ac:dyDescent="0.2">
      <c r="Y2072" s="18"/>
    </row>
    <row r="2073" spans="25:25" x14ac:dyDescent="0.2">
      <c r="Y2073" s="18"/>
    </row>
    <row r="2074" spans="25:25" x14ac:dyDescent="0.2">
      <c r="Y2074" s="18"/>
    </row>
    <row r="2075" spans="25:25" x14ac:dyDescent="0.2">
      <c r="Y2075" s="18"/>
    </row>
    <row r="2076" spans="25:25" x14ac:dyDescent="0.2">
      <c r="Y2076" s="18"/>
    </row>
    <row r="2077" spans="25:25" x14ac:dyDescent="0.2">
      <c r="Y2077" s="18"/>
    </row>
    <row r="2078" spans="25:25" x14ac:dyDescent="0.2">
      <c r="Y2078" s="18"/>
    </row>
    <row r="2079" spans="25:25" x14ac:dyDescent="0.2">
      <c r="Y2079" s="18"/>
    </row>
    <row r="2080" spans="25:25" x14ac:dyDescent="0.2">
      <c r="Y2080" s="18"/>
    </row>
    <row r="2081" spans="25:25" x14ac:dyDescent="0.2">
      <c r="Y2081" s="18"/>
    </row>
    <row r="2082" spans="25:25" x14ac:dyDescent="0.2">
      <c r="Y2082" s="18"/>
    </row>
    <row r="2083" spans="25:25" x14ac:dyDescent="0.2">
      <c r="Y2083" s="18"/>
    </row>
    <row r="2084" spans="25:25" x14ac:dyDescent="0.2">
      <c r="Y2084" s="18"/>
    </row>
    <row r="2085" spans="25:25" x14ac:dyDescent="0.2">
      <c r="Y2085" s="18"/>
    </row>
    <row r="2086" spans="25:25" x14ac:dyDescent="0.2">
      <c r="Y2086" s="18"/>
    </row>
    <row r="2087" spans="25:25" x14ac:dyDescent="0.2">
      <c r="Y2087" s="18"/>
    </row>
    <row r="2088" spans="25:25" x14ac:dyDescent="0.2">
      <c r="Y2088" s="18"/>
    </row>
    <row r="2089" spans="25:25" x14ac:dyDescent="0.2">
      <c r="Y2089" s="18"/>
    </row>
    <row r="2090" spans="25:25" x14ac:dyDescent="0.2">
      <c r="Y2090" s="18"/>
    </row>
    <row r="2091" spans="25:25" x14ac:dyDescent="0.2">
      <c r="Y2091" s="18"/>
    </row>
    <row r="2092" spans="25:25" x14ac:dyDescent="0.2">
      <c r="Y2092" s="18"/>
    </row>
    <row r="2093" spans="25:25" x14ac:dyDescent="0.2">
      <c r="Y2093" s="18"/>
    </row>
    <row r="2094" spans="25:25" x14ac:dyDescent="0.2">
      <c r="Y2094" s="18"/>
    </row>
    <row r="2095" spans="25:25" x14ac:dyDescent="0.2">
      <c r="Y2095" s="18"/>
    </row>
    <row r="2096" spans="25:25" x14ac:dyDescent="0.2">
      <c r="Y2096" s="18"/>
    </row>
    <row r="2097" spans="25:25" x14ac:dyDescent="0.2">
      <c r="Y2097" s="18"/>
    </row>
    <row r="2098" spans="25:25" x14ac:dyDescent="0.2">
      <c r="Y2098" s="18"/>
    </row>
    <row r="2099" spans="25:25" x14ac:dyDescent="0.2">
      <c r="Y2099" s="18"/>
    </row>
    <row r="2100" spans="25:25" x14ac:dyDescent="0.2">
      <c r="Y2100" s="18"/>
    </row>
    <row r="2101" spans="25:25" x14ac:dyDescent="0.2">
      <c r="Y2101" s="18"/>
    </row>
    <row r="2102" spans="25:25" x14ac:dyDescent="0.2">
      <c r="Y2102" s="18"/>
    </row>
    <row r="2103" spans="25:25" x14ac:dyDescent="0.2">
      <c r="Y2103" s="18"/>
    </row>
    <row r="2104" spans="25:25" x14ac:dyDescent="0.2">
      <c r="Y2104" s="18"/>
    </row>
    <row r="2105" spans="25:25" x14ac:dyDescent="0.2">
      <c r="Y2105" s="18"/>
    </row>
    <row r="2106" spans="25:25" x14ac:dyDescent="0.2">
      <c r="Y2106" s="18"/>
    </row>
    <row r="2107" spans="25:25" x14ac:dyDescent="0.2">
      <c r="Y2107" s="18"/>
    </row>
    <row r="2108" spans="25:25" x14ac:dyDescent="0.2">
      <c r="Y2108" s="18"/>
    </row>
    <row r="2109" spans="25:25" x14ac:dyDescent="0.2">
      <c r="Y2109" s="18"/>
    </row>
    <row r="2110" spans="25:25" x14ac:dyDescent="0.2">
      <c r="Y2110" s="18"/>
    </row>
    <row r="2111" spans="25:25" x14ac:dyDescent="0.2">
      <c r="Y2111" s="18"/>
    </row>
    <row r="2112" spans="25:25" x14ac:dyDescent="0.2">
      <c r="Y2112" s="18"/>
    </row>
    <row r="2113" spans="25:25" x14ac:dyDescent="0.2">
      <c r="Y2113" s="18"/>
    </row>
    <row r="2114" spans="25:25" x14ac:dyDescent="0.2">
      <c r="Y2114" s="18"/>
    </row>
    <row r="2115" spans="25:25" x14ac:dyDescent="0.2">
      <c r="Y2115" s="18"/>
    </row>
    <row r="2116" spans="25:25" x14ac:dyDescent="0.2">
      <c r="Y2116" s="18"/>
    </row>
    <row r="2117" spans="25:25" x14ac:dyDescent="0.2">
      <c r="Y2117" s="18"/>
    </row>
    <row r="2118" spans="25:25" x14ac:dyDescent="0.2">
      <c r="Y2118" s="18"/>
    </row>
    <row r="2119" spans="25:25" x14ac:dyDescent="0.2">
      <c r="Y2119" s="18"/>
    </row>
    <row r="2120" spans="25:25" x14ac:dyDescent="0.2">
      <c r="Y2120" s="18"/>
    </row>
    <row r="2121" spans="25:25" x14ac:dyDescent="0.2">
      <c r="Y2121" s="18"/>
    </row>
    <row r="2122" spans="25:25" x14ac:dyDescent="0.2">
      <c r="Y2122" s="18"/>
    </row>
    <row r="2123" spans="25:25" x14ac:dyDescent="0.2">
      <c r="Y2123" s="18"/>
    </row>
    <row r="2124" spans="25:25" x14ac:dyDescent="0.2">
      <c r="Y2124" s="18"/>
    </row>
    <row r="2125" spans="25:25" x14ac:dyDescent="0.2">
      <c r="Y2125" s="18"/>
    </row>
    <row r="2126" spans="25:25" x14ac:dyDescent="0.2">
      <c r="Y2126" s="18"/>
    </row>
    <row r="2127" spans="25:25" x14ac:dyDescent="0.2">
      <c r="Y2127" s="18"/>
    </row>
    <row r="2128" spans="25:25" x14ac:dyDescent="0.2">
      <c r="Y2128" s="18"/>
    </row>
    <row r="2129" spans="25:25" x14ac:dyDescent="0.2">
      <c r="Y2129" s="18"/>
    </row>
    <row r="2130" spans="25:25" x14ac:dyDescent="0.2">
      <c r="Y2130" s="18"/>
    </row>
    <row r="2131" spans="25:25" x14ac:dyDescent="0.2">
      <c r="Y2131" s="18"/>
    </row>
    <row r="2132" spans="25:25" x14ac:dyDescent="0.2">
      <c r="Y2132" s="18"/>
    </row>
    <row r="2133" spans="25:25" x14ac:dyDescent="0.2">
      <c r="Y2133" s="18"/>
    </row>
    <row r="2134" spans="25:25" x14ac:dyDescent="0.2">
      <c r="Y2134" s="18"/>
    </row>
    <row r="2135" spans="25:25" x14ac:dyDescent="0.2">
      <c r="Y2135" s="18"/>
    </row>
    <row r="2136" spans="25:25" x14ac:dyDescent="0.2">
      <c r="Y2136" s="18"/>
    </row>
    <row r="2137" spans="25:25" x14ac:dyDescent="0.2">
      <c r="Y2137" s="18"/>
    </row>
    <row r="2138" spans="25:25" x14ac:dyDescent="0.2">
      <c r="Y2138" s="18"/>
    </row>
    <row r="2139" spans="25:25" x14ac:dyDescent="0.2">
      <c r="Y2139" s="18"/>
    </row>
    <row r="2140" spans="25:25" x14ac:dyDescent="0.2">
      <c r="Y2140" s="18"/>
    </row>
    <row r="2141" spans="25:25" x14ac:dyDescent="0.2">
      <c r="Y2141" s="18"/>
    </row>
    <row r="2142" spans="25:25" x14ac:dyDescent="0.2">
      <c r="Y2142" s="18"/>
    </row>
    <row r="2143" spans="25:25" x14ac:dyDescent="0.2">
      <c r="Y2143" s="18"/>
    </row>
    <row r="2144" spans="25:25" x14ac:dyDescent="0.2">
      <c r="Y2144" s="18"/>
    </row>
    <row r="2145" spans="25:25" x14ac:dyDescent="0.2">
      <c r="Y2145" s="18"/>
    </row>
    <row r="2146" spans="25:25" x14ac:dyDescent="0.2">
      <c r="Y2146" s="18"/>
    </row>
    <row r="2147" spans="25:25" x14ac:dyDescent="0.2">
      <c r="Y2147" s="18"/>
    </row>
    <row r="2148" spans="25:25" x14ac:dyDescent="0.2">
      <c r="Y2148" s="18"/>
    </row>
    <row r="2149" spans="25:25" x14ac:dyDescent="0.2">
      <c r="Y2149" s="18"/>
    </row>
    <row r="2150" spans="25:25" x14ac:dyDescent="0.2">
      <c r="Y2150" s="18"/>
    </row>
    <row r="2151" spans="25:25" x14ac:dyDescent="0.2">
      <c r="Y2151" s="18"/>
    </row>
    <row r="2152" spans="25:25" x14ac:dyDescent="0.2">
      <c r="Y2152" s="18"/>
    </row>
    <row r="2153" spans="25:25" x14ac:dyDescent="0.2">
      <c r="Y2153" s="18"/>
    </row>
    <row r="2154" spans="25:25" x14ac:dyDescent="0.2">
      <c r="Y2154" s="18"/>
    </row>
    <row r="2155" spans="25:25" x14ac:dyDescent="0.2">
      <c r="Y2155" s="18"/>
    </row>
    <row r="2156" spans="25:25" x14ac:dyDescent="0.2">
      <c r="Y2156" s="18"/>
    </row>
    <row r="2157" spans="25:25" x14ac:dyDescent="0.2">
      <c r="Y2157" s="18"/>
    </row>
    <row r="2158" spans="25:25" x14ac:dyDescent="0.2">
      <c r="Y2158" s="18"/>
    </row>
    <row r="2159" spans="25:25" x14ac:dyDescent="0.2">
      <c r="Y2159" s="18"/>
    </row>
    <row r="2160" spans="25:25" x14ac:dyDescent="0.2">
      <c r="Y2160" s="18"/>
    </row>
    <row r="2161" spans="25:25" x14ac:dyDescent="0.2">
      <c r="Y2161" s="18"/>
    </row>
    <row r="2162" spans="25:25" x14ac:dyDescent="0.2">
      <c r="Y2162" s="18"/>
    </row>
    <row r="2163" spans="25:25" x14ac:dyDescent="0.2">
      <c r="Y2163" s="18"/>
    </row>
    <row r="2164" spans="25:25" x14ac:dyDescent="0.2">
      <c r="Y2164" s="18"/>
    </row>
    <row r="2165" spans="25:25" x14ac:dyDescent="0.2">
      <c r="Y2165" s="18"/>
    </row>
    <row r="2166" spans="25:25" x14ac:dyDescent="0.2">
      <c r="Y2166" s="18"/>
    </row>
    <row r="2167" spans="25:25" x14ac:dyDescent="0.2">
      <c r="Y2167" s="18"/>
    </row>
    <row r="2168" spans="25:25" x14ac:dyDescent="0.2">
      <c r="Y2168" s="18"/>
    </row>
    <row r="2169" spans="25:25" x14ac:dyDescent="0.2">
      <c r="Y2169" s="18"/>
    </row>
    <row r="2170" spans="25:25" x14ac:dyDescent="0.2">
      <c r="Y2170" s="18"/>
    </row>
    <row r="2171" spans="25:25" x14ac:dyDescent="0.2">
      <c r="Y2171" s="18"/>
    </row>
    <row r="2172" spans="25:25" x14ac:dyDescent="0.2">
      <c r="Y2172" s="18"/>
    </row>
    <row r="2173" spans="25:25" x14ac:dyDescent="0.2">
      <c r="Y2173" s="18"/>
    </row>
    <row r="2174" spans="25:25" x14ac:dyDescent="0.2">
      <c r="Y2174" s="18"/>
    </row>
    <row r="2175" spans="25:25" x14ac:dyDescent="0.2">
      <c r="Y2175" s="18"/>
    </row>
    <row r="2176" spans="25:25" x14ac:dyDescent="0.2">
      <c r="Y2176" s="18"/>
    </row>
    <row r="2177" spans="25:25" x14ac:dyDescent="0.2">
      <c r="Y2177" s="18"/>
    </row>
    <row r="2178" spans="25:25" x14ac:dyDescent="0.2">
      <c r="Y2178" s="18"/>
    </row>
    <row r="2179" spans="25:25" x14ac:dyDescent="0.2">
      <c r="Y2179" s="18"/>
    </row>
    <row r="2180" spans="25:25" x14ac:dyDescent="0.2">
      <c r="Y2180" s="18"/>
    </row>
    <row r="2181" spans="25:25" x14ac:dyDescent="0.2">
      <c r="Y2181" s="18"/>
    </row>
    <row r="2182" spans="25:25" x14ac:dyDescent="0.2">
      <c r="Y2182" s="18"/>
    </row>
    <row r="2183" spans="25:25" x14ac:dyDescent="0.2">
      <c r="Y2183" s="18"/>
    </row>
    <row r="2184" spans="25:25" x14ac:dyDescent="0.2">
      <c r="Y2184" s="18"/>
    </row>
    <row r="2185" spans="25:25" x14ac:dyDescent="0.2">
      <c r="Y2185" s="18"/>
    </row>
    <row r="2186" spans="25:25" x14ac:dyDescent="0.2">
      <c r="Y2186" s="18"/>
    </row>
    <row r="2187" spans="25:25" x14ac:dyDescent="0.2">
      <c r="Y2187" s="18"/>
    </row>
    <row r="2188" spans="25:25" x14ac:dyDescent="0.2">
      <c r="Y2188" s="18"/>
    </row>
    <row r="2189" spans="25:25" x14ac:dyDescent="0.2">
      <c r="Y2189" s="18"/>
    </row>
    <row r="2190" spans="25:25" x14ac:dyDescent="0.2">
      <c r="Y2190" s="18"/>
    </row>
    <row r="2191" spans="25:25" x14ac:dyDescent="0.2">
      <c r="Y2191" s="18"/>
    </row>
    <row r="2192" spans="25:25" x14ac:dyDescent="0.2">
      <c r="Y2192" s="18"/>
    </row>
    <row r="2193" spans="25:25" x14ac:dyDescent="0.2">
      <c r="Y2193" s="18"/>
    </row>
    <row r="2194" spans="25:25" x14ac:dyDescent="0.2">
      <c r="Y2194" s="18"/>
    </row>
    <row r="2195" spans="25:25" x14ac:dyDescent="0.2">
      <c r="Y2195" s="18"/>
    </row>
    <row r="2196" spans="25:25" x14ac:dyDescent="0.2">
      <c r="Y2196" s="18"/>
    </row>
    <row r="2197" spans="25:25" x14ac:dyDescent="0.2">
      <c r="Y2197" s="18"/>
    </row>
    <row r="2198" spans="25:25" x14ac:dyDescent="0.2">
      <c r="Y2198" s="18"/>
    </row>
    <row r="2199" spans="25:25" x14ac:dyDescent="0.2">
      <c r="Y2199" s="18"/>
    </row>
    <row r="2200" spans="25:25" x14ac:dyDescent="0.2">
      <c r="Y2200" s="18"/>
    </row>
    <row r="2201" spans="25:25" x14ac:dyDescent="0.2">
      <c r="Y2201" s="18"/>
    </row>
    <row r="2202" spans="25:25" x14ac:dyDescent="0.2">
      <c r="Y2202" s="18"/>
    </row>
    <row r="2203" spans="25:25" x14ac:dyDescent="0.2">
      <c r="Y2203" s="18"/>
    </row>
    <row r="2204" spans="25:25" x14ac:dyDescent="0.2">
      <c r="Y2204" s="18"/>
    </row>
    <row r="2205" spans="25:25" x14ac:dyDescent="0.2">
      <c r="Y2205" s="18"/>
    </row>
    <row r="2206" spans="25:25" x14ac:dyDescent="0.2">
      <c r="Y2206" s="18"/>
    </row>
    <row r="2207" spans="25:25" x14ac:dyDescent="0.2">
      <c r="Y2207" s="18"/>
    </row>
    <row r="2208" spans="25:25" x14ac:dyDescent="0.2">
      <c r="Y2208" s="18"/>
    </row>
    <row r="2209" spans="25:25" x14ac:dyDescent="0.2">
      <c r="Y2209" s="18"/>
    </row>
    <row r="2210" spans="25:25" x14ac:dyDescent="0.2">
      <c r="Y2210" s="18"/>
    </row>
    <row r="2211" spans="25:25" x14ac:dyDescent="0.2">
      <c r="Y2211" s="18"/>
    </row>
    <row r="2212" spans="25:25" x14ac:dyDescent="0.2">
      <c r="Y2212" s="18"/>
    </row>
    <row r="2213" spans="25:25" x14ac:dyDescent="0.2">
      <c r="Y2213" s="18"/>
    </row>
    <row r="2214" spans="25:25" x14ac:dyDescent="0.2">
      <c r="Y2214" s="18"/>
    </row>
    <row r="2215" spans="25:25" x14ac:dyDescent="0.2">
      <c r="Y2215" s="18"/>
    </row>
    <row r="2216" spans="25:25" x14ac:dyDescent="0.2">
      <c r="Y2216" s="18"/>
    </row>
    <row r="2217" spans="25:25" x14ac:dyDescent="0.2">
      <c r="Y2217" s="18"/>
    </row>
    <row r="2218" spans="25:25" x14ac:dyDescent="0.2">
      <c r="Y2218" s="18"/>
    </row>
    <row r="2219" spans="25:25" x14ac:dyDescent="0.2">
      <c r="Y2219" s="18"/>
    </row>
    <row r="2220" spans="25:25" x14ac:dyDescent="0.2">
      <c r="Y2220" s="18"/>
    </row>
    <row r="2221" spans="25:25" x14ac:dyDescent="0.2">
      <c r="Y2221" s="18"/>
    </row>
    <row r="2222" spans="25:25" x14ac:dyDescent="0.2">
      <c r="Y2222" s="18"/>
    </row>
    <row r="2223" spans="25:25" x14ac:dyDescent="0.2">
      <c r="Y2223" s="18"/>
    </row>
    <row r="2224" spans="25:25" x14ac:dyDescent="0.2">
      <c r="Y2224" s="18"/>
    </row>
    <row r="2225" spans="25:25" x14ac:dyDescent="0.2">
      <c r="Y2225" s="18"/>
    </row>
    <row r="2226" spans="25:25" x14ac:dyDescent="0.2">
      <c r="Y2226" s="18"/>
    </row>
    <row r="2227" spans="25:25" x14ac:dyDescent="0.2">
      <c r="Y2227" s="18"/>
    </row>
    <row r="2228" spans="25:25" x14ac:dyDescent="0.2">
      <c r="Y2228" s="18"/>
    </row>
    <row r="2229" spans="25:25" x14ac:dyDescent="0.2">
      <c r="Y2229" s="18"/>
    </row>
    <row r="2230" spans="25:25" x14ac:dyDescent="0.2">
      <c r="Y2230" s="18"/>
    </row>
    <row r="2231" spans="25:25" x14ac:dyDescent="0.2">
      <c r="Y2231" s="18"/>
    </row>
    <row r="2232" spans="25:25" x14ac:dyDescent="0.2">
      <c r="Y2232" s="18"/>
    </row>
    <row r="2233" spans="25:25" x14ac:dyDescent="0.2">
      <c r="Y2233" s="18"/>
    </row>
    <row r="2234" spans="25:25" x14ac:dyDescent="0.2">
      <c r="Y2234" s="18"/>
    </row>
    <row r="2235" spans="25:25" x14ac:dyDescent="0.2">
      <c r="Y2235" s="18"/>
    </row>
    <row r="2236" spans="25:25" x14ac:dyDescent="0.2">
      <c r="Y2236" s="18"/>
    </row>
    <row r="2237" spans="25:25" x14ac:dyDescent="0.2">
      <c r="Y2237" s="18"/>
    </row>
    <row r="2238" spans="25:25" x14ac:dyDescent="0.2">
      <c r="Y2238" s="18"/>
    </row>
    <row r="2239" spans="25:25" x14ac:dyDescent="0.2">
      <c r="Y2239" s="18"/>
    </row>
    <row r="2240" spans="25:25" x14ac:dyDescent="0.2">
      <c r="Y2240" s="18"/>
    </row>
    <row r="2241" spans="25:25" x14ac:dyDescent="0.2">
      <c r="Y2241" s="18"/>
    </row>
    <row r="2242" spans="25:25" x14ac:dyDescent="0.2">
      <c r="Y2242" s="18"/>
    </row>
    <row r="2243" spans="25:25" x14ac:dyDescent="0.2">
      <c r="Y2243" s="18"/>
    </row>
    <row r="2244" spans="25:25" x14ac:dyDescent="0.2">
      <c r="Y2244" s="18"/>
    </row>
    <row r="2245" spans="25:25" x14ac:dyDescent="0.2">
      <c r="Y2245" s="18"/>
    </row>
    <row r="2246" spans="25:25" x14ac:dyDescent="0.2">
      <c r="Y2246" s="18"/>
    </row>
    <row r="2247" spans="25:25" x14ac:dyDescent="0.2">
      <c r="Y2247" s="18"/>
    </row>
    <row r="2248" spans="25:25" x14ac:dyDescent="0.2">
      <c r="Y2248" s="18"/>
    </row>
    <row r="2249" spans="25:25" x14ac:dyDescent="0.2">
      <c r="Y2249" s="18"/>
    </row>
    <row r="2250" spans="25:25" x14ac:dyDescent="0.2">
      <c r="Y2250" s="18"/>
    </row>
    <row r="2251" spans="25:25" x14ac:dyDescent="0.2">
      <c r="Y2251" s="18"/>
    </row>
    <row r="2252" spans="25:25" x14ac:dyDescent="0.2">
      <c r="Y2252" s="18"/>
    </row>
    <row r="2253" spans="25:25" x14ac:dyDescent="0.2">
      <c r="Y2253" s="18"/>
    </row>
    <row r="2254" spans="25:25" x14ac:dyDescent="0.2">
      <c r="Y2254" s="18"/>
    </row>
    <row r="2255" spans="25:25" x14ac:dyDescent="0.2">
      <c r="Y2255" s="18"/>
    </row>
    <row r="2256" spans="25:25" x14ac:dyDescent="0.2">
      <c r="Y2256" s="18"/>
    </row>
    <row r="2257" spans="25:25" x14ac:dyDescent="0.2">
      <c r="Y2257" s="18"/>
    </row>
    <row r="2258" spans="25:25" x14ac:dyDescent="0.2">
      <c r="Y2258" s="18"/>
    </row>
    <row r="2259" spans="25:25" x14ac:dyDescent="0.2">
      <c r="Y2259" s="18"/>
    </row>
    <row r="2260" spans="25:25" x14ac:dyDescent="0.2">
      <c r="Y2260" s="18"/>
    </row>
    <row r="2261" spans="25:25" x14ac:dyDescent="0.2">
      <c r="Y2261" s="18"/>
    </row>
    <row r="2262" spans="25:25" x14ac:dyDescent="0.2">
      <c r="Y2262" s="18"/>
    </row>
    <row r="2263" spans="25:25" x14ac:dyDescent="0.2">
      <c r="Y2263" s="18"/>
    </row>
    <row r="2264" spans="25:25" x14ac:dyDescent="0.2">
      <c r="Y2264" s="18"/>
    </row>
    <row r="2265" spans="25:25" x14ac:dyDescent="0.2">
      <c r="Y2265" s="18"/>
    </row>
    <row r="2266" spans="25:25" x14ac:dyDescent="0.2">
      <c r="Y2266" s="18"/>
    </row>
    <row r="2267" spans="25:25" x14ac:dyDescent="0.2">
      <c r="Y2267" s="18"/>
    </row>
    <row r="2268" spans="25:25" x14ac:dyDescent="0.2">
      <c r="Y2268" s="18"/>
    </row>
    <row r="2269" spans="25:25" x14ac:dyDescent="0.2">
      <c r="Y2269" s="18"/>
    </row>
    <row r="2270" spans="25:25" x14ac:dyDescent="0.2">
      <c r="Y2270" s="18"/>
    </row>
    <row r="2271" spans="25:25" x14ac:dyDescent="0.2">
      <c r="Y2271" s="18"/>
    </row>
    <row r="2272" spans="25:25" x14ac:dyDescent="0.2">
      <c r="Y2272" s="18"/>
    </row>
    <row r="2273" spans="25:25" x14ac:dyDescent="0.2">
      <c r="Y2273" s="18"/>
    </row>
    <row r="2274" spans="25:25" x14ac:dyDescent="0.2">
      <c r="Y2274" s="18"/>
    </row>
    <row r="2275" spans="25:25" x14ac:dyDescent="0.2">
      <c r="Y2275" s="18"/>
    </row>
    <row r="2276" spans="25:25" x14ac:dyDescent="0.2">
      <c r="Y2276" s="18"/>
    </row>
    <row r="2277" spans="25:25" x14ac:dyDescent="0.2">
      <c r="Y2277" s="18"/>
    </row>
    <row r="2278" spans="25:25" x14ac:dyDescent="0.2">
      <c r="Y2278" s="18"/>
    </row>
    <row r="2279" spans="25:25" x14ac:dyDescent="0.2">
      <c r="Y2279" s="18"/>
    </row>
    <row r="2280" spans="25:25" x14ac:dyDescent="0.2">
      <c r="Y2280" s="18"/>
    </row>
    <row r="2281" spans="25:25" x14ac:dyDescent="0.2">
      <c r="Y2281" s="18"/>
    </row>
    <row r="2282" spans="25:25" x14ac:dyDescent="0.2">
      <c r="Y2282" s="18"/>
    </row>
    <row r="2283" spans="25:25" x14ac:dyDescent="0.2">
      <c r="Y2283" s="18"/>
    </row>
    <row r="2284" spans="25:25" x14ac:dyDescent="0.2">
      <c r="Y2284" s="18"/>
    </row>
    <row r="2285" spans="25:25" x14ac:dyDescent="0.2">
      <c r="Y2285" s="18"/>
    </row>
    <row r="2286" spans="25:25" x14ac:dyDescent="0.2">
      <c r="Y2286" s="18"/>
    </row>
    <row r="2287" spans="25:25" x14ac:dyDescent="0.2">
      <c r="Y2287" s="18"/>
    </row>
    <row r="2288" spans="25:25" x14ac:dyDescent="0.2">
      <c r="Y2288" s="18"/>
    </row>
    <row r="2289" spans="25:25" x14ac:dyDescent="0.2">
      <c r="Y2289" s="18"/>
    </row>
    <row r="2290" spans="25:25" x14ac:dyDescent="0.2">
      <c r="Y2290" s="18"/>
    </row>
    <row r="2291" spans="25:25" x14ac:dyDescent="0.2">
      <c r="Y2291" s="18"/>
    </row>
    <row r="2292" spans="25:25" x14ac:dyDescent="0.2">
      <c r="Y2292" s="18"/>
    </row>
    <row r="2293" spans="25:25" x14ac:dyDescent="0.2">
      <c r="Y2293" s="18"/>
    </row>
    <row r="2294" spans="25:25" x14ac:dyDescent="0.2">
      <c r="Y2294" s="18"/>
    </row>
    <row r="2295" spans="25:25" x14ac:dyDescent="0.2">
      <c r="Y2295" s="18"/>
    </row>
    <row r="2296" spans="25:25" x14ac:dyDescent="0.2">
      <c r="Y2296" s="18"/>
    </row>
    <row r="2297" spans="25:25" x14ac:dyDescent="0.2">
      <c r="Y2297" s="18"/>
    </row>
    <row r="2298" spans="25:25" x14ac:dyDescent="0.2">
      <c r="Y2298" s="18"/>
    </row>
    <row r="2299" spans="25:25" x14ac:dyDescent="0.2">
      <c r="Y2299" s="18"/>
    </row>
    <row r="2300" spans="25:25" x14ac:dyDescent="0.2">
      <c r="Y2300" s="18"/>
    </row>
    <row r="2301" spans="25:25" x14ac:dyDescent="0.2">
      <c r="Y2301" s="18"/>
    </row>
    <row r="2302" spans="25:25" x14ac:dyDescent="0.2">
      <c r="Y2302" s="18"/>
    </row>
    <row r="2303" spans="25:25" x14ac:dyDescent="0.2">
      <c r="Y2303" s="18"/>
    </row>
    <row r="2304" spans="25:25" x14ac:dyDescent="0.2">
      <c r="Y2304" s="18"/>
    </row>
    <row r="2305" spans="25:25" x14ac:dyDescent="0.2">
      <c r="Y2305" s="18"/>
    </row>
    <row r="2306" spans="25:25" x14ac:dyDescent="0.2">
      <c r="Y2306" s="18"/>
    </row>
    <row r="2307" spans="25:25" x14ac:dyDescent="0.2">
      <c r="Y2307" s="18"/>
    </row>
    <row r="2308" spans="25:25" x14ac:dyDescent="0.2">
      <c r="Y2308" s="18"/>
    </row>
    <row r="2309" spans="25:25" x14ac:dyDescent="0.2">
      <c r="Y2309" s="18"/>
    </row>
    <row r="2310" spans="25:25" x14ac:dyDescent="0.2">
      <c r="Y2310" s="18"/>
    </row>
    <row r="2311" spans="25:25" x14ac:dyDescent="0.2">
      <c r="Y2311" s="18"/>
    </row>
    <row r="2312" spans="25:25" x14ac:dyDescent="0.2">
      <c r="Y2312" s="18"/>
    </row>
    <row r="2313" spans="25:25" x14ac:dyDescent="0.2">
      <c r="Y2313" s="18"/>
    </row>
    <row r="2314" spans="25:25" x14ac:dyDescent="0.2">
      <c r="Y2314" s="18"/>
    </row>
    <row r="2315" spans="25:25" x14ac:dyDescent="0.2">
      <c r="Y2315" s="18"/>
    </row>
    <row r="2316" spans="25:25" x14ac:dyDescent="0.2">
      <c r="Y2316" s="18"/>
    </row>
    <row r="2317" spans="25:25" x14ac:dyDescent="0.2">
      <c r="Y2317" s="18"/>
    </row>
    <row r="2318" spans="25:25" x14ac:dyDescent="0.2">
      <c r="Y2318" s="18"/>
    </row>
    <row r="2319" spans="25:25" x14ac:dyDescent="0.2">
      <c r="Y2319" s="18"/>
    </row>
    <row r="2320" spans="25:25" x14ac:dyDescent="0.2">
      <c r="Y2320" s="18"/>
    </row>
    <row r="2321" spans="25:25" x14ac:dyDescent="0.2">
      <c r="Y2321" s="18"/>
    </row>
    <row r="2322" spans="25:25" x14ac:dyDescent="0.2">
      <c r="Y2322" s="18"/>
    </row>
    <row r="2323" spans="25:25" x14ac:dyDescent="0.2">
      <c r="Y2323" s="18"/>
    </row>
    <row r="2324" spans="25:25" x14ac:dyDescent="0.2">
      <c r="Y2324" s="18"/>
    </row>
    <row r="2325" spans="25:25" x14ac:dyDescent="0.2">
      <c r="Y2325" s="18"/>
    </row>
    <row r="2326" spans="25:25" x14ac:dyDescent="0.2">
      <c r="Y2326" s="18"/>
    </row>
    <row r="2327" spans="25:25" x14ac:dyDescent="0.2">
      <c r="Y2327" s="18"/>
    </row>
    <row r="2328" spans="25:25" x14ac:dyDescent="0.2">
      <c r="Y2328" s="18"/>
    </row>
    <row r="2329" spans="25:25" x14ac:dyDescent="0.2">
      <c r="Y2329" s="18"/>
    </row>
    <row r="2330" spans="25:25" x14ac:dyDescent="0.2">
      <c r="Y2330" s="18"/>
    </row>
    <row r="2331" spans="25:25" x14ac:dyDescent="0.2">
      <c r="Y2331" s="18"/>
    </row>
    <row r="2332" spans="25:25" x14ac:dyDescent="0.2">
      <c r="Y2332" s="18"/>
    </row>
    <row r="2333" spans="25:25" x14ac:dyDescent="0.2">
      <c r="Y2333" s="18"/>
    </row>
    <row r="2334" spans="25:25" x14ac:dyDescent="0.2">
      <c r="Y2334" s="18"/>
    </row>
    <row r="2335" spans="25:25" x14ac:dyDescent="0.2">
      <c r="Y2335" s="18"/>
    </row>
    <row r="2336" spans="25:25" x14ac:dyDescent="0.2">
      <c r="Y2336" s="18"/>
    </row>
    <row r="2337" spans="25:25" x14ac:dyDescent="0.2">
      <c r="Y2337" s="18"/>
    </row>
    <row r="2338" spans="25:25" x14ac:dyDescent="0.2">
      <c r="Y2338" s="18"/>
    </row>
    <row r="2339" spans="25:25" x14ac:dyDescent="0.2">
      <c r="Y2339" s="18"/>
    </row>
    <row r="2340" spans="25:25" x14ac:dyDescent="0.2">
      <c r="Y2340" s="18"/>
    </row>
    <row r="2341" spans="25:25" x14ac:dyDescent="0.2">
      <c r="Y2341" s="18"/>
    </row>
    <row r="2342" spans="25:25" x14ac:dyDescent="0.2">
      <c r="Y2342" s="18"/>
    </row>
    <row r="2343" spans="25:25" x14ac:dyDescent="0.2">
      <c r="Y2343" s="18"/>
    </row>
    <row r="2344" spans="25:25" x14ac:dyDescent="0.2">
      <c r="Y2344" s="18"/>
    </row>
    <row r="2345" spans="25:25" x14ac:dyDescent="0.2">
      <c r="Y2345" s="18"/>
    </row>
    <row r="2346" spans="25:25" x14ac:dyDescent="0.2">
      <c r="Y2346" s="18"/>
    </row>
    <row r="2347" spans="25:25" x14ac:dyDescent="0.2">
      <c r="Y2347" s="18"/>
    </row>
    <row r="2348" spans="25:25" x14ac:dyDescent="0.2">
      <c r="Y2348" s="18"/>
    </row>
    <row r="2349" spans="25:25" x14ac:dyDescent="0.2">
      <c r="Y2349" s="18"/>
    </row>
    <row r="2350" spans="25:25" x14ac:dyDescent="0.2">
      <c r="Y2350" s="18"/>
    </row>
    <row r="2351" spans="25:25" x14ac:dyDescent="0.2">
      <c r="Y2351" s="18"/>
    </row>
    <row r="2352" spans="25:25" x14ac:dyDescent="0.2">
      <c r="Y2352" s="18"/>
    </row>
    <row r="2353" spans="25:25" x14ac:dyDescent="0.2">
      <c r="Y2353" s="18"/>
    </row>
    <row r="2354" spans="25:25" x14ac:dyDescent="0.2">
      <c r="Y2354" s="18"/>
    </row>
    <row r="2355" spans="25:25" x14ac:dyDescent="0.2">
      <c r="Y2355" s="18"/>
    </row>
    <row r="2356" spans="25:25" x14ac:dyDescent="0.2">
      <c r="Y2356" s="18"/>
    </row>
    <row r="2357" spans="25:25" x14ac:dyDescent="0.2">
      <c r="Y2357" s="18"/>
    </row>
    <row r="2358" spans="25:25" x14ac:dyDescent="0.2">
      <c r="Y2358" s="18"/>
    </row>
    <row r="2359" spans="25:25" x14ac:dyDescent="0.2">
      <c r="Y2359" s="18"/>
    </row>
    <row r="2360" spans="25:25" x14ac:dyDescent="0.2">
      <c r="Y2360" s="18"/>
    </row>
    <row r="2361" spans="25:25" x14ac:dyDescent="0.2">
      <c r="Y2361" s="18"/>
    </row>
    <row r="2362" spans="25:25" x14ac:dyDescent="0.2">
      <c r="Y2362" s="18"/>
    </row>
    <row r="2363" spans="25:25" x14ac:dyDescent="0.2">
      <c r="Y2363" s="18"/>
    </row>
    <row r="2364" spans="25:25" x14ac:dyDescent="0.2">
      <c r="Y2364" s="18"/>
    </row>
    <row r="2365" spans="25:25" x14ac:dyDescent="0.2">
      <c r="Y2365" s="18"/>
    </row>
    <row r="2366" spans="25:25" x14ac:dyDescent="0.2">
      <c r="Y2366" s="18"/>
    </row>
    <row r="2367" spans="25:25" x14ac:dyDescent="0.2">
      <c r="Y2367" s="18"/>
    </row>
    <row r="2368" spans="25:25" x14ac:dyDescent="0.2">
      <c r="Y2368" s="18"/>
    </row>
    <row r="2369" spans="25:25" x14ac:dyDescent="0.2">
      <c r="Y2369" s="18"/>
    </row>
    <row r="2370" spans="25:25" x14ac:dyDescent="0.2">
      <c r="Y2370" s="18"/>
    </row>
    <row r="2371" spans="25:25" x14ac:dyDescent="0.2">
      <c r="Y2371" s="18"/>
    </row>
    <row r="2372" spans="25:25" x14ac:dyDescent="0.2">
      <c r="Y2372" s="18"/>
    </row>
    <row r="2373" spans="25:25" x14ac:dyDescent="0.2">
      <c r="Y2373" s="18"/>
    </row>
    <row r="2374" spans="25:25" x14ac:dyDescent="0.2">
      <c r="Y2374" s="18"/>
    </row>
    <row r="2375" spans="25:25" x14ac:dyDescent="0.2">
      <c r="Y2375" s="18"/>
    </row>
    <row r="2376" spans="25:25" x14ac:dyDescent="0.2">
      <c r="Y2376" s="18"/>
    </row>
    <row r="2377" spans="25:25" x14ac:dyDescent="0.2">
      <c r="Y2377" s="18"/>
    </row>
    <row r="2378" spans="25:25" x14ac:dyDescent="0.2">
      <c r="Y2378" s="18"/>
    </row>
    <row r="2379" spans="25:25" x14ac:dyDescent="0.2">
      <c r="Y2379" s="18"/>
    </row>
    <row r="2380" spans="25:25" x14ac:dyDescent="0.2">
      <c r="Y2380" s="18"/>
    </row>
    <row r="2381" spans="25:25" x14ac:dyDescent="0.2">
      <c r="Y2381" s="18"/>
    </row>
    <row r="2382" spans="25:25" x14ac:dyDescent="0.2">
      <c r="Y2382" s="18"/>
    </row>
    <row r="2383" spans="25:25" x14ac:dyDescent="0.2">
      <c r="Y2383" s="18"/>
    </row>
    <row r="2384" spans="25:25" x14ac:dyDescent="0.2">
      <c r="Y2384" s="18"/>
    </row>
    <row r="2385" spans="25:25" x14ac:dyDescent="0.2">
      <c r="Y2385" s="18"/>
    </row>
    <row r="2386" spans="25:25" x14ac:dyDescent="0.2">
      <c r="Y2386" s="18"/>
    </row>
    <row r="2387" spans="25:25" x14ac:dyDescent="0.2">
      <c r="Y2387" s="18"/>
    </row>
    <row r="2388" spans="25:25" x14ac:dyDescent="0.2">
      <c r="Y2388" s="18"/>
    </row>
    <row r="2389" spans="25:25" x14ac:dyDescent="0.2">
      <c r="Y2389" s="18"/>
    </row>
    <row r="2390" spans="25:25" x14ac:dyDescent="0.2">
      <c r="Y2390" s="18"/>
    </row>
    <row r="2391" spans="25:25" x14ac:dyDescent="0.2">
      <c r="Y2391" s="18"/>
    </row>
    <row r="2392" spans="25:25" x14ac:dyDescent="0.2">
      <c r="Y2392" s="18"/>
    </row>
    <row r="2393" spans="25:25" x14ac:dyDescent="0.2">
      <c r="Y2393" s="18"/>
    </row>
    <row r="2394" spans="25:25" x14ac:dyDescent="0.2">
      <c r="Y2394" s="18"/>
    </row>
    <row r="2395" spans="25:25" x14ac:dyDescent="0.2">
      <c r="Y2395" s="18"/>
    </row>
    <row r="2396" spans="25:25" x14ac:dyDescent="0.2">
      <c r="Y2396" s="18"/>
    </row>
    <row r="2397" spans="25:25" x14ac:dyDescent="0.2">
      <c r="Y2397" s="18"/>
    </row>
    <row r="2398" spans="25:25" x14ac:dyDescent="0.2">
      <c r="Y2398" s="18"/>
    </row>
    <row r="2399" spans="25:25" x14ac:dyDescent="0.2">
      <c r="Y2399" s="18"/>
    </row>
    <row r="2400" spans="25:25" x14ac:dyDescent="0.2">
      <c r="Y2400" s="18"/>
    </row>
    <row r="2401" spans="25:25" x14ac:dyDescent="0.2">
      <c r="Y2401" s="18"/>
    </row>
    <row r="2402" spans="25:25" x14ac:dyDescent="0.2">
      <c r="Y2402" s="18"/>
    </row>
    <row r="2403" spans="25:25" x14ac:dyDescent="0.2">
      <c r="Y2403" s="18"/>
    </row>
    <row r="2404" spans="25:25" x14ac:dyDescent="0.2">
      <c r="Y2404" s="18"/>
    </row>
    <row r="2405" spans="25:25" x14ac:dyDescent="0.2">
      <c r="Y2405" s="18"/>
    </row>
    <row r="2406" spans="25:25" x14ac:dyDescent="0.2">
      <c r="Y2406" s="18"/>
    </row>
    <row r="2407" spans="25:25" x14ac:dyDescent="0.2">
      <c r="Y2407" s="18"/>
    </row>
    <row r="2408" spans="25:25" x14ac:dyDescent="0.2">
      <c r="Y2408" s="18"/>
    </row>
    <row r="2409" spans="25:25" x14ac:dyDescent="0.2">
      <c r="Y2409" s="18"/>
    </row>
    <row r="2410" spans="25:25" x14ac:dyDescent="0.2">
      <c r="Y2410" s="18"/>
    </row>
    <row r="2411" spans="25:25" x14ac:dyDescent="0.2">
      <c r="Y2411" s="18"/>
    </row>
    <row r="2412" spans="25:25" x14ac:dyDescent="0.2">
      <c r="Y2412" s="18"/>
    </row>
    <row r="2413" spans="25:25" x14ac:dyDescent="0.2">
      <c r="Y2413" s="18"/>
    </row>
    <row r="2414" spans="25:25" x14ac:dyDescent="0.2">
      <c r="Y2414" s="18"/>
    </row>
    <row r="2415" spans="25:25" x14ac:dyDescent="0.2">
      <c r="Y2415" s="18"/>
    </row>
    <row r="2416" spans="25:25" x14ac:dyDescent="0.2">
      <c r="Y2416" s="18"/>
    </row>
    <row r="2417" spans="25:25" x14ac:dyDescent="0.2">
      <c r="Y2417" s="18"/>
    </row>
    <row r="2418" spans="25:25" x14ac:dyDescent="0.2">
      <c r="Y2418" s="18"/>
    </row>
    <row r="2419" spans="25:25" x14ac:dyDescent="0.2">
      <c r="Y2419" s="18"/>
    </row>
    <row r="2420" spans="25:25" x14ac:dyDescent="0.2">
      <c r="Y2420" s="18"/>
    </row>
    <row r="2421" spans="25:25" x14ac:dyDescent="0.2">
      <c r="Y2421" s="18"/>
    </row>
    <row r="2422" spans="25:25" x14ac:dyDescent="0.2">
      <c r="Y2422" s="18"/>
    </row>
    <row r="2423" spans="25:25" x14ac:dyDescent="0.2">
      <c r="Y2423" s="18"/>
    </row>
    <row r="2424" spans="25:25" x14ac:dyDescent="0.2">
      <c r="Y2424" s="18"/>
    </row>
    <row r="2425" spans="25:25" x14ac:dyDescent="0.2">
      <c r="Y2425" s="18"/>
    </row>
    <row r="2426" spans="25:25" x14ac:dyDescent="0.2">
      <c r="Y2426" s="18"/>
    </row>
    <row r="2427" spans="25:25" x14ac:dyDescent="0.2">
      <c r="Y2427" s="18"/>
    </row>
    <row r="2428" spans="25:25" x14ac:dyDescent="0.2">
      <c r="Y2428" s="18"/>
    </row>
    <row r="2429" spans="25:25" x14ac:dyDescent="0.2">
      <c r="Y2429" s="18"/>
    </row>
    <row r="2430" spans="25:25" x14ac:dyDescent="0.2">
      <c r="Y2430" s="18"/>
    </row>
    <row r="2431" spans="25:25" x14ac:dyDescent="0.2">
      <c r="Y2431" s="18"/>
    </row>
    <row r="2432" spans="25:25" x14ac:dyDescent="0.2">
      <c r="Y2432" s="18"/>
    </row>
    <row r="2433" spans="25:25" x14ac:dyDescent="0.2">
      <c r="Y2433" s="18"/>
    </row>
    <row r="2434" spans="25:25" x14ac:dyDescent="0.2">
      <c r="Y2434" s="18"/>
    </row>
    <row r="2435" spans="25:25" x14ac:dyDescent="0.2">
      <c r="Y2435" s="18"/>
    </row>
    <row r="2436" spans="25:25" x14ac:dyDescent="0.2">
      <c r="Y2436" s="18"/>
    </row>
    <row r="2437" spans="25:25" x14ac:dyDescent="0.2">
      <c r="Y2437" s="18"/>
    </row>
    <row r="2438" spans="25:25" x14ac:dyDescent="0.2">
      <c r="Y2438" s="18"/>
    </row>
    <row r="2439" spans="25:25" x14ac:dyDescent="0.2">
      <c r="Y2439" s="18"/>
    </row>
    <row r="2440" spans="25:25" x14ac:dyDescent="0.2">
      <c r="Y2440" s="18"/>
    </row>
    <row r="2441" spans="25:25" x14ac:dyDescent="0.2">
      <c r="Y2441" s="18"/>
    </row>
    <row r="2442" spans="25:25" x14ac:dyDescent="0.2">
      <c r="Y2442" s="18"/>
    </row>
    <row r="2443" spans="25:25" x14ac:dyDescent="0.2">
      <c r="Y2443" s="18"/>
    </row>
    <row r="2444" spans="25:25" x14ac:dyDescent="0.2">
      <c r="Y2444" s="18"/>
    </row>
    <row r="2445" spans="25:25" x14ac:dyDescent="0.2">
      <c r="Y2445" s="18"/>
    </row>
    <row r="2446" spans="25:25" x14ac:dyDescent="0.2">
      <c r="Y2446" s="18"/>
    </row>
    <row r="2447" spans="25:25" x14ac:dyDescent="0.2">
      <c r="Y2447" s="18"/>
    </row>
    <row r="2448" spans="25:25" x14ac:dyDescent="0.2">
      <c r="Y2448" s="18"/>
    </row>
    <row r="2449" spans="25:25" x14ac:dyDescent="0.2">
      <c r="Y2449" s="18"/>
    </row>
    <row r="2450" spans="25:25" x14ac:dyDescent="0.2">
      <c r="Y2450" s="18"/>
    </row>
    <row r="2451" spans="25:25" x14ac:dyDescent="0.2">
      <c r="Y2451" s="18"/>
    </row>
    <row r="2452" spans="25:25" x14ac:dyDescent="0.2">
      <c r="Y2452" s="18"/>
    </row>
    <row r="2453" spans="25:25" x14ac:dyDescent="0.2">
      <c r="Y2453" s="18"/>
    </row>
    <row r="2454" spans="25:25" x14ac:dyDescent="0.2">
      <c r="Y2454" s="18"/>
    </row>
    <row r="2455" spans="25:25" x14ac:dyDescent="0.2">
      <c r="Y2455" s="18"/>
    </row>
    <row r="2456" spans="25:25" x14ac:dyDescent="0.2">
      <c r="Y2456" s="18"/>
    </row>
    <row r="2457" spans="25:25" x14ac:dyDescent="0.2">
      <c r="Y2457" s="18"/>
    </row>
    <row r="2458" spans="25:25" x14ac:dyDescent="0.2">
      <c r="Y2458" s="18"/>
    </row>
    <row r="2459" spans="25:25" x14ac:dyDescent="0.2">
      <c r="Y2459" s="18"/>
    </row>
    <row r="2460" spans="25:25" x14ac:dyDescent="0.2">
      <c r="Y2460" s="18"/>
    </row>
    <row r="2461" spans="25:25" x14ac:dyDescent="0.2">
      <c r="Y2461" s="18"/>
    </row>
    <row r="2462" spans="25:25" x14ac:dyDescent="0.2">
      <c r="Y2462" s="18"/>
    </row>
    <row r="2463" spans="25:25" x14ac:dyDescent="0.2">
      <c r="Y2463" s="18"/>
    </row>
    <row r="2464" spans="25:25" x14ac:dyDescent="0.2">
      <c r="Y2464" s="18"/>
    </row>
    <row r="2465" spans="25:25" x14ac:dyDescent="0.2">
      <c r="Y2465" s="18"/>
    </row>
    <row r="2466" spans="25:25" x14ac:dyDescent="0.2">
      <c r="Y2466" s="18"/>
    </row>
    <row r="2467" spans="25:25" x14ac:dyDescent="0.2">
      <c r="Y2467" s="18"/>
    </row>
    <row r="2468" spans="25:25" x14ac:dyDescent="0.2">
      <c r="Y2468" s="18"/>
    </row>
    <row r="2469" spans="25:25" x14ac:dyDescent="0.2">
      <c r="Y2469" s="18"/>
    </row>
    <row r="2470" spans="25:25" x14ac:dyDescent="0.2">
      <c r="Y2470" s="18"/>
    </row>
    <row r="2471" spans="25:25" x14ac:dyDescent="0.2">
      <c r="Y2471" s="18"/>
    </row>
    <row r="2472" spans="25:25" x14ac:dyDescent="0.2">
      <c r="Y2472" s="18"/>
    </row>
    <row r="2473" spans="25:25" x14ac:dyDescent="0.2">
      <c r="Y2473" s="18"/>
    </row>
    <row r="2474" spans="25:25" x14ac:dyDescent="0.2">
      <c r="Y2474" s="18"/>
    </row>
    <row r="2475" spans="25:25" x14ac:dyDescent="0.2">
      <c r="Y2475" s="18"/>
    </row>
    <row r="2476" spans="25:25" x14ac:dyDescent="0.2">
      <c r="Y2476" s="18"/>
    </row>
    <row r="2477" spans="25:25" x14ac:dyDescent="0.2">
      <c r="Y2477" s="18"/>
    </row>
    <row r="2478" spans="25:25" x14ac:dyDescent="0.2">
      <c r="Y2478" s="18"/>
    </row>
    <row r="2479" spans="25:25" x14ac:dyDescent="0.2">
      <c r="Y2479" s="18"/>
    </row>
    <row r="2480" spans="25:25" x14ac:dyDescent="0.2">
      <c r="Y2480" s="18"/>
    </row>
    <row r="2481" spans="25:25" x14ac:dyDescent="0.2">
      <c r="Y2481" s="18"/>
    </row>
    <row r="2482" spans="25:25" x14ac:dyDescent="0.2">
      <c r="Y2482" s="18"/>
    </row>
    <row r="2483" spans="25:25" x14ac:dyDescent="0.2">
      <c r="Y2483" s="18"/>
    </row>
    <row r="2484" spans="25:25" x14ac:dyDescent="0.2">
      <c r="Y2484" s="18"/>
    </row>
    <row r="2485" spans="25:25" x14ac:dyDescent="0.2">
      <c r="Y2485" s="18"/>
    </row>
    <row r="2486" spans="25:25" x14ac:dyDescent="0.2">
      <c r="Y2486" s="18"/>
    </row>
    <row r="2487" spans="25:25" x14ac:dyDescent="0.2">
      <c r="Y2487" s="18"/>
    </row>
    <row r="2488" spans="25:25" x14ac:dyDescent="0.2">
      <c r="Y2488" s="18"/>
    </row>
    <row r="2489" spans="25:25" x14ac:dyDescent="0.2">
      <c r="Y2489" s="18"/>
    </row>
    <row r="2490" spans="25:25" x14ac:dyDescent="0.2">
      <c r="Y2490" s="18"/>
    </row>
    <row r="2491" spans="25:25" x14ac:dyDescent="0.2">
      <c r="Y2491" s="18"/>
    </row>
    <row r="2492" spans="25:25" x14ac:dyDescent="0.2">
      <c r="Y2492" s="18"/>
    </row>
    <row r="2493" spans="25:25" x14ac:dyDescent="0.2">
      <c r="Y2493" s="18"/>
    </row>
    <row r="2494" spans="25:25" x14ac:dyDescent="0.2">
      <c r="Y2494" s="18"/>
    </row>
    <row r="2495" spans="25:25" x14ac:dyDescent="0.2">
      <c r="Y2495" s="18"/>
    </row>
    <row r="2496" spans="25:25" x14ac:dyDescent="0.2">
      <c r="Y2496" s="18"/>
    </row>
    <row r="2497" spans="25:25" x14ac:dyDescent="0.2">
      <c r="Y2497" s="18"/>
    </row>
    <row r="2498" spans="25:25" x14ac:dyDescent="0.2">
      <c r="Y2498" s="18"/>
    </row>
    <row r="2499" spans="25:25" x14ac:dyDescent="0.2">
      <c r="Y2499" s="18"/>
    </row>
    <row r="2500" spans="25:25" x14ac:dyDescent="0.2">
      <c r="Y2500" s="18"/>
    </row>
    <row r="2501" spans="25:25" x14ac:dyDescent="0.2">
      <c r="Y2501" s="18"/>
    </row>
    <row r="2502" spans="25:25" x14ac:dyDescent="0.2">
      <c r="Y2502" s="18"/>
    </row>
    <row r="2503" spans="25:25" x14ac:dyDescent="0.2">
      <c r="Y2503" s="18"/>
    </row>
    <row r="2504" spans="25:25" x14ac:dyDescent="0.2">
      <c r="Y2504" s="18"/>
    </row>
    <row r="2505" spans="25:25" x14ac:dyDescent="0.2">
      <c r="Y2505" s="18"/>
    </row>
    <row r="2506" spans="25:25" x14ac:dyDescent="0.2">
      <c r="Y2506" s="18"/>
    </row>
    <row r="2507" spans="25:25" x14ac:dyDescent="0.2">
      <c r="Y2507" s="18"/>
    </row>
    <row r="2508" spans="25:25" x14ac:dyDescent="0.2">
      <c r="Y2508" s="18"/>
    </row>
    <row r="2509" spans="25:25" x14ac:dyDescent="0.2">
      <c r="Y2509" s="18"/>
    </row>
    <row r="2510" spans="25:25" x14ac:dyDescent="0.2">
      <c r="Y2510" s="18"/>
    </row>
    <row r="2511" spans="25:25" x14ac:dyDescent="0.2">
      <c r="Y2511" s="18"/>
    </row>
    <row r="2512" spans="25:25" x14ac:dyDescent="0.2">
      <c r="Y2512" s="18"/>
    </row>
    <row r="2513" spans="25:25" x14ac:dyDescent="0.2">
      <c r="Y2513" s="18"/>
    </row>
    <row r="2514" spans="25:25" x14ac:dyDescent="0.2">
      <c r="Y2514" s="18"/>
    </row>
    <row r="2515" spans="25:25" x14ac:dyDescent="0.2">
      <c r="Y2515" s="18"/>
    </row>
    <row r="2516" spans="25:25" x14ac:dyDescent="0.2">
      <c r="Y2516" s="18"/>
    </row>
    <row r="2517" spans="25:25" x14ac:dyDescent="0.2">
      <c r="Y2517" s="18"/>
    </row>
    <row r="2518" spans="25:25" x14ac:dyDescent="0.2">
      <c r="Y2518" s="18"/>
    </row>
    <row r="2519" spans="25:25" x14ac:dyDescent="0.2">
      <c r="Y2519" s="18"/>
    </row>
    <row r="2520" spans="25:25" x14ac:dyDescent="0.2">
      <c r="Y2520" s="18"/>
    </row>
    <row r="2521" spans="25:25" x14ac:dyDescent="0.2">
      <c r="Y2521" s="18"/>
    </row>
    <row r="2522" spans="25:25" x14ac:dyDescent="0.2">
      <c r="Y2522" s="18"/>
    </row>
    <row r="2523" spans="25:25" x14ac:dyDescent="0.2">
      <c r="Y2523" s="18"/>
    </row>
    <row r="2524" spans="25:25" x14ac:dyDescent="0.2">
      <c r="Y2524" s="18"/>
    </row>
    <row r="2525" spans="25:25" x14ac:dyDescent="0.2">
      <c r="Y2525" s="18"/>
    </row>
    <row r="2526" spans="25:25" x14ac:dyDescent="0.2">
      <c r="Y2526" s="18"/>
    </row>
    <row r="2527" spans="25:25" x14ac:dyDescent="0.2">
      <c r="Y2527" s="18"/>
    </row>
    <row r="2528" spans="25:25" x14ac:dyDescent="0.2">
      <c r="Y2528" s="18"/>
    </row>
    <row r="2529" spans="25:25" x14ac:dyDescent="0.2">
      <c r="Y2529" s="18"/>
    </row>
    <row r="2530" spans="25:25" x14ac:dyDescent="0.2">
      <c r="Y2530" s="18"/>
    </row>
    <row r="2531" spans="25:25" x14ac:dyDescent="0.2">
      <c r="Y2531" s="18"/>
    </row>
    <row r="2532" spans="25:25" x14ac:dyDescent="0.2">
      <c r="Y2532" s="18"/>
    </row>
    <row r="2533" spans="25:25" x14ac:dyDescent="0.2">
      <c r="Y2533" s="18"/>
    </row>
    <row r="2534" spans="25:25" x14ac:dyDescent="0.2">
      <c r="Y2534" s="18"/>
    </row>
    <row r="2535" spans="25:25" x14ac:dyDescent="0.2">
      <c r="Y2535" s="18"/>
    </row>
    <row r="2536" spans="25:25" x14ac:dyDescent="0.2">
      <c r="Y2536" s="18"/>
    </row>
    <row r="2537" spans="25:25" x14ac:dyDescent="0.2">
      <c r="Y2537" s="18"/>
    </row>
    <row r="2538" spans="25:25" x14ac:dyDescent="0.2">
      <c r="Y2538" s="18"/>
    </row>
    <row r="2539" spans="25:25" x14ac:dyDescent="0.2">
      <c r="Y2539" s="18"/>
    </row>
    <row r="2540" spans="25:25" x14ac:dyDescent="0.2">
      <c r="Y2540" s="18"/>
    </row>
    <row r="2541" spans="25:25" x14ac:dyDescent="0.2">
      <c r="Y2541" s="18"/>
    </row>
    <row r="2542" spans="25:25" x14ac:dyDescent="0.2">
      <c r="Y2542" s="18"/>
    </row>
    <row r="2543" spans="25:25" x14ac:dyDescent="0.2">
      <c r="Y2543" s="18"/>
    </row>
    <row r="2544" spans="25:25" x14ac:dyDescent="0.2">
      <c r="Y2544" s="18"/>
    </row>
    <row r="2545" spans="25:25" x14ac:dyDescent="0.2">
      <c r="Y2545" s="18"/>
    </row>
    <row r="2546" spans="25:25" x14ac:dyDescent="0.2">
      <c r="Y2546" s="18"/>
    </row>
    <row r="2547" spans="25:25" x14ac:dyDescent="0.2">
      <c r="Y2547" s="18"/>
    </row>
    <row r="2548" spans="25:25" x14ac:dyDescent="0.2">
      <c r="Y2548" s="18"/>
    </row>
    <row r="2549" spans="25:25" x14ac:dyDescent="0.2">
      <c r="Y2549" s="18"/>
    </row>
    <row r="2550" spans="25:25" x14ac:dyDescent="0.2">
      <c r="Y2550" s="18"/>
    </row>
    <row r="2551" spans="25:25" x14ac:dyDescent="0.2">
      <c r="Y2551" s="18"/>
    </row>
    <row r="2552" spans="25:25" x14ac:dyDescent="0.2">
      <c r="Y2552" s="18"/>
    </row>
    <row r="2553" spans="25:25" x14ac:dyDescent="0.2">
      <c r="Y2553" s="18"/>
    </row>
    <row r="2554" spans="25:25" x14ac:dyDescent="0.2">
      <c r="Y2554" s="18"/>
    </row>
    <row r="2555" spans="25:25" x14ac:dyDescent="0.2">
      <c r="Y2555" s="18"/>
    </row>
    <row r="2556" spans="25:25" x14ac:dyDescent="0.2">
      <c r="Y2556" s="18"/>
    </row>
    <row r="2557" spans="25:25" x14ac:dyDescent="0.2">
      <c r="Y2557" s="18"/>
    </row>
    <row r="2558" spans="25:25" x14ac:dyDescent="0.2">
      <c r="Y2558" s="18"/>
    </row>
    <row r="2559" spans="25:25" x14ac:dyDescent="0.2">
      <c r="Y2559" s="18"/>
    </row>
    <row r="2560" spans="25:25" x14ac:dyDescent="0.2">
      <c r="Y2560" s="18"/>
    </row>
    <row r="2561" spans="25:25" x14ac:dyDescent="0.2">
      <c r="Y2561" s="18"/>
    </row>
    <row r="2562" spans="25:25" x14ac:dyDescent="0.2">
      <c r="Y2562" s="18"/>
    </row>
    <row r="2563" spans="25:25" x14ac:dyDescent="0.2">
      <c r="Y2563" s="18"/>
    </row>
    <row r="2564" spans="25:25" x14ac:dyDescent="0.2">
      <c r="Y2564" s="18"/>
    </row>
    <row r="2565" spans="25:25" x14ac:dyDescent="0.2">
      <c r="Y2565" s="18"/>
    </row>
    <row r="2566" spans="25:25" x14ac:dyDescent="0.2">
      <c r="Y2566" s="18"/>
    </row>
    <row r="2567" spans="25:25" x14ac:dyDescent="0.2">
      <c r="Y2567" s="18"/>
    </row>
    <row r="2568" spans="25:25" x14ac:dyDescent="0.2">
      <c r="Y2568" s="18"/>
    </row>
    <row r="2569" spans="25:25" x14ac:dyDescent="0.2">
      <c r="Y2569" s="18"/>
    </row>
    <row r="2570" spans="25:25" x14ac:dyDescent="0.2">
      <c r="Y2570" s="18"/>
    </row>
    <row r="2571" spans="25:25" x14ac:dyDescent="0.2">
      <c r="Y2571" s="18"/>
    </row>
    <row r="2572" spans="25:25" x14ac:dyDescent="0.2">
      <c r="Y2572" s="18"/>
    </row>
    <row r="2573" spans="25:25" x14ac:dyDescent="0.2">
      <c r="Y2573" s="18"/>
    </row>
    <row r="2574" spans="25:25" x14ac:dyDescent="0.2">
      <c r="Y2574" s="18"/>
    </row>
    <row r="2575" spans="25:25" x14ac:dyDescent="0.2">
      <c r="Y2575" s="18"/>
    </row>
    <row r="2576" spans="25:25" x14ac:dyDescent="0.2">
      <c r="Y2576" s="18"/>
    </row>
    <row r="2577" spans="25:25" x14ac:dyDescent="0.2">
      <c r="Y2577" s="18"/>
    </row>
    <row r="2578" spans="25:25" x14ac:dyDescent="0.2">
      <c r="Y2578" s="18"/>
    </row>
    <row r="2579" spans="25:25" x14ac:dyDescent="0.2">
      <c r="Y2579" s="18"/>
    </row>
    <row r="2580" spans="25:25" x14ac:dyDescent="0.2">
      <c r="Y2580" s="18"/>
    </row>
    <row r="2581" spans="25:25" x14ac:dyDescent="0.2">
      <c r="Y2581" s="18"/>
    </row>
    <row r="2582" spans="25:25" x14ac:dyDescent="0.2">
      <c r="Y2582" s="18"/>
    </row>
    <row r="2583" spans="25:25" x14ac:dyDescent="0.2">
      <c r="Y2583" s="18"/>
    </row>
    <row r="2584" spans="25:25" x14ac:dyDescent="0.2">
      <c r="Y2584" s="18"/>
    </row>
    <row r="2585" spans="25:25" x14ac:dyDescent="0.2">
      <c r="Y2585" s="18"/>
    </row>
    <row r="2586" spans="25:25" x14ac:dyDescent="0.2">
      <c r="Y2586" s="18"/>
    </row>
    <row r="2587" spans="25:25" x14ac:dyDescent="0.2">
      <c r="Y2587" s="18"/>
    </row>
    <row r="2588" spans="25:25" x14ac:dyDescent="0.2">
      <c r="Y2588" s="18"/>
    </row>
    <row r="2589" spans="25:25" x14ac:dyDescent="0.2">
      <c r="Y2589" s="18"/>
    </row>
    <row r="2590" spans="25:25" x14ac:dyDescent="0.2">
      <c r="Y2590" s="18"/>
    </row>
    <row r="2591" spans="25:25" x14ac:dyDescent="0.2">
      <c r="Y2591" s="18"/>
    </row>
    <row r="2592" spans="25:25" x14ac:dyDescent="0.2">
      <c r="Y2592" s="18"/>
    </row>
    <row r="2593" spans="25:25" x14ac:dyDescent="0.2">
      <c r="Y2593" s="18"/>
    </row>
    <row r="2594" spans="25:25" x14ac:dyDescent="0.2">
      <c r="Y2594" s="18"/>
    </row>
    <row r="2595" spans="25:25" x14ac:dyDescent="0.2">
      <c r="Y2595" s="18"/>
    </row>
    <row r="2596" spans="25:25" x14ac:dyDescent="0.2">
      <c r="Y2596" s="18"/>
    </row>
    <row r="2597" spans="25:25" x14ac:dyDescent="0.2">
      <c r="Y2597" s="18"/>
    </row>
    <row r="2598" spans="25:25" x14ac:dyDescent="0.2">
      <c r="Y2598" s="18"/>
    </row>
    <row r="2599" spans="25:25" x14ac:dyDescent="0.2">
      <c r="Y2599" s="18"/>
    </row>
    <row r="2600" spans="25:25" x14ac:dyDescent="0.2">
      <c r="Y2600" s="18"/>
    </row>
    <row r="2601" spans="25:25" x14ac:dyDescent="0.2">
      <c r="Y2601" s="18"/>
    </row>
    <row r="2602" spans="25:25" x14ac:dyDescent="0.2">
      <c r="Y2602" s="18"/>
    </row>
    <row r="2603" spans="25:25" x14ac:dyDescent="0.2">
      <c r="Y2603" s="18"/>
    </row>
    <row r="2604" spans="25:25" x14ac:dyDescent="0.2">
      <c r="Y2604" s="18"/>
    </row>
    <row r="2605" spans="25:25" x14ac:dyDescent="0.2">
      <c r="Y2605" s="18"/>
    </row>
    <row r="2606" spans="25:25" x14ac:dyDescent="0.2">
      <c r="Y2606" s="18"/>
    </row>
    <row r="2607" spans="25:25" x14ac:dyDescent="0.2">
      <c r="Y2607" s="18"/>
    </row>
    <row r="2608" spans="25:25" x14ac:dyDescent="0.2">
      <c r="Y2608" s="18"/>
    </row>
    <row r="2609" spans="25:25" x14ac:dyDescent="0.2">
      <c r="Y2609" s="18"/>
    </row>
    <row r="2610" spans="25:25" x14ac:dyDescent="0.2">
      <c r="Y2610" s="18"/>
    </row>
    <row r="2611" spans="25:25" x14ac:dyDescent="0.2">
      <c r="Y2611" s="18"/>
    </row>
    <row r="2612" spans="25:25" x14ac:dyDescent="0.2">
      <c r="Y2612" s="18"/>
    </row>
    <row r="2613" spans="25:25" x14ac:dyDescent="0.2">
      <c r="Y2613" s="18"/>
    </row>
    <row r="2614" spans="25:25" x14ac:dyDescent="0.2">
      <c r="Y2614" s="18"/>
    </row>
    <row r="2615" spans="25:25" x14ac:dyDescent="0.2">
      <c r="Y2615" s="18"/>
    </row>
    <row r="2616" spans="25:25" x14ac:dyDescent="0.2">
      <c r="Y2616" s="18"/>
    </row>
    <row r="2617" spans="25:25" x14ac:dyDescent="0.2">
      <c r="Y2617" s="18"/>
    </row>
    <row r="2618" spans="25:25" x14ac:dyDescent="0.2">
      <c r="Y2618" s="18"/>
    </row>
    <row r="2619" spans="25:25" x14ac:dyDescent="0.2">
      <c r="Y2619" s="18"/>
    </row>
    <row r="2620" spans="25:25" x14ac:dyDescent="0.2">
      <c r="Y2620" s="18"/>
    </row>
    <row r="2621" spans="25:25" x14ac:dyDescent="0.2">
      <c r="Y2621" s="18"/>
    </row>
    <row r="2622" spans="25:25" x14ac:dyDescent="0.2">
      <c r="Y2622" s="18"/>
    </row>
    <row r="2623" spans="25:25" x14ac:dyDescent="0.2">
      <c r="Y2623" s="18"/>
    </row>
    <row r="2624" spans="25:25" x14ac:dyDescent="0.2">
      <c r="Y2624" s="18"/>
    </row>
    <row r="2625" spans="25:25" x14ac:dyDescent="0.2">
      <c r="Y2625" s="18"/>
    </row>
    <row r="2626" spans="25:25" x14ac:dyDescent="0.2">
      <c r="Y2626" s="18"/>
    </row>
    <row r="2627" spans="25:25" x14ac:dyDescent="0.2">
      <c r="Y2627" s="18"/>
    </row>
    <row r="2628" spans="25:25" x14ac:dyDescent="0.2">
      <c r="Y2628" s="18"/>
    </row>
    <row r="2629" spans="25:25" x14ac:dyDescent="0.2">
      <c r="Y2629" s="18"/>
    </row>
    <row r="2630" spans="25:25" x14ac:dyDescent="0.2">
      <c r="Y2630" s="18"/>
    </row>
    <row r="2631" spans="25:25" x14ac:dyDescent="0.2">
      <c r="Y2631" s="18"/>
    </row>
    <row r="2632" spans="25:25" x14ac:dyDescent="0.2">
      <c r="Y2632" s="18"/>
    </row>
    <row r="2633" spans="25:25" x14ac:dyDescent="0.2">
      <c r="Y2633" s="18"/>
    </row>
    <row r="2634" spans="25:25" x14ac:dyDescent="0.2">
      <c r="Y2634" s="18"/>
    </row>
    <row r="2635" spans="25:25" x14ac:dyDescent="0.2">
      <c r="Y2635" s="18"/>
    </row>
    <row r="2636" spans="25:25" x14ac:dyDescent="0.2">
      <c r="Y2636" s="18"/>
    </row>
    <row r="2637" spans="25:25" x14ac:dyDescent="0.2">
      <c r="Y2637" s="18"/>
    </row>
    <row r="2638" spans="25:25" x14ac:dyDescent="0.2">
      <c r="Y2638" s="18"/>
    </row>
    <row r="2639" spans="25:25" x14ac:dyDescent="0.2">
      <c r="Y2639" s="18"/>
    </row>
    <row r="2640" spans="25:25" x14ac:dyDescent="0.2">
      <c r="Y2640" s="18"/>
    </row>
    <row r="2641" spans="25:25" x14ac:dyDescent="0.2">
      <c r="Y2641" s="18"/>
    </row>
    <row r="2642" spans="25:25" x14ac:dyDescent="0.2">
      <c r="Y2642" s="18"/>
    </row>
    <row r="2643" spans="25:25" x14ac:dyDescent="0.2">
      <c r="Y2643" s="18"/>
    </row>
    <row r="2644" spans="25:25" x14ac:dyDescent="0.2">
      <c r="Y2644" s="18"/>
    </row>
    <row r="2645" spans="25:25" x14ac:dyDescent="0.2">
      <c r="Y2645" s="18"/>
    </row>
    <row r="2646" spans="25:25" x14ac:dyDescent="0.2">
      <c r="Y2646" s="18"/>
    </row>
    <row r="2647" spans="25:25" x14ac:dyDescent="0.2">
      <c r="Y2647" s="18"/>
    </row>
    <row r="2648" spans="25:25" x14ac:dyDescent="0.2">
      <c r="Y2648" s="18"/>
    </row>
    <row r="2649" spans="25:25" x14ac:dyDescent="0.2">
      <c r="Y2649" s="18"/>
    </row>
    <row r="2650" spans="25:25" x14ac:dyDescent="0.2">
      <c r="Y2650" s="18"/>
    </row>
    <row r="2651" spans="25:25" x14ac:dyDescent="0.2">
      <c r="Y2651" s="18"/>
    </row>
    <row r="2652" spans="25:25" x14ac:dyDescent="0.2">
      <c r="Y2652" s="18"/>
    </row>
    <row r="2653" spans="25:25" x14ac:dyDescent="0.2">
      <c r="Y2653" s="18"/>
    </row>
    <row r="2654" spans="25:25" x14ac:dyDescent="0.2">
      <c r="Y2654" s="18"/>
    </row>
    <row r="2655" spans="25:25" x14ac:dyDescent="0.2">
      <c r="Y2655" s="18"/>
    </row>
    <row r="2656" spans="25:25" x14ac:dyDescent="0.2">
      <c r="Y2656" s="18"/>
    </row>
    <row r="2657" spans="25:25" x14ac:dyDescent="0.2">
      <c r="Y2657" s="18"/>
    </row>
    <row r="2658" spans="25:25" x14ac:dyDescent="0.2">
      <c r="Y2658" s="18"/>
    </row>
    <row r="2659" spans="25:25" x14ac:dyDescent="0.2">
      <c r="Y2659" s="18"/>
    </row>
    <row r="2660" spans="25:25" x14ac:dyDescent="0.2">
      <c r="Y2660" s="18"/>
    </row>
    <row r="2661" spans="25:25" x14ac:dyDescent="0.2">
      <c r="Y2661" s="18"/>
    </row>
    <row r="2662" spans="25:25" x14ac:dyDescent="0.2">
      <c r="Y2662" s="18"/>
    </row>
    <row r="2663" spans="25:25" x14ac:dyDescent="0.2">
      <c r="Y2663" s="18"/>
    </row>
    <row r="2664" spans="25:25" x14ac:dyDescent="0.2">
      <c r="Y2664" s="18"/>
    </row>
    <row r="2665" spans="25:25" x14ac:dyDescent="0.2">
      <c r="Y2665" s="18"/>
    </row>
    <row r="2666" spans="25:25" x14ac:dyDescent="0.2">
      <c r="Y2666" s="18"/>
    </row>
    <row r="2667" spans="25:25" x14ac:dyDescent="0.2">
      <c r="Y2667" s="18"/>
    </row>
    <row r="2668" spans="25:25" x14ac:dyDescent="0.2">
      <c r="Y2668" s="18"/>
    </row>
    <row r="2669" spans="25:25" x14ac:dyDescent="0.2">
      <c r="Y2669" s="18"/>
    </row>
    <row r="2670" spans="25:25" x14ac:dyDescent="0.2">
      <c r="Y2670" s="18"/>
    </row>
    <row r="2671" spans="25:25" x14ac:dyDescent="0.2">
      <c r="Y2671" s="18"/>
    </row>
    <row r="2672" spans="25:25" x14ac:dyDescent="0.2">
      <c r="Y2672" s="18"/>
    </row>
    <row r="2673" spans="25:25" x14ac:dyDescent="0.2">
      <c r="Y2673" s="18"/>
    </row>
    <row r="2674" spans="25:25" x14ac:dyDescent="0.2">
      <c r="Y2674" s="18"/>
    </row>
    <row r="2675" spans="25:25" x14ac:dyDescent="0.2">
      <c r="Y2675" s="18"/>
    </row>
    <row r="2676" spans="25:25" x14ac:dyDescent="0.2">
      <c r="Y2676" s="18"/>
    </row>
    <row r="2677" spans="25:25" x14ac:dyDescent="0.2">
      <c r="Y2677" s="18"/>
    </row>
    <row r="2678" spans="25:25" x14ac:dyDescent="0.2">
      <c r="Y2678" s="18"/>
    </row>
    <row r="2679" spans="25:25" x14ac:dyDescent="0.2">
      <c r="Y2679" s="18"/>
    </row>
    <row r="2680" spans="25:25" x14ac:dyDescent="0.2">
      <c r="Y2680" s="18"/>
    </row>
    <row r="2681" spans="25:25" x14ac:dyDescent="0.2">
      <c r="Y2681" s="18"/>
    </row>
    <row r="2682" spans="25:25" x14ac:dyDescent="0.2">
      <c r="Y2682" s="18"/>
    </row>
    <row r="2683" spans="25:25" x14ac:dyDescent="0.2">
      <c r="Y2683" s="18"/>
    </row>
    <row r="2684" spans="25:25" x14ac:dyDescent="0.2">
      <c r="Y2684" s="18"/>
    </row>
    <row r="2685" spans="25:25" x14ac:dyDescent="0.2">
      <c r="Y2685" s="18"/>
    </row>
    <row r="2686" spans="25:25" x14ac:dyDescent="0.2">
      <c r="Y2686" s="18"/>
    </row>
    <row r="2687" spans="25:25" x14ac:dyDescent="0.2">
      <c r="Y2687" s="18"/>
    </row>
    <row r="2688" spans="25:25" x14ac:dyDescent="0.2">
      <c r="Y2688" s="18"/>
    </row>
    <row r="2689" spans="25:25" x14ac:dyDescent="0.2">
      <c r="Y2689" s="18"/>
    </row>
    <row r="2690" spans="25:25" x14ac:dyDescent="0.2">
      <c r="Y2690" s="18"/>
    </row>
    <row r="2691" spans="25:25" x14ac:dyDescent="0.2">
      <c r="Y2691" s="18"/>
    </row>
    <row r="2692" spans="25:25" x14ac:dyDescent="0.2">
      <c r="Y2692" s="18"/>
    </row>
    <row r="2693" spans="25:25" x14ac:dyDescent="0.2">
      <c r="Y2693" s="18"/>
    </row>
    <row r="2694" spans="25:25" x14ac:dyDescent="0.2">
      <c r="Y2694" s="18"/>
    </row>
    <row r="2695" spans="25:25" x14ac:dyDescent="0.2">
      <c r="Y2695" s="18"/>
    </row>
    <row r="2696" spans="25:25" x14ac:dyDescent="0.2">
      <c r="Y2696" s="18"/>
    </row>
    <row r="2697" spans="25:25" x14ac:dyDescent="0.2">
      <c r="Y2697" s="18"/>
    </row>
    <row r="2698" spans="25:25" x14ac:dyDescent="0.2">
      <c r="Y2698" s="18"/>
    </row>
    <row r="2699" spans="25:25" x14ac:dyDescent="0.2">
      <c r="Y2699" s="18"/>
    </row>
    <row r="2700" spans="25:25" x14ac:dyDescent="0.2">
      <c r="Y2700" s="18"/>
    </row>
    <row r="2701" spans="25:25" x14ac:dyDescent="0.2">
      <c r="Y2701" s="18"/>
    </row>
    <row r="2702" spans="25:25" x14ac:dyDescent="0.2">
      <c r="Y2702" s="18"/>
    </row>
    <row r="2703" spans="25:25" x14ac:dyDescent="0.2">
      <c r="Y2703" s="18"/>
    </row>
    <row r="2704" spans="25:25" x14ac:dyDescent="0.2">
      <c r="Y2704" s="18"/>
    </row>
    <row r="2705" spans="25:25" x14ac:dyDescent="0.2">
      <c r="Y2705" s="18"/>
    </row>
    <row r="2706" spans="25:25" x14ac:dyDescent="0.2">
      <c r="Y2706" s="18"/>
    </row>
    <row r="2707" spans="25:25" x14ac:dyDescent="0.2">
      <c r="Y2707" s="18"/>
    </row>
    <row r="2708" spans="25:25" x14ac:dyDescent="0.2">
      <c r="Y2708" s="18"/>
    </row>
    <row r="2709" spans="25:25" x14ac:dyDescent="0.2">
      <c r="Y2709" s="18"/>
    </row>
    <row r="2710" spans="25:25" x14ac:dyDescent="0.2">
      <c r="Y2710" s="18"/>
    </row>
    <row r="2711" spans="25:25" x14ac:dyDescent="0.2">
      <c r="Y2711" s="18"/>
    </row>
    <row r="2712" spans="25:25" x14ac:dyDescent="0.2">
      <c r="Y2712" s="18"/>
    </row>
    <row r="2713" spans="25:25" x14ac:dyDescent="0.2">
      <c r="Y2713" s="18"/>
    </row>
    <row r="2714" spans="25:25" x14ac:dyDescent="0.2">
      <c r="Y2714" s="18"/>
    </row>
    <row r="2715" spans="25:25" x14ac:dyDescent="0.2">
      <c r="Y2715" s="18"/>
    </row>
    <row r="2716" spans="25:25" x14ac:dyDescent="0.2">
      <c r="Y2716" s="18"/>
    </row>
    <row r="2717" spans="25:25" x14ac:dyDescent="0.2">
      <c r="Y2717" s="18"/>
    </row>
    <row r="2718" spans="25:25" x14ac:dyDescent="0.2">
      <c r="Y2718" s="18"/>
    </row>
    <row r="2719" spans="25:25" x14ac:dyDescent="0.2">
      <c r="Y2719" s="18"/>
    </row>
    <row r="2720" spans="25:25" x14ac:dyDescent="0.2">
      <c r="Y2720" s="18"/>
    </row>
    <row r="2721" spans="25:25" x14ac:dyDescent="0.2">
      <c r="Y2721" s="18"/>
    </row>
    <row r="2722" spans="25:25" x14ac:dyDescent="0.2">
      <c r="Y2722" s="18"/>
    </row>
    <row r="2723" spans="25:25" x14ac:dyDescent="0.2">
      <c r="Y2723" s="18"/>
    </row>
    <row r="2724" spans="25:25" x14ac:dyDescent="0.2">
      <c r="Y2724" s="18"/>
    </row>
    <row r="2725" spans="25:25" x14ac:dyDescent="0.2">
      <c r="Y2725" s="18"/>
    </row>
    <row r="2726" spans="25:25" x14ac:dyDescent="0.2">
      <c r="Y2726" s="18"/>
    </row>
    <row r="2727" spans="25:25" x14ac:dyDescent="0.2">
      <c r="Y2727" s="18"/>
    </row>
    <row r="2728" spans="25:25" x14ac:dyDescent="0.2">
      <c r="Y2728" s="18"/>
    </row>
    <row r="2729" spans="25:25" x14ac:dyDescent="0.2">
      <c r="Y2729" s="18"/>
    </row>
    <row r="2730" spans="25:25" x14ac:dyDescent="0.2">
      <c r="Y2730" s="18"/>
    </row>
    <row r="2731" spans="25:25" x14ac:dyDescent="0.2">
      <c r="Y2731" s="18"/>
    </row>
    <row r="2732" spans="25:25" x14ac:dyDescent="0.2">
      <c r="Y2732" s="18"/>
    </row>
    <row r="2733" spans="25:25" x14ac:dyDescent="0.2">
      <c r="Y2733" s="18"/>
    </row>
    <row r="2734" spans="25:25" x14ac:dyDescent="0.2">
      <c r="Y2734" s="18"/>
    </row>
    <row r="2735" spans="25:25" x14ac:dyDescent="0.2">
      <c r="Y2735" s="18"/>
    </row>
    <row r="2736" spans="25:25" x14ac:dyDescent="0.2">
      <c r="Y2736" s="18"/>
    </row>
    <row r="2737" spans="25:25" x14ac:dyDescent="0.2">
      <c r="Y2737" s="18"/>
    </row>
    <row r="2738" spans="25:25" x14ac:dyDescent="0.2">
      <c r="Y2738" s="18"/>
    </row>
    <row r="2739" spans="25:25" x14ac:dyDescent="0.2">
      <c r="Y2739" s="18"/>
    </row>
    <row r="2740" spans="25:25" x14ac:dyDescent="0.2">
      <c r="Y2740" s="18"/>
    </row>
    <row r="2741" spans="25:25" x14ac:dyDescent="0.2">
      <c r="Y2741" s="18"/>
    </row>
    <row r="2742" spans="25:25" x14ac:dyDescent="0.2">
      <c r="Y2742" s="18"/>
    </row>
    <row r="2743" spans="25:25" x14ac:dyDescent="0.2">
      <c r="Y2743" s="18"/>
    </row>
    <row r="2744" spans="25:25" x14ac:dyDescent="0.2">
      <c r="Y2744" s="18"/>
    </row>
    <row r="2745" spans="25:25" x14ac:dyDescent="0.2">
      <c r="Y2745" s="18"/>
    </row>
    <row r="2746" spans="25:25" x14ac:dyDescent="0.2">
      <c r="Y2746" s="18"/>
    </row>
    <row r="2747" spans="25:25" x14ac:dyDescent="0.2">
      <c r="Y2747" s="18"/>
    </row>
    <row r="2748" spans="25:25" x14ac:dyDescent="0.2">
      <c r="Y2748" s="18"/>
    </row>
    <row r="2749" spans="25:25" x14ac:dyDescent="0.2">
      <c r="Y2749" s="18"/>
    </row>
    <row r="2750" spans="25:25" x14ac:dyDescent="0.2">
      <c r="Y2750" s="18"/>
    </row>
    <row r="2751" spans="25:25" x14ac:dyDescent="0.2">
      <c r="Y2751" s="18"/>
    </row>
    <row r="2752" spans="25:25" x14ac:dyDescent="0.2">
      <c r="Y2752" s="18"/>
    </row>
    <row r="2753" spans="25:25" x14ac:dyDescent="0.2">
      <c r="Y2753" s="18"/>
    </row>
    <row r="2754" spans="25:25" x14ac:dyDescent="0.2">
      <c r="Y2754" s="18"/>
    </row>
    <row r="2755" spans="25:25" x14ac:dyDescent="0.2">
      <c r="Y2755" s="18"/>
    </row>
    <row r="2756" spans="25:25" x14ac:dyDescent="0.2">
      <c r="Y2756" s="18"/>
    </row>
    <row r="2757" spans="25:25" x14ac:dyDescent="0.2">
      <c r="Y2757" s="18"/>
    </row>
    <row r="2758" spans="25:25" x14ac:dyDescent="0.2">
      <c r="Y2758" s="18"/>
    </row>
    <row r="2759" spans="25:25" x14ac:dyDescent="0.2">
      <c r="Y2759" s="18"/>
    </row>
    <row r="2760" spans="25:25" x14ac:dyDescent="0.2">
      <c r="Y2760" s="18"/>
    </row>
    <row r="2761" spans="25:25" x14ac:dyDescent="0.2">
      <c r="Y2761" s="18"/>
    </row>
    <row r="2762" spans="25:25" x14ac:dyDescent="0.2">
      <c r="Y2762" s="18"/>
    </row>
    <row r="2763" spans="25:25" x14ac:dyDescent="0.2">
      <c r="Y2763" s="18"/>
    </row>
    <row r="2764" spans="25:25" x14ac:dyDescent="0.2">
      <c r="Y2764" s="18"/>
    </row>
    <row r="2765" spans="25:25" x14ac:dyDescent="0.2">
      <c r="Y2765" s="18"/>
    </row>
    <row r="2766" spans="25:25" x14ac:dyDescent="0.2">
      <c r="Y2766" s="18"/>
    </row>
    <row r="2767" spans="25:25" x14ac:dyDescent="0.2">
      <c r="Y2767" s="18"/>
    </row>
    <row r="2768" spans="25:25" x14ac:dyDescent="0.2">
      <c r="Y2768" s="18"/>
    </row>
    <row r="2769" spans="25:25" x14ac:dyDescent="0.2">
      <c r="Y2769" s="18"/>
    </row>
    <row r="2770" spans="25:25" x14ac:dyDescent="0.2">
      <c r="Y2770" s="18"/>
    </row>
    <row r="2771" spans="25:25" x14ac:dyDescent="0.2">
      <c r="Y2771" s="18"/>
    </row>
    <row r="2772" spans="25:25" x14ac:dyDescent="0.2">
      <c r="Y2772" s="18"/>
    </row>
    <row r="2773" spans="25:25" x14ac:dyDescent="0.2">
      <c r="Y2773" s="18"/>
    </row>
    <row r="2774" spans="25:25" x14ac:dyDescent="0.2">
      <c r="Y2774" s="18"/>
    </row>
    <row r="2775" spans="25:25" x14ac:dyDescent="0.2">
      <c r="Y2775" s="18"/>
    </row>
    <row r="2776" spans="25:25" x14ac:dyDescent="0.2">
      <c r="Y2776" s="18"/>
    </row>
    <row r="2777" spans="25:25" x14ac:dyDescent="0.2">
      <c r="Y2777" s="18"/>
    </row>
    <row r="2778" spans="25:25" x14ac:dyDescent="0.2">
      <c r="Y2778" s="18"/>
    </row>
    <row r="2779" spans="25:25" x14ac:dyDescent="0.2">
      <c r="Y2779" s="18"/>
    </row>
    <row r="2780" spans="25:25" x14ac:dyDescent="0.2">
      <c r="Y2780" s="18"/>
    </row>
    <row r="2781" spans="25:25" x14ac:dyDescent="0.2">
      <c r="Y2781" s="18"/>
    </row>
    <row r="2782" spans="25:25" x14ac:dyDescent="0.2">
      <c r="Y2782" s="18"/>
    </row>
    <row r="2783" spans="25:25" x14ac:dyDescent="0.2">
      <c r="Y2783" s="18"/>
    </row>
    <row r="2784" spans="25:25" x14ac:dyDescent="0.2">
      <c r="Y2784" s="18"/>
    </row>
    <row r="2785" spans="25:25" x14ac:dyDescent="0.2">
      <c r="Y2785" s="18"/>
    </row>
    <row r="2786" spans="25:25" x14ac:dyDescent="0.2">
      <c r="Y2786" s="18"/>
    </row>
    <row r="2787" spans="25:25" x14ac:dyDescent="0.2">
      <c r="Y2787" s="18"/>
    </row>
    <row r="2788" spans="25:25" x14ac:dyDescent="0.2">
      <c r="Y2788" s="18"/>
    </row>
    <row r="2789" spans="25:25" x14ac:dyDescent="0.2">
      <c r="Y2789" s="18"/>
    </row>
    <row r="2790" spans="25:25" x14ac:dyDescent="0.2">
      <c r="Y2790" s="18"/>
    </row>
    <row r="2791" spans="25:25" x14ac:dyDescent="0.2">
      <c r="Y2791" s="18"/>
    </row>
    <row r="2792" spans="25:25" x14ac:dyDescent="0.2">
      <c r="Y2792" s="18"/>
    </row>
    <row r="2793" spans="25:25" x14ac:dyDescent="0.2">
      <c r="Y2793" s="18"/>
    </row>
    <row r="2794" spans="25:25" x14ac:dyDescent="0.2">
      <c r="Y2794" s="18"/>
    </row>
    <row r="2795" spans="25:25" x14ac:dyDescent="0.2">
      <c r="Y2795" s="18"/>
    </row>
    <row r="2796" spans="25:25" x14ac:dyDescent="0.2">
      <c r="Y2796" s="18"/>
    </row>
    <row r="2797" spans="25:25" x14ac:dyDescent="0.2">
      <c r="Y2797" s="18"/>
    </row>
    <row r="2798" spans="25:25" x14ac:dyDescent="0.2">
      <c r="Y2798" s="18"/>
    </row>
    <row r="2799" spans="25:25" x14ac:dyDescent="0.2">
      <c r="Y2799" s="18"/>
    </row>
    <row r="2800" spans="25:25" x14ac:dyDescent="0.2">
      <c r="Y2800" s="18"/>
    </row>
    <row r="2801" spans="25:25" x14ac:dyDescent="0.2">
      <c r="Y2801" s="18"/>
    </row>
    <row r="2802" spans="25:25" x14ac:dyDescent="0.2">
      <c r="Y2802" s="18"/>
    </row>
    <row r="2803" spans="25:25" x14ac:dyDescent="0.2">
      <c r="Y2803" s="18"/>
    </row>
    <row r="2804" spans="25:25" x14ac:dyDescent="0.2">
      <c r="Y2804" s="18"/>
    </row>
    <row r="2805" spans="25:25" x14ac:dyDescent="0.2">
      <c r="Y2805" s="18"/>
    </row>
    <row r="2806" spans="25:25" x14ac:dyDescent="0.2">
      <c r="Y2806" s="18"/>
    </row>
    <row r="2807" spans="25:25" x14ac:dyDescent="0.2">
      <c r="Y2807" s="18"/>
    </row>
    <row r="2808" spans="25:25" x14ac:dyDescent="0.2">
      <c r="Y2808" s="18"/>
    </row>
    <row r="2809" spans="25:25" x14ac:dyDescent="0.2">
      <c r="Y2809" s="18"/>
    </row>
    <row r="2810" spans="25:25" x14ac:dyDescent="0.2">
      <c r="Y2810" s="18"/>
    </row>
    <row r="2811" spans="25:25" x14ac:dyDescent="0.2">
      <c r="Y2811" s="18"/>
    </row>
    <row r="2812" spans="25:25" x14ac:dyDescent="0.2">
      <c r="Y2812" s="18"/>
    </row>
    <row r="2813" spans="25:25" x14ac:dyDescent="0.2">
      <c r="Y2813" s="18"/>
    </row>
    <row r="2814" spans="25:25" x14ac:dyDescent="0.2">
      <c r="Y2814" s="18"/>
    </row>
    <row r="2815" spans="25:25" x14ac:dyDescent="0.2">
      <c r="Y2815" s="18"/>
    </row>
    <row r="2816" spans="25:25" x14ac:dyDescent="0.2">
      <c r="Y2816" s="18"/>
    </row>
    <row r="2817" spans="25:25" x14ac:dyDescent="0.2">
      <c r="Y2817" s="18"/>
    </row>
    <row r="2818" spans="25:25" x14ac:dyDescent="0.2">
      <c r="Y2818" s="18"/>
    </row>
    <row r="2819" spans="25:25" x14ac:dyDescent="0.2">
      <c r="Y2819" s="18"/>
    </row>
    <row r="2820" spans="25:25" x14ac:dyDescent="0.2">
      <c r="Y2820" s="18"/>
    </row>
    <row r="2821" spans="25:25" x14ac:dyDescent="0.2">
      <c r="Y2821" s="18"/>
    </row>
    <row r="2822" spans="25:25" x14ac:dyDescent="0.2">
      <c r="Y2822" s="18"/>
    </row>
    <row r="2823" spans="25:25" x14ac:dyDescent="0.2">
      <c r="Y2823" s="18"/>
    </row>
    <row r="2824" spans="25:25" x14ac:dyDescent="0.2">
      <c r="Y2824" s="18"/>
    </row>
    <row r="2825" spans="25:25" x14ac:dyDescent="0.2">
      <c r="Y2825" s="18"/>
    </row>
    <row r="2826" spans="25:25" x14ac:dyDescent="0.2">
      <c r="Y2826" s="18"/>
    </row>
    <row r="2827" spans="25:25" x14ac:dyDescent="0.2">
      <c r="Y2827" s="18"/>
    </row>
    <row r="2828" spans="25:25" x14ac:dyDescent="0.2">
      <c r="Y2828" s="18"/>
    </row>
    <row r="2829" spans="25:25" x14ac:dyDescent="0.2">
      <c r="Y2829" s="18"/>
    </row>
    <row r="2830" spans="25:25" x14ac:dyDescent="0.2">
      <c r="Y2830" s="18"/>
    </row>
    <row r="2831" spans="25:25" x14ac:dyDescent="0.2">
      <c r="Y2831" s="18"/>
    </row>
    <row r="2832" spans="25:25" x14ac:dyDescent="0.2">
      <c r="Y2832" s="18"/>
    </row>
    <row r="2833" spans="25:25" x14ac:dyDescent="0.2">
      <c r="Y2833" s="18"/>
    </row>
    <row r="2834" spans="25:25" x14ac:dyDescent="0.2">
      <c r="Y2834" s="18"/>
    </row>
    <row r="2835" spans="25:25" x14ac:dyDescent="0.2">
      <c r="Y2835" s="18"/>
    </row>
    <row r="2836" spans="25:25" x14ac:dyDescent="0.2">
      <c r="Y2836" s="18"/>
    </row>
    <row r="2837" spans="25:25" x14ac:dyDescent="0.2">
      <c r="Y2837" s="18"/>
    </row>
    <row r="2838" spans="25:25" x14ac:dyDescent="0.2">
      <c r="Y2838" s="18"/>
    </row>
    <row r="2839" spans="25:25" x14ac:dyDescent="0.2">
      <c r="Y2839" s="18"/>
    </row>
    <row r="2840" spans="25:25" x14ac:dyDescent="0.2">
      <c r="Y2840" s="18"/>
    </row>
    <row r="2841" spans="25:25" x14ac:dyDescent="0.2">
      <c r="Y2841" s="18"/>
    </row>
    <row r="2842" spans="25:25" x14ac:dyDescent="0.2">
      <c r="Y2842" s="18"/>
    </row>
    <row r="2843" spans="25:25" x14ac:dyDescent="0.2">
      <c r="Y2843" s="18"/>
    </row>
    <row r="2844" spans="25:25" x14ac:dyDescent="0.2">
      <c r="Y2844" s="18"/>
    </row>
    <row r="2845" spans="25:25" x14ac:dyDescent="0.2">
      <c r="Y2845" s="18"/>
    </row>
    <row r="2846" spans="25:25" x14ac:dyDescent="0.2">
      <c r="Y2846" s="18"/>
    </row>
    <row r="2847" spans="25:25" x14ac:dyDescent="0.2">
      <c r="Y2847" s="18"/>
    </row>
    <row r="2848" spans="25:25" x14ac:dyDescent="0.2">
      <c r="Y2848" s="18"/>
    </row>
    <row r="2849" spans="25:25" x14ac:dyDescent="0.2">
      <c r="Y2849" s="18"/>
    </row>
    <row r="2850" spans="25:25" x14ac:dyDescent="0.2">
      <c r="Y2850" s="18"/>
    </row>
    <row r="2851" spans="25:25" x14ac:dyDescent="0.2">
      <c r="Y2851" s="18"/>
    </row>
    <row r="2852" spans="25:25" x14ac:dyDescent="0.2">
      <c r="Y2852" s="18"/>
    </row>
    <row r="2853" spans="25:25" x14ac:dyDescent="0.2">
      <c r="Y2853" s="18"/>
    </row>
    <row r="2854" spans="25:25" x14ac:dyDescent="0.2">
      <c r="Y2854" s="18"/>
    </row>
    <row r="2855" spans="25:25" x14ac:dyDescent="0.2">
      <c r="Y2855" s="18"/>
    </row>
    <row r="2856" spans="25:25" x14ac:dyDescent="0.2">
      <c r="Y2856" s="18"/>
    </row>
    <row r="2857" spans="25:25" x14ac:dyDescent="0.2">
      <c r="Y2857" s="18"/>
    </row>
    <row r="2858" spans="25:25" x14ac:dyDescent="0.2">
      <c r="Y2858" s="18"/>
    </row>
    <row r="2859" spans="25:25" x14ac:dyDescent="0.2">
      <c r="Y2859" s="18"/>
    </row>
    <row r="2860" spans="25:25" x14ac:dyDescent="0.2">
      <c r="Y2860" s="18"/>
    </row>
    <row r="2861" spans="25:25" x14ac:dyDescent="0.2">
      <c r="Y2861" s="18"/>
    </row>
    <row r="2862" spans="25:25" x14ac:dyDescent="0.2">
      <c r="Y2862" s="18"/>
    </row>
    <row r="2863" spans="25:25" x14ac:dyDescent="0.2">
      <c r="Y2863" s="18"/>
    </row>
    <row r="2864" spans="25:25" x14ac:dyDescent="0.2">
      <c r="Y2864" s="18"/>
    </row>
    <row r="2865" spans="25:25" x14ac:dyDescent="0.2">
      <c r="Y2865" s="18"/>
    </row>
    <row r="2866" spans="25:25" x14ac:dyDescent="0.2">
      <c r="Y2866" s="18"/>
    </row>
    <row r="2867" spans="25:25" x14ac:dyDescent="0.2">
      <c r="Y2867" s="18"/>
    </row>
    <row r="2868" spans="25:25" x14ac:dyDescent="0.2">
      <c r="Y2868" s="18"/>
    </row>
    <row r="2869" spans="25:25" x14ac:dyDescent="0.2">
      <c r="Y2869" s="18"/>
    </row>
    <row r="2870" spans="25:25" x14ac:dyDescent="0.2">
      <c r="Y2870" s="18"/>
    </row>
    <row r="2871" spans="25:25" x14ac:dyDescent="0.2">
      <c r="Y2871" s="18"/>
    </row>
    <row r="2872" spans="25:25" x14ac:dyDescent="0.2">
      <c r="Y2872" s="18"/>
    </row>
    <row r="2873" spans="25:25" x14ac:dyDescent="0.2">
      <c r="Y2873" s="18"/>
    </row>
    <row r="2874" spans="25:25" x14ac:dyDescent="0.2">
      <c r="Y2874" s="18"/>
    </row>
    <row r="2875" spans="25:25" x14ac:dyDescent="0.2">
      <c r="Y2875" s="18"/>
    </row>
    <row r="2876" spans="25:25" x14ac:dyDescent="0.2">
      <c r="Y2876" s="18"/>
    </row>
    <row r="2877" spans="25:25" x14ac:dyDescent="0.2">
      <c r="Y2877" s="18"/>
    </row>
    <row r="2878" spans="25:25" x14ac:dyDescent="0.2">
      <c r="Y2878" s="18"/>
    </row>
    <row r="2879" spans="25:25" x14ac:dyDescent="0.2">
      <c r="Y2879" s="18"/>
    </row>
    <row r="2880" spans="25:25" x14ac:dyDescent="0.2">
      <c r="Y2880" s="18"/>
    </row>
    <row r="2881" spans="25:25" x14ac:dyDescent="0.2">
      <c r="Y2881" s="18"/>
    </row>
    <row r="2882" spans="25:25" x14ac:dyDescent="0.2">
      <c r="Y2882" s="18"/>
    </row>
    <row r="2883" spans="25:25" x14ac:dyDescent="0.2">
      <c r="Y2883" s="18"/>
    </row>
    <row r="2884" spans="25:25" x14ac:dyDescent="0.2">
      <c r="Y2884" s="18"/>
    </row>
    <row r="2885" spans="25:25" x14ac:dyDescent="0.2">
      <c r="Y2885" s="18"/>
    </row>
    <row r="2886" spans="25:25" x14ac:dyDescent="0.2">
      <c r="Y2886" s="18"/>
    </row>
    <row r="2887" spans="25:25" x14ac:dyDescent="0.2">
      <c r="Y2887" s="18"/>
    </row>
    <row r="2888" spans="25:25" x14ac:dyDescent="0.2">
      <c r="Y2888" s="18"/>
    </row>
    <row r="2889" spans="25:25" x14ac:dyDescent="0.2">
      <c r="Y2889" s="18"/>
    </row>
    <row r="2890" spans="25:25" x14ac:dyDescent="0.2">
      <c r="Y2890" s="18"/>
    </row>
    <row r="2891" spans="25:25" x14ac:dyDescent="0.2">
      <c r="Y2891" s="18"/>
    </row>
    <row r="2892" spans="25:25" x14ac:dyDescent="0.2">
      <c r="Y2892" s="18"/>
    </row>
    <row r="2893" spans="25:25" x14ac:dyDescent="0.2">
      <c r="Y2893" s="18"/>
    </row>
    <row r="2894" spans="25:25" x14ac:dyDescent="0.2">
      <c r="Y2894" s="18"/>
    </row>
    <row r="2895" spans="25:25" x14ac:dyDescent="0.2">
      <c r="Y2895" s="18"/>
    </row>
    <row r="2896" spans="25:25" x14ac:dyDescent="0.2">
      <c r="Y2896" s="18"/>
    </row>
    <row r="2897" spans="25:25" x14ac:dyDescent="0.2">
      <c r="Y2897" s="18"/>
    </row>
    <row r="2898" spans="25:25" x14ac:dyDescent="0.2">
      <c r="Y2898" s="18"/>
    </row>
    <row r="2899" spans="25:25" x14ac:dyDescent="0.2">
      <c r="Y2899" s="18"/>
    </row>
    <row r="2900" spans="25:25" x14ac:dyDescent="0.2">
      <c r="Y2900" s="18"/>
    </row>
    <row r="2901" spans="25:25" x14ac:dyDescent="0.2">
      <c r="Y2901" s="18"/>
    </row>
    <row r="2902" spans="25:25" x14ac:dyDescent="0.2">
      <c r="Y2902" s="18"/>
    </row>
    <row r="2903" spans="25:25" x14ac:dyDescent="0.2">
      <c r="Y2903" s="18"/>
    </row>
    <row r="2904" spans="25:25" x14ac:dyDescent="0.2">
      <c r="Y2904" s="18"/>
    </row>
    <row r="2905" spans="25:25" x14ac:dyDescent="0.2">
      <c r="Y2905" s="18"/>
    </row>
    <row r="2906" spans="25:25" x14ac:dyDescent="0.2">
      <c r="Y2906" s="18"/>
    </row>
    <row r="2907" spans="25:25" x14ac:dyDescent="0.2">
      <c r="Y2907" s="18"/>
    </row>
    <row r="2908" spans="25:25" x14ac:dyDescent="0.2">
      <c r="Y2908" s="18"/>
    </row>
    <row r="2909" spans="25:25" x14ac:dyDescent="0.2">
      <c r="Y2909" s="18"/>
    </row>
    <row r="2910" spans="25:25" x14ac:dyDescent="0.2">
      <c r="Y2910" s="18"/>
    </row>
    <row r="2911" spans="25:25" x14ac:dyDescent="0.2">
      <c r="Y2911" s="18"/>
    </row>
    <row r="2912" spans="25:25" x14ac:dyDescent="0.2">
      <c r="Y2912" s="18"/>
    </row>
    <row r="2913" spans="25:25" x14ac:dyDescent="0.2">
      <c r="Y2913" s="18"/>
    </row>
    <row r="2914" spans="25:25" x14ac:dyDescent="0.2">
      <c r="Y2914" s="18"/>
    </row>
    <row r="2915" spans="25:25" x14ac:dyDescent="0.2">
      <c r="Y2915" s="18"/>
    </row>
    <row r="2916" spans="25:25" x14ac:dyDescent="0.2">
      <c r="Y2916" s="18"/>
    </row>
    <row r="2917" spans="25:25" x14ac:dyDescent="0.2">
      <c r="Y2917" s="18"/>
    </row>
    <row r="2918" spans="25:25" x14ac:dyDescent="0.2">
      <c r="Y2918" s="18"/>
    </row>
    <row r="2919" spans="25:25" x14ac:dyDescent="0.2">
      <c r="Y2919" s="18"/>
    </row>
    <row r="2920" spans="25:25" x14ac:dyDescent="0.2">
      <c r="Y2920" s="18"/>
    </row>
    <row r="2921" spans="25:25" x14ac:dyDescent="0.2">
      <c r="Y2921" s="18"/>
    </row>
    <row r="2922" spans="25:25" x14ac:dyDescent="0.2">
      <c r="Y2922" s="18"/>
    </row>
    <row r="2923" spans="25:25" x14ac:dyDescent="0.2">
      <c r="Y2923" s="18"/>
    </row>
    <row r="2924" spans="25:25" x14ac:dyDescent="0.2">
      <c r="Y2924" s="18"/>
    </row>
    <row r="2925" spans="25:25" x14ac:dyDescent="0.2">
      <c r="Y2925" s="18"/>
    </row>
    <row r="2926" spans="25:25" x14ac:dyDescent="0.2">
      <c r="Y2926" s="18"/>
    </row>
    <row r="2927" spans="25:25" x14ac:dyDescent="0.2">
      <c r="Y2927" s="18"/>
    </row>
    <row r="2928" spans="25:25" x14ac:dyDescent="0.2">
      <c r="Y2928" s="18"/>
    </row>
    <row r="2929" spans="25:25" x14ac:dyDescent="0.2">
      <c r="Y2929" s="18"/>
    </row>
    <row r="2930" spans="25:25" x14ac:dyDescent="0.2">
      <c r="Y2930" s="18"/>
    </row>
    <row r="2931" spans="25:25" x14ac:dyDescent="0.2">
      <c r="Y2931" s="18"/>
    </row>
    <row r="2932" spans="25:25" x14ac:dyDescent="0.2">
      <c r="Y2932" s="18"/>
    </row>
    <row r="2933" spans="25:25" x14ac:dyDescent="0.2">
      <c r="Y2933" s="18"/>
    </row>
    <row r="2934" spans="25:25" x14ac:dyDescent="0.2">
      <c r="Y2934" s="18"/>
    </row>
    <row r="2935" spans="25:25" x14ac:dyDescent="0.2">
      <c r="Y2935" s="18"/>
    </row>
    <row r="2936" spans="25:25" x14ac:dyDescent="0.2">
      <c r="Y2936" s="18"/>
    </row>
    <row r="2937" spans="25:25" x14ac:dyDescent="0.2">
      <c r="Y2937" s="18"/>
    </row>
    <row r="2938" spans="25:25" x14ac:dyDescent="0.2">
      <c r="Y2938" s="18"/>
    </row>
    <row r="2939" spans="25:25" x14ac:dyDescent="0.2">
      <c r="Y2939" s="18"/>
    </row>
    <row r="2940" spans="25:25" x14ac:dyDescent="0.2">
      <c r="Y2940" s="18"/>
    </row>
    <row r="2941" spans="25:25" x14ac:dyDescent="0.2">
      <c r="Y2941" s="18"/>
    </row>
    <row r="2942" spans="25:25" x14ac:dyDescent="0.2">
      <c r="Y2942" s="18"/>
    </row>
    <row r="2943" spans="25:25" x14ac:dyDescent="0.2">
      <c r="Y2943" s="18"/>
    </row>
    <row r="2944" spans="25:25" x14ac:dyDescent="0.2">
      <c r="Y2944" s="18"/>
    </row>
    <row r="2945" spans="25:25" x14ac:dyDescent="0.2">
      <c r="Y2945" s="18"/>
    </row>
    <row r="2946" spans="25:25" x14ac:dyDescent="0.2">
      <c r="Y2946" s="18"/>
    </row>
    <row r="2947" spans="25:25" x14ac:dyDescent="0.2">
      <c r="Y2947" s="18"/>
    </row>
    <row r="2948" spans="25:25" x14ac:dyDescent="0.2">
      <c r="Y2948" s="18"/>
    </row>
    <row r="2949" spans="25:25" x14ac:dyDescent="0.2">
      <c r="Y2949" s="18"/>
    </row>
    <row r="2950" spans="25:25" x14ac:dyDescent="0.2">
      <c r="Y2950" s="18"/>
    </row>
    <row r="2951" spans="25:25" x14ac:dyDescent="0.2">
      <c r="Y2951" s="18"/>
    </row>
    <row r="2952" spans="25:25" x14ac:dyDescent="0.2">
      <c r="Y2952" s="18"/>
    </row>
    <row r="2953" spans="25:25" x14ac:dyDescent="0.2">
      <c r="Y2953" s="18"/>
    </row>
    <row r="2954" spans="25:25" x14ac:dyDescent="0.2">
      <c r="Y2954" s="18"/>
    </row>
    <row r="2955" spans="25:25" x14ac:dyDescent="0.2">
      <c r="Y2955" s="18"/>
    </row>
    <row r="2956" spans="25:25" x14ac:dyDescent="0.2">
      <c r="Y2956" s="18"/>
    </row>
    <row r="2957" spans="25:25" x14ac:dyDescent="0.2">
      <c r="Y2957" s="18"/>
    </row>
    <row r="2958" spans="25:25" x14ac:dyDescent="0.2">
      <c r="Y2958" s="18"/>
    </row>
    <row r="2959" spans="25:25" x14ac:dyDescent="0.2">
      <c r="Y2959" s="18"/>
    </row>
    <row r="2960" spans="25:25" x14ac:dyDescent="0.2">
      <c r="Y2960" s="18"/>
    </row>
    <row r="2961" spans="25:25" x14ac:dyDescent="0.2">
      <c r="Y2961" s="18"/>
    </row>
    <row r="2962" spans="25:25" x14ac:dyDescent="0.2">
      <c r="Y2962" s="18"/>
    </row>
    <row r="2963" spans="25:25" x14ac:dyDescent="0.2">
      <c r="Y2963" s="18"/>
    </row>
    <row r="2964" spans="25:25" x14ac:dyDescent="0.2">
      <c r="Y2964" s="18"/>
    </row>
    <row r="2965" spans="25:25" x14ac:dyDescent="0.2">
      <c r="Y2965" s="18"/>
    </row>
    <row r="2966" spans="25:25" x14ac:dyDescent="0.2">
      <c r="Y2966" s="18"/>
    </row>
    <row r="2967" spans="25:25" x14ac:dyDescent="0.2">
      <c r="Y2967" s="18"/>
    </row>
    <row r="2968" spans="25:25" x14ac:dyDescent="0.2">
      <c r="Y2968" s="18"/>
    </row>
    <row r="2969" spans="25:25" x14ac:dyDescent="0.2">
      <c r="Y2969" s="18"/>
    </row>
    <row r="2970" spans="25:25" x14ac:dyDescent="0.2">
      <c r="Y2970" s="18"/>
    </row>
    <row r="2971" spans="25:25" x14ac:dyDescent="0.2">
      <c r="Y2971" s="18"/>
    </row>
    <row r="2972" spans="25:25" x14ac:dyDescent="0.2">
      <c r="Y2972" s="18"/>
    </row>
    <row r="2973" spans="25:25" x14ac:dyDescent="0.2">
      <c r="Y2973" s="18"/>
    </row>
    <row r="2974" spans="25:25" x14ac:dyDescent="0.2">
      <c r="Y2974" s="18"/>
    </row>
    <row r="2975" spans="25:25" x14ac:dyDescent="0.2">
      <c r="Y2975" s="18"/>
    </row>
    <row r="2976" spans="25:25" x14ac:dyDescent="0.2">
      <c r="Y2976" s="18"/>
    </row>
    <row r="2977" spans="25:25" x14ac:dyDescent="0.2">
      <c r="Y2977" s="18"/>
    </row>
    <row r="2978" spans="25:25" x14ac:dyDescent="0.2">
      <c r="Y2978" s="18"/>
    </row>
    <row r="2979" spans="25:25" x14ac:dyDescent="0.2">
      <c r="Y2979" s="18"/>
    </row>
    <row r="2980" spans="25:25" x14ac:dyDescent="0.2">
      <c r="Y2980" s="18"/>
    </row>
    <row r="2981" spans="25:25" x14ac:dyDescent="0.2">
      <c r="Y2981" s="18"/>
    </row>
    <row r="2982" spans="25:25" x14ac:dyDescent="0.2">
      <c r="Y2982" s="18"/>
    </row>
    <row r="2983" spans="25:25" x14ac:dyDescent="0.2">
      <c r="Y2983" s="18"/>
    </row>
    <row r="2984" spans="25:25" x14ac:dyDescent="0.2">
      <c r="Y2984" s="18"/>
    </row>
    <row r="2985" spans="25:25" x14ac:dyDescent="0.2">
      <c r="Y2985" s="18"/>
    </row>
    <row r="2986" spans="25:25" x14ac:dyDescent="0.2">
      <c r="Y2986" s="18"/>
    </row>
    <row r="2987" spans="25:25" x14ac:dyDescent="0.2">
      <c r="Y2987" s="18"/>
    </row>
    <row r="2988" spans="25:25" x14ac:dyDescent="0.2">
      <c r="Y2988" s="18"/>
    </row>
    <row r="2989" spans="25:25" x14ac:dyDescent="0.2">
      <c r="Y2989" s="18"/>
    </row>
    <row r="2990" spans="25:25" x14ac:dyDescent="0.2">
      <c r="Y2990" s="18"/>
    </row>
    <row r="2991" spans="25:25" x14ac:dyDescent="0.2">
      <c r="Y2991" s="18"/>
    </row>
    <row r="2992" spans="25:25" x14ac:dyDescent="0.2">
      <c r="Y2992" s="18"/>
    </row>
    <row r="2993" spans="25:25" x14ac:dyDescent="0.2">
      <c r="Y2993" s="18"/>
    </row>
    <row r="2994" spans="25:25" x14ac:dyDescent="0.2">
      <c r="Y2994" s="18"/>
    </row>
    <row r="2995" spans="25:25" x14ac:dyDescent="0.2">
      <c r="Y2995" s="18"/>
    </row>
    <row r="2996" spans="25:25" x14ac:dyDescent="0.2">
      <c r="Y2996" s="18"/>
    </row>
    <row r="2997" spans="25:25" x14ac:dyDescent="0.2">
      <c r="Y2997" s="18"/>
    </row>
    <row r="2998" spans="25:25" x14ac:dyDescent="0.2">
      <c r="Y2998" s="18"/>
    </row>
    <row r="2999" spans="25:25" x14ac:dyDescent="0.2">
      <c r="Y2999" s="18"/>
    </row>
    <row r="3000" spans="25:25" x14ac:dyDescent="0.2">
      <c r="Y3000" s="18"/>
    </row>
    <row r="3001" spans="25:25" x14ac:dyDescent="0.2">
      <c r="Y3001" s="18"/>
    </row>
    <row r="3002" spans="25:25" x14ac:dyDescent="0.2">
      <c r="Y3002" s="18"/>
    </row>
    <row r="3003" spans="25:25" x14ac:dyDescent="0.2">
      <c r="Y3003" s="18"/>
    </row>
    <row r="3004" spans="25:25" x14ac:dyDescent="0.2">
      <c r="Y3004" s="18"/>
    </row>
    <row r="3005" spans="25:25" x14ac:dyDescent="0.2">
      <c r="Y3005" s="18"/>
    </row>
    <row r="3006" spans="25:25" x14ac:dyDescent="0.2">
      <c r="Y3006" s="18"/>
    </row>
    <row r="3007" spans="25:25" x14ac:dyDescent="0.2">
      <c r="Y3007" s="18"/>
    </row>
    <row r="3008" spans="25:25" x14ac:dyDescent="0.2">
      <c r="Y3008" s="18"/>
    </row>
    <row r="3009" spans="25:25" x14ac:dyDescent="0.2">
      <c r="Y3009" s="18"/>
    </row>
    <row r="3010" spans="25:25" x14ac:dyDescent="0.2">
      <c r="Y3010" s="18"/>
    </row>
    <row r="3011" spans="25:25" x14ac:dyDescent="0.2">
      <c r="Y3011" s="18"/>
    </row>
    <row r="3012" spans="25:25" x14ac:dyDescent="0.2">
      <c r="Y3012" s="18"/>
    </row>
    <row r="3013" spans="25:25" x14ac:dyDescent="0.2">
      <c r="Y3013" s="18"/>
    </row>
    <row r="3014" spans="25:25" x14ac:dyDescent="0.2">
      <c r="Y3014" s="18"/>
    </row>
    <row r="3015" spans="25:25" x14ac:dyDescent="0.2">
      <c r="Y3015" s="18"/>
    </row>
    <row r="3016" spans="25:25" x14ac:dyDescent="0.2">
      <c r="Y3016" s="18"/>
    </row>
    <row r="3017" spans="25:25" x14ac:dyDescent="0.2">
      <c r="Y3017" s="18"/>
    </row>
    <row r="3018" spans="25:25" x14ac:dyDescent="0.2">
      <c r="Y3018" s="18"/>
    </row>
    <row r="3019" spans="25:25" x14ac:dyDescent="0.2">
      <c r="Y3019" s="18"/>
    </row>
    <row r="3020" spans="25:25" x14ac:dyDescent="0.2">
      <c r="Y3020" s="18"/>
    </row>
    <row r="3021" spans="25:25" x14ac:dyDescent="0.2">
      <c r="Y3021" s="18"/>
    </row>
    <row r="3022" spans="25:25" x14ac:dyDescent="0.2">
      <c r="Y3022" s="18"/>
    </row>
    <row r="3023" spans="25:25" x14ac:dyDescent="0.2">
      <c r="Y3023" s="18"/>
    </row>
    <row r="3024" spans="25:25" x14ac:dyDescent="0.2">
      <c r="Y3024" s="18"/>
    </row>
    <row r="3025" spans="25:25" x14ac:dyDescent="0.2">
      <c r="Y3025" s="18"/>
    </row>
    <row r="3026" spans="25:25" x14ac:dyDescent="0.2">
      <c r="Y3026" s="18"/>
    </row>
    <row r="3027" spans="25:25" x14ac:dyDescent="0.2">
      <c r="Y3027" s="18"/>
    </row>
    <row r="3028" spans="25:25" x14ac:dyDescent="0.2">
      <c r="Y3028" s="18"/>
    </row>
    <row r="3029" spans="25:25" x14ac:dyDescent="0.2">
      <c r="Y3029" s="18"/>
    </row>
    <row r="3030" spans="25:25" x14ac:dyDescent="0.2">
      <c r="Y3030" s="18"/>
    </row>
    <row r="3031" spans="25:25" x14ac:dyDescent="0.2">
      <c r="Y3031" s="18"/>
    </row>
    <row r="3032" spans="25:25" x14ac:dyDescent="0.2">
      <c r="Y3032" s="18"/>
    </row>
    <row r="3033" spans="25:25" x14ac:dyDescent="0.2">
      <c r="Y3033" s="18"/>
    </row>
    <row r="3034" spans="25:25" x14ac:dyDescent="0.2">
      <c r="Y3034" s="18"/>
    </row>
    <row r="3035" spans="25:25" x14ac:dyDescent="0.2">
      <c r="Y3035" s="18"/>
    </row>
    <row r="3036" spans="25:25" x14ac:dyDescent="0.2">
      <c r="Y3036" s="18"/>
    </row>
    <row r="3037" spans="25:25" x14ac:dyDescent="0.2">
      <c r="Y3037" s="18"/>
    </row>
    <row r="3038" spans="25:25" x14ac:dyDescent="0.2">
      <c r="Y3038" s="18"/>
    </row>
    <row r="3039" spans="25:25" x14ac:dyDescent="0.2">
      <c r="Y3039" s="18"/>
    </row>
    <row r="3040" spans="25:25" x14ac:dyDescent="0.2">
      <c r="Y3040" s="18"/>
    </row>
    <row r="3041" spans="25:25" x14ac:dyDescent="0.2">
      <c r="Y3041" s="18"/>
    </row>
    <row r="3042" spans="25:25" x14ac:dyDescent="0.2">
      <c r="Y3042" s="18"/>
    </row>
    <row r="3043" spans="25:25" x14ac:dyDescent="0.2">
      <c r="Y3043" s="18"/>
    </row>
    <row r="3044" spans="25:25" x14ac:dyDescent="0.2">
      <c r="Y3044" s="18"/>
    </row>
    <row r="3045" spans="25:25" x14ac:dyDescent="0.2">
      <c r="Y3045" s="18"/>
    </row>
    <row r="3046" spans="25:25" x14ac:dyDescent="0.2">
      <c r="Y3046" s="18"/>
    </row>
    <row r="3047" spans="25:25" x14ac:dyDescent="0.2">
      <c r="Y3047" s="18"/>
    </row>
    <row r="3048" spans="25:25" x14ac:dyDescent="0.2">
      <c r="Y3048" s="18"/>
    </row>
    <row r="3049" spans="25:25" x14ac:dyDescent="0.2">
      <c r="Y3049" s="18"/>
    </row>
    <row r="3050" spans="25:25" x14ac:dyDescent="0.2">
      <c r="Y3050" s="18"/>
    </row>
    <row r="3051" spans="25:25" x14ac:dyDescent="0.2">
      <c r="Y3051" s="18"/>
    </row>
    <row r="3052" spans="25:25" x14ac:dyDescent="0.2">
      <c r="Y3052" s="18"/>
    </row>
    <row r="3053" spans="25:25" x14ac:dyDescent="0.2">
      <c r="Y3053" s="18"/>
    </row>
    <row r="3054" spans="25:25" x14ac:dyDescent="0.2">
      <c r="Y3054" s="18"/>
    </row>
    <row r="3055" spans="25:25" x14ac:dyDescent="0.2">
      <c r="Y3055" s="18"/>
    </row>
    <row r="3056" spans="25:25" x14ac:dyDescent="0.2">
      <c r="Y3056" s="18"/>
    </row>
    <row r="3057" spans="25:25" x14ac:dyDescent="0.2">
      <c r="Y3057" s="18"/>
    </row>
    <row r="3058" spans="25:25" x14ac:dyDescent="0.2">
      <c r="Y3058" s="18"/>
    </row>
    <row r="3059" spans="25:25" x14ac:dyDescent="0.2">
      <c r="Y3059" s="18"/>
    </row>
    <row r="3060" spans="25:25" x14ac:dyDescent="0.2">
      <c r="Y3060" s="18"/>
    </row>
    <row r="3061" spans="25:25" x14ac:dyDescent="0.2">
      <c r="Y3061" s="18"/>
    </row>
    <row r="3062" spans="25:25" x14ac:dyDescent="0.2">
      <c r="Y3062" s="18"/>
    </row>
    <row r="3063" spans="25:25" x14ac:dyDescent="0.2">
      <c r="Y3063" s="18"/>
    </row>
    <row r="3064" spans="25:25" x14ac:dyDescent="0.2">
      <c r="Y3064" s="18"/>
    </row>
    <row r="3065" spans="25:25" x14ac:dyDescent="0.2">
      <c r="Y3065" s="18"/>
    </row>
    <row r="3066" spans="25:25" x14ac:dyDescent="0.2">
      <c r="Y3066" s="18"/>
    </row>
    <row r="3067" spans="25:25" x14ac:dyDescent="0.2">
      <c r="Y3067" s="18"/>
    </row>
    <row r="3068" spans="25:25" x14ac:dyDescent="0.2">
      <c r="Y3068" s="18"/>
    </row>
    <row r="3069" spans="25:25" x14ac:dyDescent="0.2">
      <c r="Y3069" s="18"/>
    </row>
    <row r="3070" spans="25:25" x14ac:dyDescent="0.2">
      <c r="Y3070" s="18"/>
    </row>
    <row r="3071" spans="25:25" x14ac:dyDescent="0.2">
      <c r="Y3071" s="18"/>
    </row>
    <row r="3072" spans="25:25" x14ac:dyDescent="0.2">
      <c r="Y3072" s="18"/>
    </row>
    <row r="3073" spans="25:25" x14ac:dyDescent="0.2">
      <c r="Y3073" s="18"/>
    </row>
    <row r="3074" spans="25:25" x14ac:dyDescent="0.2">
      <c r="Y3074" s="18"/>
    </row>
    <row r="3075" spans="25:25" x14ac:dyDescent="0.2">
      <c r="Y3075" s="18"/>
    </row>
    <row r="3076" spans="25:25" x14ac:dyDescent="0.2">
      <c r="Y3076" s="18"/>
    </row>
    <row r="3077" spans="25:25" x14ac:dyDescent="0.2">
      <c r="Y3077" s="18"/>
    </row>
    <row r="3078" spans="25:25" x14ac:dyDescent="0.2">
      <c r="Y3078" s="18"/>
    </row>
    <row r="3079" spans="25:25" x14ac:dyDescent="0.2">
      <c r="Y3079" s="18"/>
    </row>
    <row r="3080" spans="25:25" x14ac:dyDescent="0.2">
      <c r="Y3080" s="18"/>
    </row>
    <row r="3081" spans="25:25" x14ac:dyDescent="0.2">
      <c r="Y3081" s="18"/>
    </row>
    <row r="3082" spans="25:25" x14ac:dyDescent="0.2">
      <c r="Y3082" s="18"/>
    </row>
    <row r="3083" spans="25:25" x14ac:dyDescent="0.2">
      <c r="Y3083" s="18"/>
    </row>
    <row r="3084" spans="25:25" x14ac:dyDescent="0.2">
      <c r="Y3084" s="18"/>
    </row>
    <row r="3085" spans="25:25" x14ac:dyDescent="0.2">
      <c r="Y3085" s="18"/>
    </row>
    <row r="3086" spans="25:25" x14ac:dyDescent="0.2">
      <c r="Y3086" s="18"/>
    </row>
    <row r="3087" spans="25:25" x14ac:dyDescent="0.2">
      <c r="Y3087" s="18"/>
    </row>
    <row r="3088" spans="25:25" x14ac:dyDescent="0.2">
      <c r="Y3088" s="18"/>
    </row>
    <row r="3089" spans="25:25" x14ac:dyDescent="0.2">
      <c r="Y3089" s="18"/>
    </row>
    <row r="3090" spans="25:25" x14ac:dyDescent="0.2">
      <c r="Y3090" s="18"/>
    </row>
    <row r="3091" spans="25:25" x14ac:dyDescent="0.2">
      <c r="Y3091" s="18"/>
    </row>
    <row r="3092" spans="25:25" x14ac:dyDescent="0.2">
      <c r="Y3092" s="18"/>
    </row>
    <row r="3093" spans="25:25" x14ac:dyDescent="0.2">
      <c r="Y3093" s="18"/>
    </row>
    <row r="3094" spans="25:25" x14ac:dyDescent="0.2">
      <c r="Y3094" s="18"/>
    </row>
    <row r="3095" spans="25:25" x14ac:dyDescent="0.2">
      <c r="Y3095" s="18"/>
    </row>
    <row r="3096" spans="25:25" x14ac:dyDescent="0.2">
      <c r="Y3096" s="18"/>
    </row>
    <row r="3097" spans="25:25" x14ac:dyDescent="0.2">
      <c r="Y3097" s="18"/>
    </row>
    <row r="3098" spans="25:25" x14ac:dyDescent="0.2">
      <c r="Y3098" s="18"/>
    </row>
    <row r="3099" spans="25:25" x14ac:dyDescent="0.2">
      <c r="Y3099" s="18"/>
    </row>
    <row r="3100" spans="25:25" x14ac:dyDescent="0.2">
      <c r="Y3100" s="18"/>
    </row>
    <row r="3101" spans="25:25" x14ac:dyDescent="0.2">
      <c r="Y3101" s="18"/>
    </row>
    <row r="3102" spans="25:25" x14ac:dyDescent="0.2">
      <c r="Y3102" s="18"/>
    </row>
    <row r="3103" spans="25:25" x14ac:dyDescent="0.2">
      <c r="Y3103" s="18"/>
    </row>
    <row r="3104" spans="25:25" x14ac:dyDescent="0.2">
      <c r="Y3104" s="18"/>
    </row>
    <row r="3105" spans="25:25" x14ac:dyDescent="0.2">
      <c r="Y3105" s="18"/>
    </row>
    <row r="3106" spans="25:25" x14ac:dyDescent="0.2">
      <c r="Y3106" s="18"/>
    </row>
    <row r="3107" spans="25:25" x14ac:dyDescent="0.2">
      <c r="Y3107" s="18"/>
    </row>
    <row r="3108" spans="25:25" x14ac:dyDescent="0.2">
      <c r="Y3108" s="18"/>
    </row>
    <row r="3109" spans="25:25" x14ac:dyDescent="0.2">
      <c r="Y3109" s="18"/>
    </row>
    <row r="3110" spans="25:25" x14ac:dyDescent="0.2">
      <c r="Y3110" s="18"/>
    </row>
    <row r="3111" spans="25:25" x14ac:dyDescent="0.2">
      <c r="Y3111" s="18"/>
    </row>
    <row r="3112" spans="25:25" x14ac:dyDescent="0.2">
      <c r="Y3112" s="18"/>
    </row>
    <row r="3113" spans="25:25" x14ac:dyDescent="0.2">
      <c r="Y3113" s="18"/>
    </row>
    <row r="3114" spans="25:25" x14ac:dyDescent="0.2">
      <c r="Y3114" s="18"/>
    </row>
    <row r="3115" spans="25:25" x14ac:dyDescent="0.2">
      <c r="Y3115" s="18"/>
    </row>
    <row r="3116" spans="25:25" x14ac:dyDescent="0.2">
      <c r="Y3116" s="18"/>
    </row>
    <row r="3117" spans="25:25" x14ac:dyDescent="0.2">
      <c r="Y3117" s="18"/>
    </row>
    <row r="3118" spans="25:25" x14ac:dyDescent="0.2">
      <c r="Y3118" s="18"/>
    </row>
    <row r="3119" spans="25:25" x14ac:dyDescent="0.2">
      <c r="Y3119" s="18"/>
    </row>
    <row r="3120" spans="25:25" x14ac:dyDescent="0.2">
      <c r="Y3120" s="18"/>
    </row>
    <row r="3121" spans="25:25" x14ac:dyDescent="0.2">
      <c r="Y3121" s="18"/>
    </row>
    <row r="3122" spans="25:25" x14ac:dyDescent="0.2">
      <c r="Y3122" s="18"/>
    </row>
    <row r="3123" spans="25:25" x14ac:dyDescent="0.2">
      <c r="Y3123" s="18"/>
    </row>
    <row r="3124" spans="25:25" x14ac:dyDescent="0.2">
      <c r="Y3124" s="18"/>
    </row>
    <row r="3125" spans="25:25" x14ac:dyDescent="0.2">
      <c r="Y3125" s="18"/>
    </row>
    <row r="3126" spans="25:25" x14ac:dyDescent="0.2">
      <c r="Y3126" s="18"/>
    </row>
    <row r="3127" spans="25:25" x14ac:dyDescent="0.2">
      <c r="Y3127" s="18"/>
    </row>
    <row r="3128" spans="25:25" x14ac:dyDescent="0.2">
      <c r="Y3128" s="18"/>
    </row>
    <row r="3129" spans="25:25" x14ac:dyDescent="0.2">
      <c r="Y3129" s="18"/>
    </row>
    <row r="3130" spans="25:25" x14ac:dyDescent="0.2">
      <c r="Y3130" s="18"/>
    </row>
    <row r="3131" spans="25:25" x14ac:dyDescent="0.2">
      <c r="Y3131" s="18"/>
    </row>
    <row r="3132" spans="25:25" x14ac:dyDescent="0.2">
      <c r="Y3132" s="18"/>
    </row>
    <row r="3133" spans="25:25" x14ac:dyDescent="0.2">
      <c r="Y3133" s="18"/>
    </row>
    <row r="3134" spans="25:25" x14ac:dyDescent="0.2">
      <c r="Y3134" s="18"/>
    </row>
    <row r="3135" spans="25:25" x14ac:dyDescent="0.2">
      <c r="Y3135" s="18"/>
    </row>
    <row r="3136" spans="25:25" x14ac:dyDescent="0.2">
      <c r="Y3136" s="18"/>
    </row>
    <row r="3137" spans="25:25" x14ac:dyDescent="0.2">
      <c r="Y3137" s="18"/>
    </row>
    <row r="3138" spans="25:25" x14ac:dyDescent="0.2">
      <c r="Y3138" s="18"/>
    </row>
    <row r="3139" spans="25:25" x14ac:dyDescent="0.2">
      <c r="Y3139" s="18"/>
    </row>
    <row r="3140" spans="25:25" x14ac:dyDescent="0.2">
      <c r="Y3140" s="18"/>
    </row>
    <row r="3141" spans="25:25" x14ac:dyDescent="0.2">
      <c r="Y3141" s="18"/>
    </row>
    <row r="3142" spans="25:25" x14ac:dyDescent="0.2">
      <c r="Y3142" s="18"/>
    </row>
    <row r="3143" spans="25:25" x14ac:dyDescent="0.2">
      <c r="Y3143" s="18"/>
    </row>
    <row r="3144" spans="25:25" x14ac:dyDescent="0.2">
      <c r="Y3144" s="18"/>
    </row>
    <row r="3145" spans="25:25" x14ac:dyDescent="0.2">
      <c r="Y3145" s="18"/>
    </row>
    <row r="3146" spans="25:25" x14ac:dyDescent="0.2">
      <c r="Y3146" s="18"/>
    </row>
    <row r="3147" spans="25:25" x14ac:dyDescent="0.2">
      <c r="Y3147" s="18"/>
    </row>
    <row r="3148" spans="25:25" x14ac:dyDescent="0.2">
      <c r="Y3148" s="18"/>
    </row>
    <row r="3149" spans="25:25" x14ac:dyDescent="0.2">
      <c r="Y3149" s="18"/>
    </row>
    <row r="3150" spans="25:25" x14ac:dyDescent="0.2">
      <c r="Y3150" s="18"/>
    </row>
    <row r="3151" spans="25:25" x14ac:dyDescent="0.2">
      <c r="Y3151" s="18"/>
    </row>
    <row r="3152" spans="25:25" x14ac:dyDescent="0.2">
      <c r="Y3152" s="18"/>
    </row>
    <row r="3153" spans="25:25" x14ac:dyDescent="0.2">
      <c r="Y3153" s="18"/>
    </row>
    <row r="3154" spans="25:25" x14ac:dyDescent="0.2">
      <c r="Y3154" s="18"/>
    </row>
    <row r="3155" spans="25:25" x14ac:dyDescent="0.2">
      <c r="Y3155" s="18"/>
    </row>
    <row r="3156" spans="25:25" x14ac:dyDescent="0.2">
      <c r="Y3156" s="18"/>
    </row>
    <row r="3157" spans="25:25" x14ac:dyDescent="0.2">
      <c r="Y3157" s="18"/>
    </row>
    <row r="3158" spans="25:25" x14ac:dyDescent="0.2">
      <c r="Y3158" s="18"/>
    </row>
    <row r="3159" spans="25:25" x14ac:dyDescent="0.2">
      <c r="Y3159" s="18"/>
    </row>
    <row r="3160" spans="25:25" x14ac:dyDescent="0.2">
      <c r="Y3160" s="18"/>
    </row>
    <row r="3161" spans="25:25" x14ac:dyDescent="0.2">
      <c r="Y3161" s="18"/>
    </row>
    <row r="3162" spans="25:25" x14ac:dyDescent="0.2">
      <c r="Y3162" s="18"/>
    </row>
    <row r="3163" spans="25:25" x14ac:dyDescent="0.2">
      <c r="Y3163" s="18"/>
    </row>
    <row r="3164" spans="25:25" x14ac:dyDescent="0.2">
      <c r="Y3164" s="18"/>
    </row>
    <row r="3165" spans="25:25" x14ac:dyDescent="0.2">
      <c r="Y3165" s="18"/>
    </row>
    <row r="3166" spans="25:25" x14ac:dyDescent="0.2">
      <c r="Y3166" s="18"/>
    </row>
    <row r="3167" spans="25:25" x14ac:dyDescent="0.2">
      <c r="Y3167" s="18"/>
    </row>
    <row r="3168" spans="25:25" x14ac:dyDescent="0.2">
      <c r="Y3168" s="18"/>
    </row>
    <row r="3169" spans="25:25" x14ac:dyDescent="0.2">
      <c r="Y3169" s="18"/>
    </row>
    <row r="3170" spans="25:25" x14ac:dyDescent="0.2">
      <c r="Y3170" s="18"/>
    </row>
    <row r="3171" spans="25:25" x14ac:dyDescent="0.2">
      <c r="Y3171" s="18"/>
    </row>
    <row r="3172" spans="25:25" x14ac:dyDescent="0.2">
      <c r="Y3172" s="18"/>
    </row>
    <row r="3173" spans="25:25" x14ac:dyDescent="0.2">
      <c r="Y3173" s="18"/>
    </row>
    <row r="3174" spans="25:25" x14ac:dyDescent="0.2">
      <c r="Y3174" s="18"/>
    </row>
    <row r="3175" spans="25:25" x14ac:dyDescent="0.2">
      <c r="Y3175" s="18"/>
    </row>
    <row r="3176" spans="25:25" x14ac:dyDescent="0.2">
      <c r="Y3176" s="18"/>
    </row>
    <row r="3177" spans="25:25" x14ac:dyDescent="0.2">
      <c r="Y3177" s="18"/>
    </row>
    <row r="3178" spans="25:25" x14ac:dyDescent="0.2">
      <c r="Y3178" s="18"/>
    </row>
    <row r="3179" spans="25:25" x14ac:dyDescent="0.2">
      <c r="Y3179" s="18"/>
    </row>
    <row r="3180" spans="25:25" x14ac:dyDescent="0.2">
      <c r="Y3180" s="18"/>
    </row>
    <row r="3181" spans="25:25" x14ac:dyDescent="0.2">
      <c r="Y3181" s="18"/>
    </row>
    <row r="3182" spans="25:25" x14ac:dyDescent="0.2">
      <c r="Y3182" s="18"/>
    </row>
    <row r="3183" spans="25:25" x14ac:dyDescent="0.2">
      <c r="Y3183" s="18"/>
    </row>
    <row r="3184" spans="25:25" x14ac:dyDescent="0.2">
      <c r="Y3184" s="18"/>
    </row>
    <row r="3185" spans="25:25" x14ac:dyDescent="0.2">
      <c r="Y3185" s="18"/>
    </row>
    <row r="3186" spans="25:25" x14ac:dyDescent="0.2">
      <c r="Y3186" s="18"/>
    </row>
    <row r="3187" spans="25:25" x14ac:dyDescent="0.2">
      <c r="Y3187" s="18"/>
    </row>
    <row r="3188" spans="25:25" x14ac:dyDescent="0.2">
      <c r="Y3188" s="18"/>
    </row>
    <row r="3189" spans="25:25" x14ac:dyDescent="0.2">
      <c r="Y3189" s="18"/>
    </row>
    <row r="3190" spans="25:25" x14ac:dyDescent="0.2">
      <c r="Y3190" s="18"/>
    </row>
    <row r="3191" spans="25:25" x14ac:dyDescent="0.2">
      <c r="Y3191" s="18"/>
    </row>
    <row r="3192" spans="25:25" x14ac:dyDescent="0.2">
      <c r="Y3192" s="18"/>
    </row>
    <row r="3193" spans="25:25" x14ac:dyDescent="0.2">
      <c r="Y3193" s="18"/>
    </row>
    <row r="3194" spans="25:25" x14ac:dyDescent="0.2">
      <c r="Y3194" s="18"/>
    </row>
    <row r="3195" spans="25:25" x14ac:dyDescent="0.2">
      <c r="Y3195" s="18"/>
    </row>
    <row r="3196" spans="25:25" x14ac:dyDescent="0.2">
      <c r="Y3196" s="18"/>
    </row>
    <row r="3197" spans="25:25" x14ac:dyDescent="0.2">
      <c r="Y3197" s="18"/>
    </row>
    <row r="3198" spans="25:25" x14ac:dyDescent="0.2">
      <c r="Y3198" s="18"/>
    </row>
    <row r="3199" spans="25:25" x14ac:dyDescent="0.2">
      <c r="Y3199" s="18"/>
    </row>
    <row r="3200" spans="25:25" x14ac:dyDescent="0.2">
      <c r="Y3200" s="18"/>
    </row>
    <row r="3201" spans="25:25" x14ac:dyDescent="0.2">
      <c r="Y3201" s="18"/>
    </row>
    <row r="3202" spans="25:25" x14ac:dyDescent="0.2">
      <c r="Y3202" s="18"/>
    </row>
    <row r="3203" spans="25:25" x14ac:dyDescent="0.2">
      <c r="Y3203" s="18"/>
    </row>
    <row r="3204" spans="25:25" x14ac:dyDescent="0.2">
      <c r="Y3204" s="18"/>
    </row>
    <row r="3205" spans="25:25" x14ac:dyDescent="0.2">
      <c r="Y3205" s="18"/>
    </row>
    <row r="3206" spans="25:25" x14ac:dyDescent="0.2">
      <c r="Y3206" s="18"/>
    </row>
    <row r="3207" spans="25:25" x14ac:dyDescent="0.2">
      <c r="Y3207" s="18"/>
    </row>
    <row r="3208" spans="25:25" x14ac:dyDescent="0.2">
      <c r="Y3208" s="18"/>
    </row>
    <row r="3209" spans="25:25" x14ac:dyDescent="0.2">
      <c r="Y3209" s="18"/>
    </row>
    <row r="3210" spans="25:25" x14ac:dyDescent="0.2">
      <c r="Y3210" s="18"/>
    </row>
    <row r="3211" spans="25:25" x14ac:dyDescent="0.2">
      <c r="Y3211" s="18"/>
    </row>
    <row r="3212" spans="25:25" x14ac:dyDescent="0.2">
      <c r="Y3212" s="18"/>
    </row>
    <row r="3213" spans="25:25" x14ac:dyDescent="0.2">
      <c r="Y3213" s="18"/>
    </row>
    <row r="3214" spans="25:25" x14ac:dyDescent="0.2">
      <c r="Y3214" s="18"/>
    </row>
    <row r="3215" spans="25:25" x14ac:dyDescent="0.2">
      <c r="Y3215" s="18"/>
    </row>
    <row r="3216" spans="25:25" x14ac:dyDescent="0.2">
      <c r="Y3216" s="18"/>
    </row>
    <row r="3217" spans="25:25" x14ac:dyDescent="0.2">
      <c r="Y3217" s="18"/>
    </row>
    <row r="3218" spans="25:25" x14ac:dyDescent="0.2">
      <c r="Y3218" s="18"/>
    </row>
    <row r="3219" spans="25:25" x14ac:dyDescent="0.2">
      <c r="Y3219" s="18"/>
    </row>
    <row r="3220" spans="25:25" x14ac:dyDescent="0.2">
      <c r="Y3220" s="18"/>
    </row>
    <row r="3221" spans="25:25" x14ac:dyDescent="0.2">
      <c r="Y3221" s="18"/>
    </row>
    <row r="3222" spans="25:25" x14ac:dyDescent="0.2">
      <c r="Y3222" s="18"/>
    </row>
    <row r="3223" spans="25:25" x14ac:dyDescent="0.2">
      <c r="Y3223" s="18"/>
    </row>
    <row r="3224" spans="25:25" x14ac:dyDescent="0.2">
      <c r="Y3224" s="18"/>
    </row>
    <row r="3225" spans="25:25" x14ac:dyDescent="0.2">
      <c r="Y3225" s="18"/>
    </row>
    <row r="3226" spans="25:25" x14ac:dyDescent="0.2">
      <c r="Y3226" s="18"/>
    </row>
    <row r="3227" spans="25:25" x14ac:dyDescent="0.2">
      <c r="Y3227" s="18"/>
    </row>
    <row r="3228" spans="25:25" x14ac:dyDescent="0.2">
      <c r="Y3228" s="18"/>
    </row>
    <row r="3229" spans="25:25" x14ac:dyDescent="0.2">
      <c r="Y3229" s="18"/>
    </row>
    <row r="3230" spans="25:25" x14ac:dyDescent="0.2">
      <c r="Y3230" s="18"/>
    </row>
    <row r="3231" spans="25:25" x14ac:dyDescent="0.2">
      <c r="Y3231" s="18"/>
    </row>
    <row r="3232" spans="25:25" x14ac:dyDescent="0.2">
      <c r="Y3232" s="18"/>
    </row>
    <row r="3233" spans="25:25" x14ac:dyDescent="0.2">
      <c r="Y3233" s="18"/>
    </row>
    <row r="3234" spans="25:25" x14ac:dyDescent="0.2">
      <c r="Y3234" s="18"/>
    </row>
    <row r="3235" spans="25:25" x14ac:dyDescent="0.2">
      <c r="Y3235" s="18"/>
    </row>
    <row r="3236" spans="25:25" x14ac:dyDescent="0.2">
      <c r="Y3236" s="18"/>
    </row>
    <row r="3237" spans="25:25" x14ac:dyDescent="0.2">
      <c r="Y3237" s="18"/>
    </row>
    <row r="3238" spans="25:25" x14ac:dyDescent="0.2">
      <c r="Y3238" s="18"/>
    </row>
    <row r="3239" spans="25:25" x14ac:dyDescent="0.2">
      <c r="Y3239" s="18"/>
    </row>
    <row r="3240" spans="25:25" x14ac:dyDescent="0.2">
      <c r="Y3240" s="18"/>
    </row>
    <row r="3241" spans="25:25" x14ac:dyDescent="0.2">
      <c r="Y3241" s="18"/>
    </row>
    <row r="3242" spans="25:25" x14ac:dyDescent="0.2">
      <c r="Y3242" s="18"/>
    </row>
    <row r="3243" spans="25:25" x14ac:dyDescent="0.2">
      <c r="Y3243" s="18"/>
    </row>
    <row r="3244" spans="25:25" x14ac:dyDescent="0.2">
      <c r="Y3244" s="18"/>
    </row>
    <row r="3245" spans="25:25" x14ac:dyDescent="0.2">
      <c r="Y3245" s="18"/>
    </row>
    <row r="3246" spans="25:25" x14ac:dyDescent="0.2">
      <c r="Y3246" s="18"/>
    </row>
    <row r="3247" spans="25:25" x14ac:dyDescent="0.2">
      <c r="Y3247" s="18"/>
    </row>
    <row r="3248" spans="25:25" x14ac:dyDescent="0.2">
      <c r="Y3248" s="18"/>
    </row>
    <row r="3249" spans="25:25" x14ac:dyDescent="0.2">
      <c r="Y3249" s="18"/>
    </row>
    <row r="3250" spans="25:25" x14ac:dyDescent="0.2">
      <c r="Y3250" s="18"/>
    </row>
    <row r="3251" spans="25:25" x14ac:dyDescent="0.2">
      <c r="Y3251" s="18"/>
    </row>
    <row r="3252" spans="25:25" x14ac:dyDescent="0.2">
      <c r="Y3252" s="18"/>
    </row>
    <row r="3253" spans="25:25" x14ac:dyDescent="0.2">
      <c r="Y3253" s="18"/>
    </row>
    <row r="3254" spans="25:25" x14ac:dyDescent="0.2">
      <c r="Y3254" s="18"/>
    </row>
    <row r="3255" spans="25:25" x14ac:dyDescent="0.2">
      <c r="Y3255" s="18"/>
    </row>
    <row r="3256" spans="25:25" x14ac:dyDescent="0.2">
      <c r="Y3256" s="18"/>
    </row>
    <row r="3257" spans="25:25" x14ac:dyDescent="0.2">
      <c r="Y3257" s="18"/>
    </row>
    <row r="3258" spans="25:25" x14ac:dyDescent="0.2">
      <c r="Y3258" s="18"/>
    </row>
    <row r="3259" spans="25:25" x14ac:dyDescent="0.2">
      <c r="Y3259" s="18"/>
    </row>
    <row r="3260" spans="25:25" x14ac:dyDescent="0.2">
      <c r="Y3260" s="18"/>
    </row>
    <row r="3261" spans="25:25" x14ac:dyDescent="0.2">
      <c r="Y3261" s="18"/>
    </row>
    <row r="3262" spans="25:25" x14ac:dyDescent="0.2">
      <c r="Y3262" s="18"/>
    </row>
    <row r="3263" spans="25:25" x14ac:dyDescent="0.2">
      <c r="Y3263" s="18"/>
    </row>
    <row r="3264" spans="25:25" x14ac:dyDescent="0.2">
      <c r="Y3264" s="18"/>
    </row>
    <row r="3265" spans="25:25" x14ac:dyDescent="0.2">
      <c r="Y3265" s="18"/>
    </row>
    <row r="3266" spans="25:25" x14ac:dyDescent="0.2">
      <c r="Y3266" s="18"/>
    </row>
    <row r="3267" spans="25:25" x14ac:dyDescent="0.2">
      <c r="Y3267" s="18"/>
    </row>
    <row r="3268" spans="25:25" x14ac:dyDescent="0.2">
      <c r="Y3268" s="18"/>
    </row>
    <row r="3269" spans="25:25" x14ac:dyDescent="0.2">
      <c r="Y3269" s="18"/>
    </row>
    <row r="3270" spans="25:25" x14ac:dyDescent="0.2">
      <c r="Y3270" s="18"/>
    </row>
    <row r="3271" spans="25:25" x14ac:dyDescent="0.2">
      <c r="Y3271" s="18"/>
    </row>
    <row r="3272" spans="25:25" x14ac:dyDescent="0.2">
      <c r="Y3272" s="18"/>
    </row>
    <row r="3273" spans="25:25" x14ac:dyDescent="0.2">
      <c r="Y3273" s="18"/>
    </row>
    <row r="3274" spans="25:25" x14ac:dyDescent="0.2">
      <c r="Y3274" s="18"/>
    </row>
    <row r="3275" spans="25:25" x14ac:dyDescent="0.2">
      <c r="Y3275" s="18"/>
    </row>
    <row r="3276" spans="25:25" x14ac:dyDescent="0.2">
      <c r="Y3276" s="18"/>
    </row>
    <row r="3277" spans="25:25" x14ac:dyDescent="0.2">
      <c r="Y3277" s="18"/>
    </row>
    <row r="3278" spans="25:25" x14ac:dyDescent="0.2">
      <c r="Y3278" s="18"/>
    </row>
    <row r="3279" spans="25:25" x14ac:dyDescent="0.2">
      <c r="Y3279" s="18"/>
    </row>
    <row r="3280" spans="25:25" x14ac:dyDescent="0.2">
      <c r="Y3280" s="18"/>
    </row>
    <row r="3281" spans="25:25" x14ac:dyDescent="0.2">
      <c r="Y3281" s="18"/>
    </row>
    <row r="3282" spans="25:25" x14ac:dyDescent="0.2">
      <c r="Y3282" s="18"/>
    </row>
    <row r="3283" spans="25:25" x14ac:dyDescent="0.2">
      <c r="Y3283" s="18"/>
    </row>
    <row r="3284" spans="25:25" x14ac:dyDescent="0.2">
      <c r="Y3284" s="18"/>
    </row>
    <row r="3285" spans="25:25" x14ac:dyDescent="0.2">
      <c r="Y3285" s="18"/>
    </row>
    <row r="3286" spans="25:25" x14ac:dyDescent="0.2">
      <c r="Y3286" s="18"/>
    </row>
    <row r="3287" spans="25:25" x14ac:dyDescent="0.2">
      <c r="Y3287" s="18"/>
    </row>
    <row r="3288" spans="25:25" x14ac:dyDescent="0.2">
      <c r="Y3288" s="18"/>
    </row>
    <row r="3289" spans="25:25" x14ac:dyDescent="0.2">
      <c r="Y3289" s="18"/>
    </row>
    <row r="3290" spans="25:25" x14ac:dyDescent="0.2">
      <c r="Y3290" s="18"/>
    </row>
    <row r="3291" spans="25:25" x14ac:dyDescent="0.2">
      <c r="Y3291" s="18"/>
    </row>
    <row r="3292" spans="25:25" x14ac:dyDescent="0.2">
      <c r="Y3292" s="18"/>
    </row>
    <row r="3293" spans="25:25" x14ac:dyDescent="0.2">
      <c r="Y3293" s="18"/>
    </row>
    <row r="3294" spans="25:25" x14ac:dyDescent="0.2">
      <c r="Y3294" s="18"/>
    </row>
    <row r="3295" spans="25:25" x14ac:dyDescent="0.2">
      <c r="Y3295" s="18"/>
    </row>
    <row r="3296" spans="25:25" x14ac:dyDescent="0.2">
      <c r="Y3296" s="18"/>
    </row>
    <row r="3297" spans="25:25" x14ac:dyDescent="0.2">
      <c r="Y3297" s="18"/>
    </row>
    <row r="3298" spans="25:25" x14ac:dyDescent="0.2">
      <c r="Y3298" s="18"/>
    </row>
    <row r="3299" spans="25:25" x14ac:dyDescent="0.2">
      <c r="Y3299" s="18"/>
    </row>
    <row r="3300" spans="25:25" x14ac:dyDescent="0.2">
      <c r="Y3300" s="18"/>
    </row>
    <row r="3301" spans="25:25" x14ac:dyDescent="0.2">
      <c r="Y3301" s="18"/>
    </row>
    <row r="3302" spans="25:25" x14ac:dyDescent="0.2">
      <c r="Y3302" s="18"/>
    </row>
    <row r="3303" spans="25:25" x14ac:dyDescent="0.2">
      <c r="Y3303" s="18"/>
    </row>
    <row r="3304" spans="25:25" x14ac:dyDescent="0.2">
      <c r="Y3304" s="18"/>
    </row>
    <row r="3305" spans="25:25" x14ac:dyDescent="0.2">
      <c r="Y3305" s="18"/>
    </row>
    <row r="3306" spans="25:25" x14ac:dyDescent="0.2">
      <c r="Y3306" s="18"/>
    </row>
    <row r="3307" spans="25:25" x14ac:dyDescent="0.2">
      <c r="Y3307" s="18"/>
    </row>
    <row r="3308" spans="25:25" x14ac:dyDescent="0.2">
      <c r="Y3308" s="18"/>
    </row>
    <row r="3309" spans="25:25" x14ac:dyDescent="0.2">
      <c r="Y3309" s="18"/>
    </row>
    <row r="3310" spans="25:25" x14ac:dyDescent="0.2">
      <c r="Y3310" s="18"/>
    </row>
    <row r="3311" spans="25:25" x14ac:dyDescent="0.2">
      <c r="Y3311" s="18"/>
    </row>
    <row r="3312" spans="25:25" x14ac:dyDescent="0.2">
      <c r="Y3312" s="18"/>
    </row>
    <row r="3313" spans="25:25" x14ac:dyDescent="0.2">
      <c r="Y3313" s="18"/>
    </row>
    <row r="3314" spans="25:25" x14ac:dyDescent="0.2">
      <c r="Y3314" s="18"/>
    </row>
    <row r="3315" spans="25:25" x14ac:dyDescent="0.2">
      <c r="Y3315" s="18"/>
    </row>
    <row r="3316" spans="25:25" x14ac:dyDescent="0.2">
      <c r="Y3316" s="18"/>
    </row>
    <row r="3317" spans="25:25" x14ac:dyDescent="0.2">
      <c r="Y3317" s="18"/>
    </row>
    <row r="3318" spans="25:25" x14ac:dyDescent="0.2">
      <c r="Y3318" s="18"/>
    </row>
    <row r="3319" spans="25:25" x14ac:dyDescent="0.2">
      <c r="Y3319" s="18"/>
    </row>
    <row r="3320" spans="25:25" x14ac:dyDescent="0.2">
      <c r="Y3320" s="18"/>
    </row>
    <row r="3321" spans="25:25" x14ac:dyDescent="0.2">
      <c r="Y3321" s="18"/>
    </row>
    <row r="3322" spans="25:25" x14ac:dyDescent="0.2">
      <c r="Y3322" s="18"/>
    </row>
    <row r="3323" spans="25:25" x14ac:dyDescent="0.2">
      <c r="Y3323" s="18"/>
    </row>
    <row r="3324" spans="25:25" x14ac:dyDescent="0.2">
      <c r="Y3324" s="18"/>
    </row>
    <row r="3325" spans="25:25" x14ac:dyDescent="0.2">
      <c r="Y3325" s="18"/>
    </row>
    <row r="3326" spans="25:25" x14ac:dyDescent="0.2">
      <c r="Y3326" s="18"/>
    </row>
    <row r="3327" spans="25:25" x14ac:dyDescent="0.2">
      <c r="Y3327" s="18"/>
    </row>
    <row r="3328" spans="25:25" x14ac:dyDescent="0.2">
      <c r="Y3328" s="18"/>
    </row>
    <row r="3329" spans="25:25" x14ac:dyDescent="0.2">
      <c r="Y3329" s="18"/>
    </row>
    <row r="3330" spans="25:25" x14ac:dyDescent="0.2">
      <c r="Y3330" s="18"/>
    </row>
    <row r="3331" spans="25:25" x14ac:dyDescent="0.2">
      <c r="Y3331" s="18"/>
    </row>
    <row r="3332" spans="25:25" x14ac:dyDescent="0.2">
      <c r="Y3332" s="18"/>
    </row>
    <row r="3333" spans="25:25" x14ac:dyDescent="0.2">
      <c r="Y3333" s="18"/>
    </row>
    <row r="3334" spans="25:25" x14ac:dyDescent="0.2">
      <c r="Y3334" s="18"/>
    </row>
    <row r="3335" spans="25:25" x14ac:dyDescent="0.2">
      <c r="Y3335" s="18"/>
    </row>
    <row r="3336" spans="25:25" x14ac:dyDescent="0.2">
      <c r="Y3336" s="18"/>
    </row>
    <row r="3337" spans="25:25" x14ac:dyDescent="0.2">
      <c r="Y3337" s="18"/>
    </row>
    <row r="3338" spans="25:25" x14ac:dyDescent="0.2">
      <c r="Y3338" s="18"/>
    </row>
    <row r="3339" spans="25:25" x14ac:dyDescent="0.2">
      <c r="Y3339" s="18"/>
    </row>
    <row r="3340" spans="25:25" x14ac:dyDescent="0.2">
      <c r="Y3340" s="18"/>
    </row>
    <row r="3341" spans="25:25" x14ac:dyDescent="0.2">
      <c r="Y3341" s="18"/>
    </row>
    <row r="3342" spans="25:25" x14ac:dyDescent="0.2">
      <c r="Y3342" s="18"/>
    </row>
    <row r="3343" spans="25:25" x14ac:dyDescent="0.2">
      <c r="Y3343" s="18"/>
    </row>
    <row r="3344" spans="25:25" x14ac:dyDescent="0.2">
      <c r="Y3344" s="18"/>
    </row>
    <row r="3345" spans="25:25" x14ac:dyDescent="0.2">
      <c r="Y3345" s="18"/>
    </row>
    <row r="3346" spans="25:25" x14ac:dyDescent="0.2">
      <c r="Y3346" s="18"/>
    </row>
    <row r="3347" spans="25:25" x14ac:dyDescent="0.2">
      <c r="Y3347" s="18"/>
    </row>
    <row r="3348" spans="25:25" x14ac:dyDescent="0.2">
      <c r="Y3348" s="18"/>
    </row>
    <row r="3349" spans="25:25" x14ac:dyDescent="0.2">
      <c r="Y3349" s="18"/>
    </row>
    <row r="3350" spans="25:25" x14ac:dyDescent="0.2">
      <c r="Y3350" s="18"/>
    </row>
    <row r="3351" spans="25:25" x14ac:dyDescent="0.2">
      <c r="Y3351" s="18"/>
    </row>
    <row r="3352" spans="25:25" x14ac:dyDescent="0.2">
      <c r="Y3352" s="18"/>
    </row>
    <row r="3353" spans="25:25" x14ac:dyDescent="0.2">
      <c r="Y3353" s="18"/>
    </row>
    <row r="3354" spans="25:25" x14ac:dyDescent="0.2">
      <c r="Y3354" s="18"/>
    </row>
    <row r="3355" spans="25:25" x14ac:dyDescent="0.2">
      <c r="Y3355" s="18"/>
    </row>
    <row r="3356" spans="25:25" x14ac:dyDescent="0.2">
      <c r="Y3356" s="18"/>
    </row>
    <row r="3357" spans="25:25" x14ac:dyDescent="0.2">
      <c r="Y3357" s="18"/>
    </row>
    <row r="3358" spans="25:25" x14ac:dyDescent="0.2">
      <c r="Y3358" s="18"/>
    </row>
    <row r="3359" spans="25:25" x14ac:dyDescent="0.2">
      <c r="Y3359" s="18"/>
    </row>
    <row r="3360" spans="25:25" x14ac:dyDescent="0.2">
      <c r="Y3360" s="18"/>
    </row>
    <row r="3361" spans="25:25" x14ac:dyDescent="0.2">
      <c r="Y3361" s="18"/>
    </row>
    <row r="3362" spans="25:25" x14ac:dyDescent="0.2">
      <c r="Y3362" s="18"/>
    </row>
    <row r="3363" spans="25:25" x14ac:dyDescent="0.2">
      <c r="Y3363" s="18"/>
    </row>
    <row r="3364" spans="25:25" x14ac:dyDescent="0.2">
      <c r="Y3364" s="18"/>
    </row>
    <row r="3365" spans="25:25" x14ac:dyDescent="0.2">
      <c r="Y3365" s="18"/>
    </row>
    <row r="3366" spans="25:25" x14ac:dyDescent="0.2">
      <c r="Y3366" s="18"/>
    </row>
    <row r="3367" spans="25:25" x14ac:dyDescent="0.2">
      <c r="Y3367" s="18"/>
    </row>
    <row r="3368" spans="25:25" x14ac:dyDescent="0.2">
      <c r="Y3368" s="18"/>
    </row>
    <row r="3369" spans="25:25" x14ac:dyDescent="0.2">
      <c r="Y3369" s="18"/>
    </row>
    <row r="3370" spans="25:25" x14ac:dyDescent="0.2">
      <c r="Y3370" s="18"/>
    </row>
    <row r="3371" spans="25:25" x14ac:dyDescent="0.2">
      <c r="Y3371" s="18"/>
    </row>
    <row r="3372" spans="25:25" x14ac:dyDescent="0.2">
      <c r="Y3372" s="18"/>
    </row>
    <row r="3373" spans="25:25" x14ac:dyDescent="0.2">
      <c r="Y3373" s="18"/>
    </row>
    <row r="3374" spans="25:25" x14ac:dyDescent="0.2">
      <c r="Y3374" s="18"/>
    </row>
    <row r="3375" spans="25:25" x14ac:dyDescent="0.2">
      <c r="Y3375" s="18"/>
    </row>
    <row r="3376" spans="25:25" x14ac:dyDescent="0.2">
      <c r="Y3376" s="18"/>
    </row>
    <row r="3377" spans="25:25" x14ac:dyDescent="0.2">
      <c r="Y3377" s="18"/>
    </row>
    <row r="3378" spans="25:25" x14ac:dyDescent="0.2">
      <c r="Y3378" s="18"/>
    </row>
    <row r="3379" spans="25:25" x14ac:dyDescent="0.2">
      <c r="Y3379" s="18"/>
    </row>
    <row r="3380" spans="25:25" x14ac:dyDescent="0.2">
      <c r="Y3380" s="18"/>
    </row>
    <row r="3381" spans="25:25" x14ac:dyDescent="0.2">
      <c r="Y3381" s="18"/>
    </row>
    <row r="3382" spans="25:25" x14ac:dyDescent="0.2">
      <c r="Y3382" s="18"/>
    </row>
    <row r="3383" spans="25:25" x14ac:dyDescent="0.2">
      <c r="Y3383" s="18"/>
    </row>
    <row r="3384" spans="25:25" x14ac:dyDescent="0.2">
      <c r="Y3384" s="18"/>
    </row>
    <row r="3385" spans="25:25" x14ac:dyDescent="0.2">
      <c r="Y3385" s="18"/>
    </row>
    <row r="3386" spans="25:25" x14ac:dyDescent="0.2">
      <c r="Y3386" s="18"/>
    </row>
    <row r="3387" spans="25:25" x14ac:dyDescent="0.2">
      <c r="Y3387" s="18"/>
    </row>
    <row r="3388" spans="25:25" x14ac:dyDescent="0.2">
      <c r="Y3388" s="18"/>
    </row>
    <row r="3389" spans="25:25" x14ac:dyDescent="0.2">
      <c r="Y3389" s="18"/>
    </row>
    <row r="3390" spans="25:25" x14ac:dyDescent="0.2">
      <c r="Y3390" s="18"/>
    </row>
    <row r="3391" spans="25:25" x14ac:dyDescent="0.2">
      <c r="Y3391" s="18"/>
    </row>
    <row r="3392" spans="25:25" x14ac:dyDescent="0.2">
      <c r="Y3392" s="18"/>
    </row>
    <row r="3393" spans="25:25" x14ac:dyDescent="0.2">
      <c r="Y3393" s="18"/>
    </row>
    <row r="3394" spans="25:25" x14ac:dyDescent="0.2">
      <c r="Y3394" s="18"/>
    </row>
    <row r="3395" spans="25:25" x14ac:dyDescent="0.2">
      <c r="Y3395" s="18"/>
    </row>
    <row r="3396" spans="25:25" x14ac:dyDescent="0.2">
      <c r="Y3396" s="18"/>
    </row>
    <row r="3397" spans="25:25" x14ac:dyDescent="0.2">
      <c r="Y3397" s="18"/>
    </row>
    <row r="3398" spans="25:25" x14ac:dyDescent="0.2">
      <c r="Y3398" s="18"/>
    </row>
    <row r="3399" spans="25:25" x14ac:dyDescent="0.2">
      <c r="Y3399" s="18"/>
    </row>
    <row r="3400" spans="25:25" x14ac:dyDescent="0.2">
      <c r="Y3400" s="18"/>
    </row>
    <row r="3401" spans="25:25" x14ac:dyDescent="0.2">
      <c r="Y3401" s="18"/>
    </row>
    <row r="3402" spans="25:25" x14ac:dyDescent="0.2">
      <c r="Y3402" s="18"/>
    </row>
    <row r="3403" spans="25:25" x14ac:dyDescent="0.2">
      <c r="Y3403" s="18"/>
    </row>
    <row r="3404" spans="25:25" x14ac:dyDescent="0.2">
      <c r="Y3404" s="18"/>
    </row>
    <row r="3405" spans="25:25" x14ac:dyDescent="0.2">
      <c r="Y3405" s="18"/>
    </row>
    <row r="3406" spans="25:25" x14ac:dyDescent="0.2">
      <c r="Y3406" s="18"/>
    </row>
    <row r="3407" spans="25:25" x14ac:dyDescent="0.2">
      <c r="Y3407" s="18"/>
    </row>
    <row r="3408" spans="25:25" x14ac:dyDescent="0.2">
      <c r="Y3408" s="18"/>
    </row>
    <row r="3409" spans="25:25" x14ac:dyDescent="0.2">
      <c r="Y3409" s="18"/>
    </row>
    <row r="3410" spans="25:25" x14ac:dyDescent="0.2">
      <c r="Y3410" s="18"/>
    </row>
    <row r="3411" spans="25:25" x14ac:dyDescent="0.2">
      <c r="Y3411" s="18"/>
    </row>
    <row r="3412" spans="25:25" x14ac:dyDescent="0.2">
      <c r="Y3412" s="18"/>
    </row>
    <row r="3413" spans="25:25" x14ac:dyDescent="0.2">
      <c r="Y3413" s="18"/>
    </row>
    <row r="3414" spans="25:25" x14ac:dyDescent="0.2">
      <c r="Y3414" s="18"/>
    </row>
    <row r="3415" spans="25:25" x14ac:dyDescent="0.2">
      <c r="Y3415" s="18"/>
    </row>
    <row r="3416" spans="25:25" x14ac:dyDescent="0.2">
      <c r="Y3416" s="18"/>
    </row>
    <row r="3417" spans="25:25" x14ac:dyDescent="0.2">
      <c r="Y3417" s="18"/>
    </row>
    <row r="3418" spans="25:25" x14ac:dyDescent="0.2">
      <c r="Y3418" s="18"/>
    </row>
    <row r="3419" spans="25:25" x14ac:dyDescent="0.2">
      <c r="Y3419" s="18"/>
    </row>
    <row r="3420" spans="25:25" x14ac:dyDescent="0.2">
      <c r="Y3420" s="18"/>
    </row>
    <row r="3421" spans="25:25" x14ac:dyDescent="0.2">
      <c r="Y3421" s="18"/>
    </row>
    <row r="3422" spans="25:25" x14ac:dyDescent="0.2">
      <c r="Y3422" s="18"/>
    </row>
    <row r="3423" spans="25:25" x14ac:dyDescent="0.2">
      <c r="Y3423" s="18"/>
    </row>
    <row r="3424" spans="25:25" x14ac:dyDescent="0.2">
      <c r="Y3424" s="18"/>
    </row>
    <row r="3425" spans="25:25" x14ac:dyDescent="0.2">
      <c r="Y3425" s="18"/>
    </row>
    <row r="3426" spans="25:25" x14ac:dyDescent="0.2">
      <c r="Y3426" s="18"/>
    </row>
    <row r="3427" spans="25:25" x14ac:dyDescent="0.2">
      <c r="Y3427" s="18"/>
    </row>
    <row r="3428" spans="25:25" x14ac:dyDescent="0.2">
      <c r="Y3428" s="18"/>
    </row>
    <row r="3429" spans="25:25" x14ac:dyDescent="0.2">
      <c r="Y3429" s="18"/>
    </row>
    <row r="3430" spans="25:25" x14ac:dyDescent="0.2">
      <c r="Y3430" s="18"/>
    </row>
    <row r="3431" spans="25:25" x14ac:dyDescent="0.2">
      <c r="Y3431" s="18"/>
    </row>
    <row r="3432" spans="25:25" x14ac:dyDescent="0.2">
      <c r="Y3432" s="18"/>
    </row>
    <row r="3433" spans="25:25" x14ac:dyDescent="0.2">
      <c r="Y3433" s="18"/>
    </row>
    <row r="3434" spans="25:25" x14ac:dyDescent="0.2">
      <c r="Y3434" s="18"/>
    </row>
    <row r="3435" spans="25:25" x14ac:dyDescent="0.2">
      <c r="Y3435" s="18"/>
    </row>
    <row r="3436" spans="25:25" x14ac:dyDescent="0.2">
      <c r="Y3436" s="18"/>
    </row>
    <row r="3437" spans="25:25" x14ac:dyDescent="0.2">
      <c r="Y3437" s="18"/>
    </row>
    <row r="3438" spans="25:25" x14ac:dyDescent="0.2">
      <c r="Y3438" s="18"/>
    </row>
    <row r="3439" spans="25:25" x14ac:dyDescent="0.2">
      <c r="Y3439" s="18"/>
    </row>
    <row r="3440" spans="25:25" x14ac:dyDescent="0.2">
      <c r="Y3440" s="18"/>
    </row>
    <row r="3441" spans="25:25" x14ac:dyDescent="0.2">
      <c r="Y3441" s="18"/>
    </row>
    <row r="3442" spans="25:25" x14ac:dyDescent="0.2">
      <c r="Y3442" s="18"/>
    </row>
    <row r="3443" spans="25:25" x14ac:dyDescent="0.2">
      <c r="Y3443" s="18"/>
    </row>
    <row r="3444" spans="25:25" x14ac:dyDescent="0.2">
      <c r="Y3444" s="18"/>
    </row>
    <row r="3445" spans="25:25" x14ac:dyDescent="0.2">
      <c r="Y3445" s="18"/>
    </row>
    <row r="3446" spans="25:25" x14ac:dyDescent="0.2">
      <c r="Y3446" s="18"/>
    </row>
    <row r="3447" spans="25:25" x14ac:dyDescent="0.2">
      <c r="Y3447" s="18"/>
    </row>
    <row r="3448" spans="25:25" x14ac:dyDescent="0.2">
      <c r="Y3448" s="18"/>
    </row>
    <row r="3449" spans="25:25" x14ac:dyDescent="0.2">
      <c r="Y3449" s="18"/>
    </row>
    <row r="3450" spans="25:25" x14ac:dyDescent="0.2">
      <c r="Y3450" s="18"/>
    </row>
    <row r="3451" spans="25:25" x14ac:dyDescent="0.2">
      <c r="Y3451" s="18"/>
    </row>
    <row r="3452" spans="25:25" x14ac:dyDescent="0.2">
      <c r="Y3452" s="18"/>
    </row>
    <row r="3453" spans="25:25" x14ac:dyDescent="0.2">
      <c r="Y3453" s="18"/>
    </row>
    <row r="3454" spans="25:25" x14ac:dyDescent="0.2">
      <c r="Y3454" s="18"/>
    </row>
    <row r="3455" spans="25:25" x14ac:dyDescent="0.2">
      <c r="Y3455" s="18"/>
    </row>
    <row r="3456" spans="25:25" x14ac:dyDescent="0.2">
      <c r="Y3456" s="18"/>
    </row>
    <row r="3457" spans="25:25" x14ac:dyDescent="0.2">
      <c r="Y3457" s="18"/>
    </row>
    <row r="3458" spans="25:25" x14ac:dyDescent="0.2">
      <c r="Y3458" s="18"/>
    </row>
    <row r="3459" spans="25:25" x14ac:dyDescent="0.2">
      <c r="Y3459" s="18"/>
    </row>
    <row r="3460" spans="25:25" x14ac:dyDescent="0.2">
      <c r="Y3460" s="18"/>
    </row>
    <row r="3461" spans="25:25" x14ac:dyDescent="0.2">
      <c r="Y3461" s="18"/>
    </row>
    <row r="3462" spans="25:25" x14ac:dyDescent="0.2">
      <c r="Y3462" s="18"/>
    </row>
    <row r="3463" spans="25:25" x14ac:dyDescent="0.2">
      <c r="Y3463" s="18"/>
    </row>
    <row r="3464" spans="25:25" x14ac:dyDescent="0.2">
      <c r="Y3464" s="18"/>
    </row>
    <row r="3465" spans="25:25" x14ac:dyDescent="0.2">
      <c r="Y3465" s="18"/>
    </row>
    <row r="3466" spans="25:25" x14ac:dyDescent="0.2">
      <c r="Y3466" s="18"/>
    </row>
    <row r="3467" spans="25:25" x14ac:dyDescent="0.2">
      <c r="Y3467" s="18"/>
    </row>
    <row r="3468" spans="25:25" x14ac:dyDescent="0.2">
      <c r="Y3468" s="18"/>
    </row>
    <row r="3469" spans="25:25" x14ac:dyDescent="0.2">
      <c r="Y3469" s="18"/>
    </row>
    <row r="3470" spans="25:25" x14ac:dyDescent="0.2">
      <c r="Y3470" s="18"/>
    </row>
    <row r="3471" spans="25:25" x14ac:dyDescent="0.2">
      <c r="Y3471" s="18"/>
    </row>
    <row r="3472" spans="25:25" x14ac:dyDescent="0.2">
      <c r="Y3472" s="18"/>
    </row>
    <row r="3473" spans="25:25" x14ac:dyDescent="0.2">
      <c r="Y3473" s="18"/>
    </row>
    <row r="3474" spans="25:25" x14ac:dyDescent="0.2">
      <c r="Y3474" s="18"/>
    </row>
    <row r="3475" spans="25:25" x14ac:dyDescent="0.2">
      <c r="Y3475" s="18"/>
    </row>
    <row r="3476" spans="25:25" x14ac:dyDescent="0.2">
      <c r="Y3476" s="18"/>
    </row>
    <row r="3477" spans="25:25" x14ac:dyDescent="0.2">
      <c r="Y3477" s="18"/>
    </row>
    <row r="3478" spans="25:25" x14ac:dyDescent="0.2">
      <c r="Y3478" s="18"/>
    </row>
    <row r="3479" spans="25:25" x14ac:dyDescent="0.2">
      <c r="Y3479" s="18"/>
    </row>
    <row r="3480" spans="25:25" x14ac:dyDescent="0.2">
      <c r="Y3480" s="18"/>
    </row>
    <row r="3481" spans="25:25" x14ac:dyDescent="0.2">
      <c r="Y3481" s="18"/>
    </row>
    <row r="3482" spans="25:25" x14ac:dyDescent="0.2">
      <c r="Y3482" s="18"/>
    </row>
    <row r="3483" spans="25:25" x14ac:dyDescent="0.2">
      <c r="Y3483" s="18"/>
    </row>
    <row r="3484" spans="25:25" x14ac:dyDescent="0.2">
      <c r="Y3484" s="18"/>
    </row>
    <row r="3485" spans="25:25" x14ac:dyDescent="0.2">
      <c r="Y3485" s="18"/>
    </row>
    <row r="3486" spans="25:25" x14ac:dyDescent="0.2">
      <c r="Y3486" s="18"/>
    </row>
    <row r="3487" spans="25:25" x14ac:dyDescent="0.2">
      <c r="Y3487" s="18"/>
    </row>
    <row r="3488" spans="25:25" x14ac:dyDescent="0.2">
      <c r="Y3488" s="18"/>
    </row>
    <row r="3489" spans="25:25" x14ac:dyDescent="0.2">
      <c r="Y3489" s="18"/>
    </row>
    <row r="3490" spans="25:25" x14ac:dyDescent="0.2">
      <c r="Y3490" s="18"/>
    </row>
    <row r="3491" spans="25:25" x14ac:dyDescent="0.2">
      <c r="Y3491" s="18"/>
    </row>
    <row r="3492" spans="25:25" x14ac:dyDescent="0.2">
      <c r="Y3492" s="18"/>
    </row>
    <row r="3493" spans="25:25" x14ac:dyDescent="0.2">
      <c r="Y3493" s="18"/>
    </row>
    <row r="3494" spans="25:25" x14ac:dyDescent="0.2">
      <c r="Y3494" s="18"/>
    </row>
    <row r="3495" spans="25:25" x14ac:dyDescent="0.2">
      <c r="Y3495" s="18"/>
    </row>
    <row r="3496" spans="25:25" x14ac:dyDescent="0.2">
      <c r="Y3496" s="18"/>
    </row>
    <row r="3497" spans="25:25" x14ac:dyDescent="0.2">
      <c r="Y3497" s="18"/>
    </row>
    <row r="3498" spans="25:25" x14ac:dyDescent="0.2">
      <c r="Y3498" s="18"/>
    </row>
    <row r="3499" spans="25:25" x14ac:dyDescent="0.2">
      <c r="Y3499" s="18"/>
    </row>
    <row r="3500" spans="25:25" x14ac:dyDescent="0.2">
      <c r="Y3500" s="18"/>
    </row>
    <row r="3501" spans="25:25" x14ac:dyDescent="0.2">
      <c r="Y3501" s="18"/>
    </row>
    <row r="3502" spans="25:25" x14ac:dyDescent="0.2">
      <c r="Y3502" s="18"/>
    </row>
    <row r="3503" spans="25:25" x14ac:dyDescent="0.2">
      <c r="Y3503" s="18"/>
    </row>
    <row r="3504" spans="25:25" x14ac:dyDescent="0.2">
      <c r="Y3504" s="18"/>
    </row>
    <row r="3505" spans="25:25" x14ac:dyDescent="0.2">
      <c r="Y3505" s="18"/>
    </row>
    <row r="3506" spans="25:25" x14ac:dyDescent="0.2">
      <c r="Y3506" s="18"/>
    </row>
    <row r="3507" spans="25:25" x14ac:dyDescent="0.2">
      <c r="Y3507" s="18"/>
    </row>
    <row r="3508" spans="25:25" x14ac:dyDescent="0.2">
      <c r="Y3508" s="18"/>
    </row>
    <row r="3509" spans="25:25" x14ac:dyDescent="0.2">
      <c r="Y3509" s="18"/>
    </row>
    <row r="3510" spans="25:25" x14ac:dyDescent="0.2">
      <c r="Y3510" s="18"/>
    </row>
    <row r="3511" spans="25:25" x14ac:dyDescent="0.2">
      <c r="Y3511" s="18"/>
    </row>
    <row r="3512" spans="25:25" x14ac:dyDescent="0.2">
      <c r="Y3512" s="18"/>
    </row>
    <row r="3513" spans="25:25" x14ac:dyDescent="0.2">
      <c r="Y3513" s="18"/>
    </row>
    <row r="3514" spans="25:25" x14ac:dyDescent="0.2">
      <c r="Y3514" s="18"/>
    </row>
    <row r="3515" spans="25:25" x14ac:dyDescent="0.2">
      <c r="Y3515" s="18"/>
    </row>
    <row r="3516" spans="25:25" x14ac:dyDescent="0.2">
      <c r="Y3516" s="18"/>
    </row>
    <row r="3517" spans="25:25" x14ac:dyDescent="0.2">
      <c r="Y3517" s="18"/>
    </row>
    <row r="3518" spans="25:25" x14ac:dyDescent="0.2">
      <c r="Y3518" s="18"/>
    </row>
    <row r="3519" spans="25:25" x14ac:dyDescent="0.2">
      <c r="Y3519" s="18"/>
    </row>
    <row r="3520" spans="25:25" x14ac:dyDescent="0.2">
      <c r="Y3520" s="18"/>
    </row>
    <row r="3521" spans="25:25" x14ac:dyDescent="0.2">
      <c r="Y3521" s="18"/>
    </row>
    <row r="3522" spans="25:25" x14ac:dyDescent="0.2">
      <c r="Y3522" s="18"/>
    </row>
    <row r="3523" spans="25:25" x14ac:dyDescent="0.2">
      <c r="Y3523" s="18"/>
    </row>
    <row r="3524" spans="25:25" x14ac:dyDescent="0.2">
      <c r="Y3524" s="18"/>
    </row>
    <row r="3525" spans="25:25" x14ac:dyDescent="0.2">
      <c r="Y3525" s="18"/>
    </row>
    <row r="3526" spans="25:25" x14ac:dyDescent="0.2">
      <c r="Y3526" s="18"/>
    </row>
    <row r="3527" spans="25:25" x14ac:dyDescent="0.2">
      <c r="Y3527" s="18"/>
    </row>
    <row r="3528" spans="25:25" x14ac:dyDescent="0.2">
      <c r="Y3528" s="18"/>
    </row>
    <row r="3529" spans="25:25" x14ac:dyDescent="0.2">
      <c r="Y3529" s="18"/>
    </row>
    <row r="3530" spans="25:25" x14ac:dyDescent="0.2">
      <c r="Y3530" s="18"/>
    </row>
    <row r="3531" spans="25:25" x14ac:dyDescent="0.2">
      <c r="Y3531" s="18"/>
    </row>
    <row r="3532" spans="25:25" x14ac:dyDescent="0.2">
      <c r="Y3532" s="18"/>
    </row>
    <row r="3533" spans="25:25" x14ac:dyDescent="0.2">
      <c r="Y3533" s="18"/>
    </row>
    <row r="3534" spans="25:25" x14ac:dyDescent="0.2">
      <c r="Y3534" s="18"/>
    </row>
    <row r="3535" spans="25:25" x14ac:dyDescent="0.2">
      <c r="Y3535" s="18"/>
    </row>
    <row r="3536" spans="25:25" x14ac:dyDescent="0.2">
      <c r="Y3536" s="18"/>
    </row>
    <row r="3537" spans="25:25" x14ac:dyDescent="0.2">
      <c r="Y3537" s="18"/>
    </row>
    <row r="3538" spans="25:25" x14ac:dyDescent="0.2">
      <c r="Y3538" s="18"/>
    </row>
    <row r="3539" spans="25:25" x14ac:dyDescent="0.2">
      <c r="Y3539" s="18"/>
    </row>
    <row r="3540" spans="25:25" x14ac:dyDescent="0.2">
      <c r="Y3540" s="18"/>
    </row>
    <row r="3541" spans="25:25" x14ac:dyDescent="0.2">
      <c r="Y3541" s="18"/>
    </row>
    <row r="3542" spans="25:25" x14ac:dyDescent="0.2">
      <c r="Y3542" s="18"/>
    </row>
    <row r="3543" spans="25:25" x14ac:dyDescent="0.2">
      <c r="Y3543" s="18"/>
    </row>
    <row r="3544" spans="25:25" x14ac:dyDescent="0.2">
      <c r="Y3544" s="18"/>
    </row>
    <row r="3545" spans="25:25" x14ac:dyDescent="0.2">
      <c r="Y3545" s="18"/>
    </row>
    <row r="3546" spans="25:25" x14ac:dyDescent="0.2">
      <c r="Y3546" s="18"/>
    </row>
    <row r="3547" spans="25:25" x14ac:dyDescent="0.2">
      <c r="Y3547" s="18"/>
    </row>
    <row r="3548" spans="25:25" x14ac:dyDescent="0.2">
      <c r="Y3548" s="18"/>
    </row>
    <row r="3549" spans="25:25" x14ac:dyDescent="0.2">
      <c r="Y3549" s="18"/>
    </row>
    <row r="3550" spans="25:25" x14ac:dyDescent="0.2">
      <c r="Y3550" s="18"/>
    </row>
    <row r="3551" spans="25:25" x14ac:dyDescent="0.2">
      <c r="Y3551" s="18"/>
    </row>
    <row r="3552" spans="25:25" x14ac:dyDescent="0.2">
      <c r="Y3552" s="18"/>
    </row>
    <row r="3553" spans="25:25" x14ac:dyDescent="0.2">
      <c r="Y3553" s="18"/>
    </row>
    <row r="3554" spans="25:25" x14ac:dyDescent="0.2">
      <c r="Y3554" s="18"/>
    </row>
    <row r="3555" spans="25:25" x14ac:dyDescent="0.2">
      <c r="Y3555" s="18"/>
    </row>
    <row r="3556" spans="25:25" x14ac:dyDescent="0.2">
      <c r="Y3556" s="18"/>
    </row>
    <row r="3557" spans="25:25" x14ac:dyDescent="0.2">
      <c r="Y3557" s="18"/>
    </row>
    <row r="3558" spans="25:25" x14ac:dyDescent="0.2">
      <c r="Y3558" s="18"/>
    </row>
    <row r="3559" spans="25:25" x14ac:dyDescent="0.2">
      <c r="Y3559" s="18"/>
    </row>
    <row r="3560" spans="25:25" x14ac:dyDescent="0.2">
      <c r="Y3560" s="18"/>
    </row>
    <row r="3561" spans="25:25" x14ac:dyDescent="0.2">
      <c r="Y3561" s="18"/>
    </row>
    <row r="3562" spans="25:25" x14ac:dyDescent="0.2">
      <c r="Y3562" s="18"/>
    </row>
    <row r="3563" spans="25:25" x14ac:dyDescent="0.2">
      <c r="Y3563" s="18"/>
    </row>
    <row r="3564" spans="25:25" x14ac:dyDescent="0.2">
      <c r="Y3564" s="18"/>
    </row>
    <row r="3565" spans="25:25" x14ac:dyDescent="0.2">
      <c r="Y3565" s="18"/>
    </row>
    <row r="3566" spans="25:25" x14ac:dyDescent="0.2">
      <c r="Y3566" s="18"/>
    </row>
    <row r="3567" spans="25:25" x14ac:dyDescent="0.2">
      <c r="Y3567" s="18"/>
    </row>
    <row r="3568" spans="25:25" x14ac:dyDescent="0.2">
      <c r="Y3568" s="18"/>
    </row>
    <row r="3569" spans="25:25" x14ac:dyDescent="0.2">
      <c r="Y3569" s="18"/>
    </row>
    <row r="3570" spans="25:25" x14ac:dyDescent="0.2">
      <c r="Y3570" s="18"/>
    </row>
    <row r="3571" spans="25:25" x14ac:dyDescent="0.2">
      <c r="Y3571" s="18"/>
    </row>
    <row r="3572" spans="25:25" x14ac:dyDescent="0.2">
      <c r="Y3572" s="18"/>
    </row>
    <row r="3573" spans="25:25" x14ac:dyDescent="0.2">
      <c r="Y3573" s="18"/>
    </row>
    <row r="3574" spans="25:25" x14ac:dyDescent="0.2">
      <c r="Y3574" s="18"/>
    </row>
    <row r="3575" spans="25:25" x14ac:dyDescent="0.2">
      <c r="Y3575" s="18"/>
    </row>
    <row r="3576" spans="25:25" x14ac:dyDescent="0.2">
      <c r="Y3576" s="18"/>
    </row>
    <row r="3577" spans="25:25" x14ac:dyDescent="0.2">
      <c r="Y3577" s="18"/>
    </row>
    <row r="3578" spans="25:25" x14ac:dyDescent="0.2">
      <c r="Y3578" s="18"/>
    </row>
    <row r="3579" spans="25:25" x14ac:dyDescent="0.2">
      <c r="Y3579" s="18"/>
    </row>
    <row r="3580" spans="25:25" x14ac:dyDescent="0.2">
      <c r="Y3580" s="18"/>
    </row>
    <row r="3581" spans="25:25" x14ac:dyDescent="0.2">
      <c r="Y3581" s="18"/>
    </row>
    <row r="3582" spans="25:25" x14ac:dyDescent="0.2">
      <c r="Y3582" s="18"/>
    </row>
    <row r="3583" spans="25:25" x14ac:dyDescent="0.2">
      <c r="Y3583" s="18"/>
    </row>
    <row r="3584" spans="25:25" x14ac:dyDescent="0.2">
      <c r="Y3584" s="18"/>
    </row>
    <row r="3585" spans="25:25" x14ac:dyDescent="0.2">
      <c r="Y3585" s="18"/>
    </row>
    <row r="3586" spans="25:25" x14ac:dyDescent="0.2">
      <c r="Y3586" s="18"/>
    </row>
    <row r="3587" spans="25:25" x14ac:dyDescent="0.2">
      <c r="Y3587" s="18"/>
    </row>
    <row r="3588" spans="25:25" x14ac:dyDescent="0.2">
      <c r="Y3588" s="18"/>
    </row>
    <row r="3589" spans="25:25" x14ac:dyDescent="0.2">
      <c r="Y3589" s="18"/>
    </row>
    <row r="3590" spans="25:25" x14ac:dyDescent="0.2">
      <c r="Y3590" s="18"/>
    </row>
    <row r="3591" spans="25:25" x14ac:dyDescent="0.2">
      <c r="Y3591" s="18"/>
    </row>
    <row r="3592" spans="25:25" x14ac:dyDescent="0.2">
      <c r="Y3592" s="18"/>
    </row>
    <row r="3593" spans="25:25" x14ac:dyDescent="0.2">
      <c r="Y3593" s="18"/>
    </row>
    <row r="3594" spans="25:25" x14ac:dyDescent="0.2">
      <c r="Y3594" s="18"/>
    </row>
    <row r="3595" spans="25:25" x14ac:dyDescent="0.2">
      <c r="Y3595" s="18"/>
    </row>
    <row r="3596" spans="25:25" x14ac:dyDescent="0.2">
      <c r="Y3596" s="18"/>
    </row>
    <row r="3597" spans="25:25" x14ac:dyDescent="0.2">
      <c r="Y3597" s="18"/>
    </row>
    <row r="3598" spans="25:25" x14ac:dyDescent="0.2">
      <c r="Y3598" s="18"/>
    </row>
    <row r="3599" spans="25:25" x14ac:dyDescent="0.2">
      <c r="Y3599" s="18"/>
    </row>
    <row r="3600" spans="25:25" x14ac:dyDescent="0.2">
      <c r="Y3600" s="18"/>
    </row>
    <row r="3601" spans="25:25" x14ac:dyDescent="0.2">
      <c r="Y3601" s="18"/>
    </row>
    <row r="3602" spans="25:25" x14ac:dyDescent="0.2">
      <c r="Y3602" s="18"/>
    </row>
    <row r="3603" spans="25:25" x14ac:dyDescent="0.2">
      <c r="Y3603" s="18"/>
    </row>
    <row r="3604" spans="25:25" x14ac:dyDescent="0.2">
      <c r="Y3604" s="18"/>
    </row>
    <row r="3605" spans="25:25" x14ac:dyDescent="0.2">
      <c r="Y3605" s="18"/>
    </row>
    <row r="3606" spans="25:25" x14ac:dyDescent="0.2">
      <c r="Y3606" s="18"/>
    </row>
    <row r="3607" spans="25:25" x14ac:dyDescent="0.2">
      <c r="Y3607" s="18"/>
    </row>
    <row r="3608" spans="25:25" x14ac:dyDescent="0.2">
      <c r="Y3608" s="18"/>
    </row>
    <row r="3609" spans="25:25" x14ac:dyDescent="0.2">
      <c r="Y3609" s="18"/>
    </row>
    <row r="3610" spans="25:25" x14ac:dyDescent="0.2">
      <c r="Y3610" s="18"/>
    </row>
    <row r="3611" spans="25:25" x14ac:dyDescent="0.2">
      <c r="Y3611" s="18"/>
    </row>
    <row r="3612" spans="25:25" x14ac:dyDescent="0.2">
      <c r="Y3612" s="18"/>
    </row>
    <row r="3613" spans="25:25" x14ac:dyDescent="0.2">
      <c r="Y3613" s="18"/>
    </row>
    <row r="3614" spans="25:25" x14ac:dyDescent="0.2">
      <c r="Y3614" s="18"/>
    </row>
    <row r="3615" spans="25:25" x14ac:dyDescent="0.2">
      <c r="Y3615" s="18"/>
    </row>
    <row r="3616" spans="25:25" x14ac:dyDescent="0.2">
      <c r="Y3616" s="18"/>
    </row>
    <row r="3617" spans="25:25" x14ac:dyDescent="0.2">
      <c r="Y3617" s="18"/>
    </row>
    <row r="3618" spans="25:25" x14ac:dyDescent="0.2">
      <c r="Y3618" s="18"/>
    </row>
    <row r="3619" spans="25:25" x14ac:dyDescent="0.2">
      <c r="Y3619" s="18"/>
    </row>
    <row r="3620" spans="25:25" x14ac:dyDescent="0.2">
      <c r="Y3620" s="18"/>
    </row>
    <row r="3621" spans="25:25" x14ac:dyDescent="0.2">
      <c r="Y3621" s="18"/>
    </row>
    <row r="3622" spans="25:25" x14ac:dyDescent="0.2">
      <c r="Y3622" s="18"/>
    </row>
    <row r="3623" spans="25:25" x14ac:dyDescent="0.2">
      <c r="Y3623" s="18"/>
    </row>
    <row r="3624" spans="25:25" x14ac:dyDescent="0.2">
      <c r="Y3624" s="18"/>
    </row>
    <row r="3625" spans="25:25" x14ac:dyDescent="0.2">
      <c r="Y3625" s="18"/>
    </row>
    <row r="3626" spans="25:25" x14ac:dyDescent="0.2">
      <c r="Y3626" s="18"/>
    </row>
    <row r="3627" spans="25:25" x14ac:dyDescent="0.2">
      <c r="Y3627" s="18"/>
    </row>
    <row r="3628" spans="25:25" x14ac:dyDescent="0.2">
      <c r="Y3628" s="18"/>
    </row>
    <row r="3629" spans="25:25" x14ac:dyDescent="0.2">
      <c r="Y3629" s="18"/>
    </row>
    <row r="3630" spans="25:25" x14ac:dyDescent="0.2">
      <c r="Y3630" s="18"/>
    </row>
    <row r="3631" spans="25:25" x14ac:dyDescent="0.2">
      <c r="Y3631" s="18"/>
    </row>
    <row r="3632" spans="25:25" x14ac:dyDescent="0.2">
      <c r="Y3632" s="18"/>
    </row>
    <row r="3633" spans="25:25" x14ac:dyDescent="0.2">
      <c r="Y3633" s="18"/>
    </row>
    <row r="3634" spans="25:25" x14ac:dyDescent="0.2">
      <c r="Y3634" s="18"/>
    </row>
    <row r="3635" spans="25:25" x14ac:dyDescent="0.2">
      <c r="Y3635" s="18"/>
    </row>
    <row r="3636" spans="25:25" x14ac:dyDescent="0.2">
      <c r="Y3636" s="18"/>
    </row>
    <row r="3637" spans="25:25" x14ac:dyDescent="0.2">
      <c r="Y3637" s="18"/>
    </row>
    <row r="3638" spans="25:25" x14ac:dyDescent="0.2">
      <c r="Y3638" s="18"/>
    </row>
    <row r="3639" spans="25:25" x14ac:dyDescent="0.2">
      <c r="Y3639" s="18"/>
    </row>
    <row r="3640" spans="25:25" x14ac:dyDescent="0.2">
      <c r="Y3640" s="18"/>
    </row>
    <row r="3641" spans="25:25" x14ac:dyDescent="0.2">
      <c r="Y3641" s="18"/>
    </row>
    <row r="3642" spans="25:25" x14ac:dyDescent="0.2">
      <c r="Y3642" s="18"/>
    </row>
    <row r="3643" spans="25:25" x14ac:dyDescent="0.2">
      <c r="Y3643" s="18"/>
    </row>
    <row r="3644" spans="25:25" x14ac:dyDescent="0.2">
      <c r="Y3644" s="18"/>
    </row>
    <row r="3645" spans="25:25" x14ac:dyDescent="0.2">
      <c r="Y3645" s="18"/>
    </row>
    <row r="3646" spans="25:25" x14ac:dyDescent="0.2">
      <c r="Y3646" s="18"/>
    </row>
    <row r="3647" spans="25:25" x14ac:dyDescent="0.2">
      <c r="Y3647" s="18"/>
    </row>
    <row r="3648" spans="25:25" x14ac:dyDescent="0.2">
      <c r="Y3648" s="18"/>
    </row>
    <row r="3649" spans="25:25" x14ac:dyDescent="0.2">
      <c r="Y3649" s="18"/>
    </row>
    <row r="3650" spans="25:25" x14ac:dyDescent="0.2">
      <c r="Y3650" s="18"/>
    </row>
    <row r="3651" spans="25:25" x14ac:dyDescent="0.2">
      <c r="Y3651" s="18"/>
    </row>
    <row r="3652" spans="25:25" x14ac:dyDescent="0.2">
      <c r="Y3652" s="18"/>
    </row>
    <row r="3653" spans="25:25" x14ac:dyDescent="0.2">
      <c r="Y3653" s="18"/>
    </row>
    <row r="3654" spans="25:25" x14ac:dyDescent="0.2">
      <c r="Y3654" s="18"/>
    </row>
    <row r="3655" spans="25:25" x14ac:dyDescent="0.2">
      <c r="Y3655" s="18"/>
    </row>
    <row r="3656" spans="25:25" x14ac:dyDescent="0.2">
      <c r="Y3656" s="18"/>
    </row>
    <row r="3657" spans="25:25" x14ac:dyDescent="0.2">
      <c r="Y3657" s="18"/>
    </row>
    <row r="3658" spans="25:25" x14ac:dyDescent="0.2">
      <c r="Y3658" s="18"/>
    </row>
    <row r="3659" spans="25:25" x14ac:dyDescent="0.2">
      <c r="Y3659" s="18"/>
    </row>
    <row r="3660" spans="25:25" x14ac:dyDescent="0.2">
      <c r="Y3660" s="18"/>
    </row>
    <row r="3661" spans="25:25" x14ac:dyDescent="0.2">
      <c r="Y3661" s="18"/>
    </row>
    <row r="3662" spans="25:25" x14ac:dyDescent="0.2">
      <c r="Y3662" s="18"/>
    </row>
    <row r="3663" spans="25:25" x14ac:dyDescent="0.2">
      <c r="Y3663" s="18"/>
    </row>
    <row r="3664" spans="25:25" x14ac:dyDescent="0.2">
      <c r="Y3664" s="18"/>
    </row>
    <row r="3665" spans="25:25" x14ac:dyDescent="0.2">
      <c r="Y3665" s="18"/>
    </row>
    <row r="3666" spans="25:25" x14ac:dyDescent="0.2">
      <c r="Y3666" s="18"/>
    </row>
    <row r="3667" spans="25:25" x14ac:dyDescent="0.2">
      <c r="Y3667" s="18"/>
    </row>
    <row r="3668" spans="25:25" x14ac:dyDescent="0.2">
      <c r="Y3668" s="18"/>
    </row>
    <row r="3669" spans="25:25" x14ac:dyDescent="0.2">
      <c r="Y3669" s="18"/>
    </row>
    <row r="3670" spans="25:25" x14ac:dyDescent="0.2">
      <c r="Y3670" s="18"/>
    </row>
    <row r="3671" spans="25:25" x14ac:dyDescent="0.2">
      <c r="Y3671" s="18"/>
    </row>
    <row r="3672" spans="25:25" x14ac:dyDescent="0.2">
      <c r="Y3672" s="18"/>
    </row>
    <row r="3673" spans="25:25" x14ac:dyDescent="0.2">
      <c r="Y3673" s="18"/>
    </row>
    <row r="3674" spans="25:25" x14ac:dyDescent="0.2">
      <c r="Y3674" s="18"/>
    </row>
    <row r="3675" spans="25:25" x14ac:dyDescent="0.2">
      <c r="Y3675" s="18"/>
    </row>
    <row r="3676" spans="25:25" x14ac:dyDescent="0.2">
      <c r="Y3676" s="18"/>
    </row>
    <row r="3677" spans="25:25" x14ac:dyDescent="0.2">
      <c r="Y3677" s="18"/>
    </row>
    <row r="3678" spans="25:25" x14ac:dyDescent="0.2">
      <c r="Y3678" s="18"/>
    </row>
    <row r="3679" spans="25:25" x14ac:dyDescent="0.2">
      <c r="Y3679" s="18"/>
    </row>
    <row r="3680" spans="25:25" x14ac:dyDescent="0.2">
      <c r="Y3680" s="18"/>
    </row>
    <row r="3681" spans="25:25" x14ac:dyDescent="0.2">
      <c r="Y3681" s="18"/>
    </row>
    <row r="3682" spans="25:25" x14ac:dyDescent="0.2">
      <c r="Y3682" s="18"/>
    </row>
    <row r="3683" spans="25:25" x14ac:dyDescent="0.2">
      <c r="Y3683" s="18"/>
    </row>
    <row r="3684" spans="25:25" x14ac:dyDescent="0.2">
      <c r="Y3684" s="18"/>
    </row>
    <row r="3685" spans="25:25" x14ac:dyDescent="0.2">
      <c r="Y3685" s="18"/>
    </row>
    <row r="3686" spans="25:25" x14ac:dyDescent="0.2">
      <c r="Y3686" s="18"/>
    </row>
    <row r="3687" spans="25:25" x14ac:dyDescent="0.2">
      <c r="Y3687" s="18"/>
    </row>
    <row r="3688" spans="25:25" x14ac:dyDescent="0.2">
      <c r="Y3688" s="18"/>
    </row>
    <row r="3689" spans="25:25" x14ac:dyDescent="0.2">
      <c r="Y3689" s="18"/>
    </row>
    <row r="3690" spans="25:25" x14ac:dyDescent="0.2">
      <c r="Y3690" s="18"/>
    </row>
    <row r="3691" spans="25:25" x14ac:dyDescent="0.2">
      <c r="Y3691" s="18"/>
    </row>
    <row r="3692" spans="25:25" x14ac:dyDescent="0.2">
      <c r="Y3692" s="18"/>
    </row>
    <row r="3693" spans="25:25" x14ac:dyDescent="0.2">
      <c r="Y3693" s="18"/>
    </row>
    <row r="3694" spans="25:25" x14ac:dyDescent="0.2">
      <c r="Y3694" s="18"/>
    </row>
    <row r="3695" spans="25:25" x14ac:dyDescent="0.2">
      <c r="Y3695" s="18"/>
    </row>
    <row r="3696" spans="25:25" x14ac:dyDescent="0.2">
      <c r="Y3696" s="18"/>
    </row>
    <row r="3697" spans="25:25" x14ac:dyDescent="0.2">
      <c r="Y3697" s="18"/>
    </row>
    <row r="3698" spans="25:25" x14ac:dyDescent="0.2">
      <c r="Y3698" s="18"/>
    </row>
    <row r="3699" spans="25:25" x14ac:dyDescent="0.2">
      <c r="Y3699" s="18"/>
    </row>
    <row r="3700" spans="25:25" x14ac:dyDescent="0.2">
      <c r="Y3700" s="18"/>
    </row>
    <row r="3701" spans="25:25" x14ac:dyDescent="0.2">
      <c r="Y3701" s="18"/>
    </row>
    <row r="3702" spans="25:25" x14ac:dyDescent="0.2">
      <c r="Y3702" s="18"/>
    </row>
    <row r="3703" spans="25:25" x14ac:dyDescent="0.2">
      <c r="Y3703" s="18"/>
    </row>
    <row r="3704" spans="25:25" x14ac:dyDescent="0.2">
      <c r="Y3704" s="18"/>
    </row>
    <row r="3705" spans="25:25" x14ac:dyDescent="0.2">
      <c r="Y3705" s="18"/>
    </row>
    <row r="3706" spans="25:25" x14ac:dyDescent="0.2">
      <c r="Y3706" s="18"/>
    </row>
    <row r="3707" spans="25:25" x14ac:dyDescent="0.2">
      <c r="Y3707" s="18"/>
    </row>
    <row r="3708" spans="25:25" x14ac:dyDescent="0.2">
      <c r="Y3708" s="18"/>
    </row>
    <row r="3709" spans="25:25" x14ac:dyDescent="0.2">
      <c r="Y3709" s="18"/>
    </row>
    <row r="3710" spans="25:25" x14ac:dyDescent="0.2">
      <c r="Y3710" s="18"/>
    </row>
    <row r="3711" spans="25:25" x14ac:dyDescent="0.2">
      <c r="Y3711" s="18"/>
    </row>
    <row r="3712" spans="25:25" x14ac:dyDescent="0.2">
      <c r="Y3712" s="18"/>
    </row>
    <row r="3713" spans="25:25" x14ac:dyDescent="0.2">
      <c r="Y3713" s="18"/>
    </row>
    <row r="3714" spans="25:25" x14ac:dyDescent="0.2">
      <c r="Y3714" s="18"/>
    </row>
    <row r="3715" spans="25:25" x14ac:dyDescent="0.2">
      <c r="Y3715" s="18"/>
    </row>
    <row r="3716" spans="25:25" x14ac:dyDescent="0.2">
      <c r="Y3716" s="18"/>
    </row>
    <row r="3717" spans="25:25" x14ac:dyDescent="0.2">
      <c r="Y3717" s="18"/>
    </row>
    <row r="3718" spans="25:25" x14ac:dyDescent="0.2">
      <c r="Y3718" s="18"/>
    </row>
    <row r="3719" spans="25:25" x14ac:dyDescent="0.2">
      <c r="Y3719" s="18"/>
    </row>
    <row r="3720" spans="25:25" x14ac:dyDescent="0.2">
      <c r="Y3720" s="18"/>
    </row>
    <row r="3721" spans="25:25" x14ac:dyDescent="0.2">
      <c r="Y3721" s="18"/>
    </row>
    <row r="3722" spans="25:25" x14ac:dyDescent="0.2">
      <c r="Y3722" s="18"/>
    </row>
    <row r="3723" spans="25:25" x14ac:dyDescent="0.2">
      <c r="Y3723" s="18"/>
    </row>
    <row r="3724" spans="25:25" x14ac:dyDescent="0.2">
      <c r="Y3724" s="18"/>
    </row>
    <row r="3725" spans="25:25" x14ac:dyDescent="0.2">
      <c r="Y3725" s="18"/>
    </row>
    <row r="3726" spans="25:25" x14ac:dyDescent="0.2">
      <c r="Y3726" s="18"/>
    </row>
    <row r="3727" spans="25:25" x14ac:dyDescent="0.2">
      <c r="Y3727" s="18"/>
    </row>
    <row r="3728" spans="25:25" x14ac:dyDescent="0.2">
      <c r="Y3728" s="18"/>
    </row>
    <row r="3729" spans="25:25" x14ac:dyDescent="0.2">
      <c r="Y3729" s="18"/>
    </row>
    <row r="3730" spans="25:25" x14ac:dyDescent="0.2">
      <c r="Y3730" s="18"/>
    </row>
    <row r="3731" spans="25:25" x14ac:dyDescent="0.2">
      <c r="Y3731" s="18"/>
    </row>
    <row r="3732" spans="25:25" x14ac:dyDescent="0.2">
      <c r="Y3732" s="18"/>
    </row>
    <row r="3733" spans="25:25" x14ac:dyDescent="0.2">
      <c r="Y3733" s="18"/>
    </row>
    <row r="3734" spans="25:25" x14ac:dyDescent="0.2">
      <c r="Y3734" s="18"/>
    </row>
    <row r="3735" spans="25:25" x14ac:dyDescent="0.2">
      <c r="Y3735" s="18"/>
    </row>
    <row r="3736" spans="25:25" x14ac:dyDescent="0.2">
      <c r="Y3736" s="18"/>
    </row>
    <row r="3737" spans="25:25" x14ac:dyDescent="0.2">
      <c r="Y3737" s="18"/>
    </row>
    <row r="3738" spans="25:25" x14ac:dyDescent="0.2">
      <c r="Y3738" s="18"/>
    </row>
    <row r="3739" spans="25:25" x14ac:dyDescent="0.2">
      <c r="Y3739" s="18"/>
    </row>
    <row r="3740" spans="25:25" x14ac:dyDescent="0.2">
      <c r="Y3740" s="18"/>
    </row>
    <row r="3741" spans="25:25" x14ac:dyDescent="0.2">
      <c r="Y3741" s="18"/>
    </row>
    <row r="3742" spans="25:25" x14ac:dyDescent="0.2">
      <c r="Y3742" s="18"/>
    </row>
    <row r="3743" spans="25:25" x14ac:dyDescent="0.2">
      <c r="Y3743" s="18"/>
    </row>
    <row r="3744" spans="25:25" x14ac:dyDescent="0.2">
      <c r="Y3744" s="18"/>
    </row>
    <row r="3745" spans="25:25" x14ac:dyDescent="0.2">
      <c r="Y3745" s="18"/>
    </row>
    <row r="3746" spans="25:25" x14ac:dyDescent="0.2">
      <c r="Y3746" s="18"/>
    </row>
    <row r="3747" spans="25:25" x14ac:dyDescent="0.2">
      <c r="Y3747" s="18"/>
    </row>
    <row r="3748" spans="25:25" x14ac:dyDescent="0.2">
      <c r="Y3748" s="18"/>
    </row>
    <row r="3749" spans="25:25" x14ac:dyDescent="0.2">
      <c r="Y3749" s="18"/>
    </row>
    <row r="3750" spans="25:25" x14ac:dyDescent="0.2">
      <c r="Y3750" s="18"/>
    </row>
    <row r="3751" spans="25:25" x14ac:dyDescent="0.2">
      <c r="Y3751" s="18"/>
    </row>
    <row r="3752" spans="25:25" x14ac:dyDescent="0.2">
      <c r="Y3752" s="18"/>
    </row>
    <row r="3753" spans="25:25" x14ac:dyDescent="0.2">
      <c r="Y3753" s="18"/>
    </row>
    <row r="3754" spans="25:25" x14ac:dyDescent="0.2">
      <c r="Y3754" s="18"/>
    </row>
    <row r="3755" spans="25:25" x14ac:dyDescent="0.2">
      <c r="Y3755" s="18"/>
    </row>
    <row r="3756" spans="25:25" x14ac:dyDescent="0.2">
      <c r="Y3756" s="18"/>
    </row>
    <row r="3757" spans="25:25" x14ac:dyDescent="0.2">
      <c r="Y3757" s="18"/>
    </row>
    <row r="3758" spans="25:25" x14ac:dyDescent="0.2">
      <c r="Y3758" s="18"/>
    </row>
    <row r="3759" spans="25:25" x14ac:dyDescent="0.2">
      <c r="Y3759" s="18"/>
    </row>
    <row r="3760" spans="25:25" x14ac:dyDescent="0.2">
      <c r="Y3760" s="18"/>
    </row>
    <row r="3761" spans="25:25" x14ac:dyDescent="0.2">
      <c r="Y3761" s="18"/>
    </row>
    <row r="3762" spans="25:25" x14ac:dyDescent="0.2">
      <c r="Y3762" s="18"/>
    </row>
    <row r="3763" spans="25:25" x14ac:dyDescent="0.2">
      <c r="Y3763" s="18"/>
    </row>
    <row r="3764" spans="25:25" x14ac:dyDescent="0.2">
      <c r="Y3764" s="18"/>
    </row>
    <row r="3765" spans="25:25" x14ac:dyDescent="0.2">
      <c r="Y3765" s="18"/>
    </row>
    <row r="3766" spans="25:25" x14ac:dyDescent="0.2">
      <c r="Y3766" s="18"/>
    </row>
    <row r="3767" spans="25:25" x14ac:dyDescent="0.2">
      <c r="Y3767" s="18"/>
    </row>
    <row r="3768" spans="25:25" x14ac:dyDescent="0.2">
      <c r="Y3768" s="18"/>
    </row>
    <row r="3769" spans="25:25" x14ac:dyDescent="0.2">
      <c r="Y3769" s="18"/>
    </row>
    <row r="3770" spans="25:25" x14ac:dyDescent="0.2">
      <c r="Y3770" s="18"/>
    </row>
    <row r="3771" spans="25:25" x14ac:dyDescent="0.2">
      <c r="Y3771" s="18"/>
    </row>
    <row r="3772" spans="25:25" x14ac:dyDescent="0.2">
      <c r="Y3772" s="18"/>
    </row>
    <row r="3773" spans="25:25" x14ac:dyDescent="0.2">
      <c r="Y3773" s="18"/>
    </row>
    <row r="3774" spans="25:25" x14ac:dyDescent="0.2">
      <c r="Y3774" s="18"/>
    </row>
    <row r="3775" spans="25:25" x14ac:dyDescent="0.2">
      <c r="Y3775" s="18"/>
    </row>
    <row r="3776" spans="25:25" x14ac:dyDescent="0.2">
      <c r="Y3776" s="18"/>
    </row>
    <row r="3777" spans="25:25" x14ac:dyDescent="0.2">
      <c r="Y3777" s="18"/>
    </row>
    <row r="3778" spans="25:25" x14ac:dyDescent="0.2">
      <c r="Y3778" s="18"/>
    </row>
    <row r="3779" spans="25:25" x14ac:dyDescent="0.2">
      <c r="Y3779" s="18"/>
    </row>
    <row r="3780" spans="25:25" x14ac:dyDescent="0.2">
      <c r="Y3780" s="18"/>
    </row>
    <row r="3781" spans="25:25" x14ac:dyDescent="0.2">
      <c r="Y3781" s="18"/>
    </row>
    <row r="3782" spans="25:25" x14ac:dyDescent="0.2">
      <c r="Y3782" s="18"/>
    </row>
    <row r="3783" spans="25:25" x14ac:dyDescent="0.2">
      <c r="Y3783" s="18"/>
    </row>
    <row r="3784" spans="25:25" x14ac:dyDescent="0.2">
      <c r="Y3784" s="18"/>
    </row>
    <row r="3785" spans="25:25" x14ac:dyDescent="0.2">
      <c r="Y3785" s="18"/>
    </row>
    <row r="3786" spans="25:25" x14ac:dyDescent="0.2">
      <c r="Y3786" s="18"/>
    </row>
    <row r="3787" spans="25:25" x14ac:dyDescent="0.2">
      <c r="Y3787" s="18"/>
    </row>
    <row r="3788" spans="25:25" x14ac:dyDescent="0.2">
      <c r="Y3788" s="18"/>
    </row>
    <row r="3789" spans="25:25" x14ac:dyDescent="0.2">
      <c r="Y3789" s="18"/>
    </row>
    <row r="3790" spans="25:25" x14ac:dyDescent="0.2">
      <c r="Y3790" s="18"/>
    </row>
    <row r="3791" spans="25:25" x14ac:dyDescent="0.2">
      <c r="Y3791" s="18"/>
    </row>
    <row r="3792" spans="25:25" x14ac:dyDescent="0.2">
      <c r="Y3792" s="18"/>
    </row>
    <row r="3793" spans="25:25" x14ac:dyDescent="0.2">
      <c r="Y3793" s="18"/>
    </row>
    <row r="3794" spans="25:25" x14ac:dyDescent="0.2">
      <c r="Y3794" s="18"/>
    </row>
    <row r="3795" spans="25:25" x14ac:dyDescent="0.2">
      <c r="Y3795" s="18"/>
    </row>
    <row r="3796" spans="25:25" x14ac:dyDescent="0.2">
      <c r="Y3796" s="18"/>
    </row>
    <row r="3797" spans="25:25" x14ac:dyDescent="0.2">
      <c r="Y3797" s="18"/>
    </row>
    <row r="3798" spans="25:25" x14ac:dyDescent="0.2">
      <c r="Y3798" s="18"/>
    </row>
    <row r="3799" spans="25:25" x14ac:dyDescent="0.2">
      <c r="Y3799" s="18"/>
    </row>
    <row r="3800" spans="25:25" x14ac:dyDescent="0.2">
      <c r="Y3800" s="18"/>
    </row>
    <row r="3801" spans="25:25" x14ac:dyDescent="0.2">
      <c r="Y3801" s="18"/>
    </row>
    <row r="3802" spans="25:25" x14ac:dyDescent="0.2">
      <c r="Y3802" s="18"/>
    </row>
    <row r="3803" spans="25:25" x14ac:dyDescent="0.2">
      <c r="Y3803" s="18"/>
    </row>
    <row r="3804" spans="25:25" x14ac:dyDescent="0.2">
      <c r="Y3804" s="18"/>
    </row>
    <row r="3805" spans="25:25" x14ac:dyDescent="0.2">
      <c r="Y3805" s="18"/>
    </row>
    <row r="3806" spans="25:25" x14ac:dyDescent="0.2">
      <c r="Y3806" s="18"/>
    </row>
    <row r="3807" spans="25:25" x14ac:dyDescent="0.2">
      <c r="Y3807" s="18"/>
    </row>
    <row r="3808" spans="25:25" x14ac:dyDescent="0.2">
      <c r="Y3808" s="18"/>
    </row>
    <row r="3809" spans="25:25" x14ac:dyDescent="0.2">
      <c r="Y3809" s="18"/>
    </row>
    <row r="3810" spans="25:25" x14ac:dyDescent="0.2">
      <c r="Y3810" s="18"/>
    </row>
    <row r="3811" spans="25:25" x14ac:dyDescent="0.2">
      <c r="Y3811" s="18"/>
    </row>
    <row r="3812" spans="25:25" x14ac:dyDescent="0.2">
      <c r="Y3812" s="18"/>
    </row>
    <row r="3813" spans="25:25" x14ac:dyDescent="0.2">
      <c r="Y3813" s="18"/>
    </row>
    <row r="3814" spans="25:25" x14ac:dyDescent="0.2">
      <c r="Y3814" s="18"/>
    </row>
    <row r="3815" spans="25:25" x14ac:dyDescent="0.2">
      <c r="Y3815" s="18"/>
    </row>
    <row r="3816" spans="25:25" x14ac:dyDescent="0.2">
      <c r="Y3816" s="18"/>
    </row>
    <row r="3817" spans="25:25" x14ac:dyDescent="0.2">
      <c r="Y3817" s="18"/>
    </row>
    <row r="3818" spans="25:25" x14ac:dyDescent="0.2">
      <c r="Y3818" s="18"/>
    </row>
    <row r="3819" spans="25:25" x14ac:dyDescent="0.2">
      <c r="Y3819" s="18"/>
    </row>
    <row r="3820" spans="25:25" x14ac:dyDescent="0.2">
      <c r="Y3820" s="18"/>
    </row>
    <row r="3821" spans="25:25" x14ac:dyDescent="0.2">
      <c r="Y3821" s="18"/>
    </row>
    <row r="3822" spans="25:25" x14ac:dyDescent="0.2">
      <c r="Y3822" s="18"/>
    </row>
    <row r="3823" spans="25:25" x14ac:dyDescent="0.2">
      <c r="Y3823" s="18"/>
    </row>
    <row r="3824" spans="25:25" x14ac:dyDescent="0.2">
      <c r="Y3824" s="18"/>
    </row>
    <row r="3825" spans="25:25" x14ac:dyDescent="0.2">
      <c r="Y3825" s="18"/>
    </row>
    <row r="3826" spans="25:25" x14ac:dyDescent="0.2">
      <c r="Y3826" s="18"/>
    </row>
    <row r="3827" spans="25:25" x14ac:dyDescent="0.2">
      <c r="Y3827" s="18"/>
    </row>
    <row r="3828" spans="25:25" x14ac:dyDescent="0.2">
      <c r="Y3828" s="18"/>
    </row>
    <row r="3829" spans="25:25" x14ac:dyDescent="0.2">
      <c r="Y3829" s="18"/>
    </row>
    <row r="3830" spans="25:25" x14ac:dyDescent="0.2">
      <c r="Y3830" s="18"/>
    </row>
    <row r="3831" spans="25:25" x14ac:dyDescent="0.2">
      <c r="Y3831" s="18"/>
    </row>
    <row r="3832" spans="25:25" x14ac:dyDescent="0.2">
      <c r="Y3832" s="18"/>
    </row>
    <row r="3833" spans="25:25" x14ac:dyDescent="0.2">
      <c r="Y3833" s="18"/>
    </row>
    <row r="3834" spans="25:25" x14ac:dyDescent="0.2">
      <c r="Y3834" s="18"/>
    </row>
    <row r="3835" spans="25:25" x14ac:dyDescent="0.2">
      <c r="Y3835" s="18"/>
    </row>
    <row r="3836" spans="25:25" x14ac:dyDescent="0.2">
      <c r="Y3836" s="18"/>
    </row>
    <row r="3837" spans="25:25" x14ac:dyDescent="0.2">
      <c r="Y3837" s="18"/>
    </row>
    <row r="3838" spans="25:25" x14ac:dyDescent="0.2">
      <c r="Y3838" s="18"/>
    </row>
    <row r="3839" spans="25:25" x14ac:dyDescent="0.2">
      <c r="Y3839" s="18"/>
    </row>
    <row r="3840" spans="25:25" x14ac:dyDescent="0.2">
      <c r="Y3840" s="18"/>
    </row>
    <row r="3841" spans="25:25" x14ac:dyDescent="0.2">
      <c r="Y3841" s="18"/>
    </row>
    <row r="3842" spans="25:25" x14ac:dyDescent="0.2">
      <c r="Y3842" s="18"/>
    </row>
    <row r="3843" spans="25:25" x14ac:dyDescent="0.2">
      <c r="Y3843" s="18"/>
    </row>
    <row r="3844" spans="25:25" x14ac:dyDescent="0.2">
      <c r="Y3844" s="18"/>
    </row>
    <row r="3845" spans="25:25" x14ac:dyDescent="0.2">
      <c r="Y3845" s="18"/>
    </row>
    <row r="3846" spans="25:25" x14ac:dyDescent="0.2">
      <c r="Y3846" s="18"/>
    </row>
    <row r="3847" spans="25:25" x14ac:dyDescent="0.2">
      <c r="Y3847" s="18"/>
    </row>
    <row r="3848" spans="25:25" x14ac:dyDescent="0.2">
      <c r="Y3848" s="18"/>
    </row>
    <row r="3849" spans="25:25" x14ac:dyDescent="0.2">
      <c r="Y3849" s="18"/>
    </row>
    <row r="3850" spans="25:25" x14ac:dyDescent="0.2">
      <c r="Y3850" s="18"/>
    </row>
    <row r="3851" spans="25:25" x14ac:dyDescent="0.2">
      <c r="Y3851" s="18"/>
    </row>
    <row r="3852" spans="25:25" x14ac:dyDescent="0.2">
      <c r="Y3852" s="18"/>
    </row>
    <row r="3853" spans="25:25" x14ac:dyDescent="0.2">
      <c r="Y3853" s="18"/>
    </row>
    <row r="3854" spans="25:25" x14ac:dyDescent="0.2">
      <c r="Y3854" s="18"/>
    </row>
    <row r="3855" spans="25:25" x14ac:dyDescent="0.2">
      <c r="Y3855" s="18"/>
    </row>
    <row r="3856" spans="25:25" x14ac:dyDescent="0.2">
      <c r="Y3856" s="18"/>
    </row>
    <row r="3857" spans="25:25" x14ac:dyDescent="0.2">
      <c r="Y3857" s="18"/>
    </row>
    <row r="3858" spans="25:25" x14ac:dyDescent="0.2">
      <c r="Y3858" s="18"/>
    </row>
    <row r="3859" spans="25:25" x14ac:dyDescent="0.2">
      <c r="Y3859" s="18"/>
    </row>
    <row r="3860" spans="25:25" x14ac:dyDescent="0.2">
      <c r="Y3860" s="18"/>
    </row>
    <row r="3861" spans="25:25" x14ac:dyDescent="0.2">
      <c r="Y3861" s="18"/>
    </row>
    <row r="3862" spans="25:25" x14ac:dyDescent="0.2">
      <c r="Y3862" s="18"/>
    </row>
    <row r="3863" spans="25:25" x14ac:dyDescent="0.2">
      <c r="Y3863" s="18"/>
    </row>
    <row r="3864" spans="25:25" x14ac:dyDescent="0.2">
      <c r="Y3864" s="18"/>
    </row>
    <row r="3865" spans="25:25" x14ac:dyDescent="0.2">
      <c r="Y3865" s="18"/>
    </row>
    <row r="3866" spans="25:25" x14ac:dyDescent="0.2">
      <c r="Y3866" s="18"/>
    </row>
    <row r="3867" spans="25:25" x14ac:dyDescent="0.2">
      <c r="Y3867" s="18"/>
    </row>
    <row r="3868" spans="25:25" x14ac:dyDescent="0.2">
      <c r="Y3868" s="18"/>
    </row>
    <row r="3869" spans="25:25" x14ac:dyDescent="0.2">
      <c r="Y3869" s="18"/>
    </row>
    <row r="3870" spans="25:25" x14ac:dyDescent="0.2">
      <c r="Y3870" s="18"/>
    </row>
    <row r="3871" spans="25:25" x14ac:dyDescent="0.2">
      <c r="Y3871" s="18"/>
    </row>
    <row r="3872" spans="25:25" x14ac:dyDescent="0.2">
      <c r="Y3872" s="18"/>
    </row>
    <row r="3873" spans="25:25" x14ac:dyDescent="0.2">
      <c r="Y3873" s="18"/>
    </row>
    <row r="3874" spans="25:25" x14ac:dyDescent="0.2">
      <c r="Y3874" s="18"/>
    </row>
    <row r="3875" spans="25:25" x14ac:dyDescent="0.2">
      <c r="Y3875" s="18"/>
    </row>
    <row r="3876" spans="25:25" x14ac:dyDescent="0.2">
      <c r="Y3876" s="18"/>
    </row>
    <row r="3877" spans="25:25" x14ac:dyDescent="0.2">
      <c r="Y3877" s="18"/>
    </row>
    <row r="3878" spans="25:25" x14ac:dyDescent="0.2">
      <c r="Y3878" s="18"/>
    </row>
    <row r="3879" spans="25:25" x14ac:dyDescent="0.2">
      <c r="Y3879" s="18"/>
    </row>
    <row r="3880" spans="25:25" x14ac:dyDescent="0.2">
      <c r="Y3880" s="18"/>
    </row>
    <row r="3881" spans="25:25" x14ac:dyDescent="0.2">
      <c r="Y3881" s="18"/>
    </row>
    <row r="3882" spans="25:25" x14ac:dyDescent="0.2">
      <c r="Y3882" s="18"/>
    </row>
    <row r="3883" spans="25:25" x14ac:dyDescent="0.2">
      <c r="Y3883" s="18"/>
    </row>
    <row r="3884" spans="25:25" x14ac:dyDescent="0.2">
      <c r="Y3884" s="18"/>
    </row>
    <row r="3885" spans="25:25" x14ac:dyDescent="0.2">
      <c r="Y3885" s="18"/>
    </row>
    <row r="3886" spans="25:25" x14ac:dyDescent="0.2">
      <c r="Y3886" s="18"/>
    </row>
    <row r="3887" spans="25:25" x14ac:dyDescent="0.2">
      <c r="Y3887" s="18"/>
    </row>
    <row r="3888" spans="25:25" x14ac:dyDescent="0.2">
      <c r="Y3888" s="18"/>
    </row>
    <row r="3889" spans="25:25" x14ac:dyDescent="0.2">
      <c r="Y3889" s="18"/>
    </row>
    <row r="3890" spans="25:25" x14ac:dyDescent="0.2">
      <c r="Y3890" s="18"/>
    </row>
    <row r="3891" spans="25:25" x14ac:dyDescent="0.2">
      <c r="Y3891" s="18"/>
    </row>
    <row r="3892" spans="25:25" x14ac:dyDescent="0.2">
      <c r="Y3892" s="18"/>
    </row>
    <row r="3893" spans="25:25" x14ac:dyDescent="0.2">
      <c r="Y3893" s="18"/>
    </row>
    <row r="3894" spans="25:25" x14ac:dyDescent="0.2">
      <c r="Y3894" s="18"/>
    </row>
    <row r="3895" spans="25:25" x14ac:dyDescent="0.2">
      <c r="Y3895" s="18"/>
    </row>
    <row r="3896" spans="25:25" x14ac:dyDescent="0.2">
      <c r="Y3896" s="18"/>
    </row>
    <row r="3897" spans="25:25" x14ac:dyDescent="0.2">
      <c r="Y3897" s="18"/>
    </row>
    <row r="3898" spans="25:25" x14ac:dyDescent="0.2">
      <c r="Y3898" s="18"/>
    </row>
    <row r="3899" spans="25:25" x14ac:dyDescent="0.2">
      <c r="Y3899" s="18"/>
    </row>
    <row r="3900" spans="25:25" x14ac:dyDescent="0.2">
      <c r="Y3900" s="18"/>
    </row>
    <row r="3901" spans="25:25" x14ac:dyDescent="0.2">
      <c r="Y3901" s="18"/>
    </row>
    <row r="3902" spans="25:25" x14ac:dyDescent="0.2">
      <c r="Y3902" s="18"/>
    </row>
    <row r="3903" spans="25:25" x14ac:dyDescent="0.2">
      <c r="Y3903" s="18"/>
    </row>
    <row r="3904" spans="25:25" x14ac:dyDescent="0.2">
      <c r="Y3904" s="18"/>
    </row>
    <row r="3905" spans="25:25" x14ac:dyDescent="0.2">
      <c r="Y3905" s="18"/>
    </row>
    <row r="3906" spans="25:25" x14ac:dyDescent="0.2">
      <c r="Y3906" s="18"/>
    </row>
    <row r="3907" spans="25:25" x14ac:dyDescent="0.2">
      <c r="Y3907" s="18"/>
    </row>
    <row r="3908" spans="25:25" x14ac:dyDescent="0.2">
      <c r="Y3908" s="18"/>
    </row>
    <row r="3909" spans="25:25" x14ac:dyDescent="0.2">
      <c r="Y3909" s="18"/>
    </row>
    <row r="3910" spans="25:25" x14ac:dyDescent="0.2">
      <c r="Y3910" s="18"/>
    </row>
    <row r="3911" spans="25:25" x14ac:dyDescent="0.2">
      <c r="Y3911" s="18"/>
    </row>
    <row r="3912" spans="25:25" x14ac:dyDescent="0.2">
      <c r="Y3912" s="18"/>
    </row>
    <row r="3913" spans="25:25" x14ac:dyDescent="0.2">
      <c r="Y3913" s="18"/>
    </row>
    <row r="3914" spans="25:25" x14ac:dyDescent="0.2">
      <c r="Y3914" s="18"/>
    </row>
    <row r="3915" spans="25:25" x14ac:dyDescent="0.2">
      <c r="Y3915" s="18"/>
    </row>
    <row r="3916" spans="25:25" x14ac:dyDescent="0.2">
      <c r="Y3916" s="18"/>
    </row>
    <row r="3917" spans="25:25" x14ac:dyDescent="0.2">
      <c r="Y3917" s="18"/>
    </row>
    <row r="3918" spans="25:25" x14ac:dyDescent="0.2">
      <c r="Y3918" s="18"/>
    </row>
    <row r="3919" spans="25:25" x14ac:dyDescent="0.2">
      <c r="Y3919" s="18"/>
    </row>
    <row r="3920" spans="25:25" x14ac:dyDescent="0.2">
      <c r="Y3920" s="18"/>
    </row>
    <row r="3921" spans="25:25" x14ac:dyDescent="0.2">
      <c r="Y3921" s="18"/>
    </row>
    <row r="3922" spans="25:25" x14ac:dyDescent="0.2">
      <c r="Y3922" s="18"/>
    </row>
    <row r="3923" spans="25:25" x14ac:dyDescent="0.2">
      <c r="Y3923" s="18"/>
    </row>
    <row r="3924" spans="25:25" x14ac:dyDescent="0.2">
      <c r="Y3924" s="18"/>
    </row>
    <row r="3925" spans="25:25" x14ac:dyDescent="0.2">
      <c r="Y3925" s="18"/>
    </row>
    <row r="3926" spans="25:25" x14ac:dyDescent="0.2">
      <c r="Y3926" s="18"/>
    </row>
    <row r="3927" spans="25:25" x14ac:dyDescent="0.2">
      <c r="Y3927" s="18"/>
    </row>
    <row r="3928" spans="25:25" x14ac:dyDescent="0.2">
      <c r="Y3928" s="18"/>
    </row>
    <row r="3929" spans="25:25" x14ac:dyDescent="0.2">
      <c r="Y3929" s="18"/>
    </row>
    <row r="3930" spans="25:25" x14ac:dyDescent="0.2">
      <c r="Y3930" s="18"/>
    </row>
    <row r="3931" spans="25:25" x14ac:dyDescent="0.2">
      <c r="Y3931" s="18"/>
    </row>
    <row r="3932" spans="25:25" x14ac:dyDescent="0.2">
      <c r="Y3932" s="18"/>
    </row>
    <row r="3933" spans="25:25" x14ac:dyDescent="0.2">
      <c r="Y3933" s="18"/>
    </row>
    <row r="3934" spans="25:25" x14ac:dyDescent="0.2">
      <c r="Y3934" s="18"/>
    </row>
    <row r="3935" spans="25:25" x14ac:dyDescent="0.2">
      <c r="Y3935" s="18"/>
    </row>
    <row r="3936" spans="25:25" x14ac:dyDescent="0.2">
      <c r="Y3936" s="18"/>
    </row>
    <row r="3937" spans="25:25" x14ac:dyDescent="0.2">
      <c r="Y3937" s="18"/>
    </row>
    <row r="3938" spans="25:25" x14ac:dyDescent="0.2">
      <c r="Y3938" s="18"/>
    </row>
    <row r="3939" spans="25:25" x14ac:dyDescent="0.2">
      <c r="Y3939" s="18"/>
    </row>
    <row r="3940" spans="25:25" x14ac:dyDescent="0.2">
      <c r="Y3940" s="18"/>
    </row>
    <row r="3941" spans="25:25" x14ac:dyDescent="0.2">
      <c r="Y3941" s="18"/>
    </row>
    <row r="3942" spans="25:25" x14ac:dyDescent="0.2">
      <c r="Y3942" s="18"/>
    </row>
    <row r="3943" spans="25:25" x14ac:dyDescent="0.2">
      <c r="Y3943" s="18"/>
    </row>
    <row r="3944" spans="25:25" x14ac:dyDescent="0.2">
      <c r="Y3944" s="18"/>
    </row>
    <row r="3945" spans="25:25" x14ac:dyDescent="0.2">
      <c r="Y3945" s="18"/>
    </row>
    <row r="3946" spans="25:25" x14ac:dyDescent="0.2">
      <c r="Y3946" s="18"/>
    </row>
    <row r="3947" spans="25:25" x14ac:dyDescent="0.2">
      <c r="Y3947" s="18"/>
    </row>
    <row r="3948" spans="25:25" x14ac:dyDescent="0.2">
      <c r="Y3948" s="18"/>
    </row>
    <row r="3949" spans="25:25" x14ac:dyDescent="0.2">
      <c r="Y3949" s="18"/>
    </row>
    <row r="3950" spans="25:25" x14ac:dyDescent="0.2">
      <c r="Y3950" s="18"/>
    </row>
    <row r="3951" spans="25:25" x14ac:dyDescent="0.2">
      <c r="Y3951" s="18"/>
    </row>
    <row r="3952" spans="25:25" x14ac:dyDescent="0.2">
      <c r="Y3952" s="18"/>
    </row>
    <row r="3953" spans="25:25" x14ac:dyDescent="0.2">
      <c r="Y3953" s="18"/>
    </row>
    <row r="3954" spans="25:25" x14ac:dyDescent="0.2">
      <c r="Y3954" s="18"/>
    </row>
    <row r="3955" spans="25:25" x14ac:dyDescent="0.2">
      <c r="Y3955" s="18"/>
    </row>
    <row r="3956" spans="25:25" x14ac:dyDescent="0.2">
      <c r="Y3956" s="18"/>
    </row>
    <row r="3957" spans="25:25" x14ac:dyDescent="0.2">
      <c r="Y3957" s="18"/>
    </row>
    <row r="3958" spans="25:25" x14ac:dyDescent="0.2">
      <c r="Y3958" s="18"/>
    </row>
    <row r="3959" spans="25:25" x14ac:dyDescent="0.2">
      <c r="Y3959" s="18"/>
    </row>
    <row r="3960" spans="25:25" x14ac:dyDescent="0.2">
      <c r="Y3960" s="18"/>
    </row>
    <row r="3961" spans="25:25" x14ac:dyDescent="0.2">
      <c r="Y3961" s="18"/>
    </row>
    <row r="3962" spans="25:25" x14ac:dyDescent="0.2">
      <c r="Y3962" s="18"/>
    </row>
    <row r="3963" spans="25:25" x14ac:dyDescent="0.2">
      <c r="Y3963" s="18"/>
    </row>
    <row r="3964" spans="25:25" x14ac:dyDescent="0.2">
      <c r="Y3964" s="18"/>
    </row>
    <row r="3965" spans="25:25" x14ac:dyDescent="0.2">
      <c r="Y3965" s="18"/>
    </row>
    <row r="3966" spans="25:25" x14ac:dyDescent="0.2">
      <c r="Y3966" s="18"/>
    </row>
    <row r="3967" spans="25:25" x14ac:dyDescent="0.2">
      <c r="Y3967" s="18"/>
    </row>
    <row r="3968" spans="25:25" x14ac:dyDescent="0.2">
      <c r="Y3968" s="18"/>
    </row>
    <row r="3969" spans="25:25" x14ac:dyDescent="0.2">
      <c r="Y3969" s="18"/>
    </row>
    <row r="3970" spans="25:25" x14ac:dyDescent="0.2">
      <c r="Y3970" s="18"/>
    </row>
    <row r="3971" spans="25:25" x14ac:dyDescent="0.2">
      <c r="Y3971" s="18"/>
    </row>
    <row r="3972" spans="25:25" x14ac:dyDescent="0.2">
      <c r="Y3972" s="18"/>
    </row>
    <row r="3973" spans="25:25" x14ac:dyDescent="0.2">
      <c r="Y3973" s="18"/>
    </row>
    <row r="3974" spans="25:25" x14ac:dyDescent="0.2">
      <c r="Y3974" s="18"/>
    </row>
    <row r="3975" spans="25:25" x14ac:dyDescent="0.2">
      <c r="Y3975" s="18"/>
    </row>
    <row r="3976" spans="25:25" x14ac:dyDescent="0.2">
      <c r="Y3976" s="18"/>
    </row>
    <row r="3977" spans="25:25" x14ac:dyDescent="0.2">
      <c r="Y3977" s="18"/>
    </row>
    <row r="3978" spans="25:25" x14ac:dyDescent="0.2">
      <c r="Y3978" s="18"/>
    </row>
    <row r="3979" spans="25:25" x14ac:dyDescent="0.2">
      <c r="Y3979" s="18"/>
    </row>
    <row r="3980" spans="25:25" x14ac:dyDescent="0.2">
      <c r="Y3980" s="18"/>
    </row>
    <row r="3981" spans="25:25" x14ac:dyDescent="0.2">
      <c r="Y3981" s="18"/>
    </row>
    <row r="3982" spans="25:25" x14ac:dyDescent="0.2">
      <c r="Y3982" s="18"/>
    </row>
    <row r="3983" spans="25:25" x14ac:dyDescent="0.2">
      <c r="Y3983" s="18"/>
    </row>
    <row r="3984" spans="25:25" x14ac:dyDescent="0.2">
      <c r="Y3984" s="18"/>
    </row>
    <row r="3985" spans="25:25" x14ac:dyDescent="0.2">
      <c r="Y3985" s="18"/>
    </row>
    <row r="3986" spans="25:25" x14ac:dyDescent="0.2">
      <c r="Y3986" s="18"/>
    </row>
    <row r="3987" spans="25:25" x14ac:dyDescent="0.2">
      <c r="Y3987" s="18"/>
    </row>
    <row r="3988" spans="25:25" x14ac:dyDescent="0.2">
      <c r="Y3988" s="18"/>
    </row>
    <row r="3989" spans="25:25" x14ac:dyDescent="0.2">
      <c r="Y3989" s="18"/>
    </row>
    <row r="3990" spans="25:25" x14ac:dyDescent="0.2">
      <c r="Y3990" s="18"/>
    </row>
    <row r="3991" spans="25:25" x14ac:dyDescent="0.2">
      <c r="Y3991" s="18"/>
    </row>
    <row r="3992" spans="25:25" x14ac:dyDescent="0.2">
      <c r="Y3992" s="18"/>
    </row>
    <row r="3993" spans="25:25" x14ac:dyDescent="0.2">
      <c r="Y3993" s="18"/>
    </row>
    <row r="3994" spans="25:25" x14ac:dyDescent="0.2">
      <c r="Y3994" s="18"/>
    </row>
    <row r="3995" spans="25:25" x14ac:dyDescent="0.2">
      <c r="Y3995" s="18"/>
    </row>
    <row r="3996" spans="25:25" x14ac:dyDescent="0.2">
      <c r="Y3996" s="18"/>
    </row>
    <row r="3997" spans="25:25" x14ac:dyDescent="0.2">
      <c r="Y3997" s="18"/>
    </row>
    <row r="3998" spans="25:25" x14ac:dyDescent="0.2">
      <c r="Y3998" s="18"/>
    </row>
    <row r="3999" spans="25:25" x14ac:dyDescent="0.2">
      <c r="Y3999" s="18"/>
    </row>
    <row r="4000" spans="25:25" x14ac:dyDescent="0.2">
      <c r="Y4000" s="18"/>
    </row>
    <row r="4001" spans="25:25" x14ac:dyDescent="0.2">
      <c r="Y4001" s="18"/>
    </row>
    <row r="4002" spans="25:25" x14ac:dyDescent="0.2">
      <c r="Y4002" s="18"/>
    </row>
    <row r="4003" spans="25:25" x14ac:dyDescent="0.2">
      <c r="Y4003" s="18"/>
    </row>
    <row r="4004" spans="25:25" x14ac:dyDescent="0.2">
      <c r="Y4004" s="18"/>
    </row>
    <row r="4005" spans="25:25" x14ac:dyDescent="0.2">
      <c r="Y4005" s="18"/>
    </row>
    <row r="4006" spans="25:25" x14ac:dyDescent="0.2">
      <c r="Y4006" s="18"/>
    </row>
    <row r="4007" spans="25:25" x14ac:dyDescent="0.2">
      <c r="Y4007" s="18"/>
    </row>
    <row r="4008" spans="25:25" x14ac:dyDescent="0.2">
      <c r="Y4008" s="18"/>
    </row>
    <row r="4009" spans="25:25" x14ac:dyDescent="0.2">
      <c r="Y4009" s="18"/>
    </row>
    <row r="4010" spans="25:25" x14ac:dyDescent="0.2">
      <c r="Y4010" s="18"/>
    </row>
    <row r="4011" spans="25:25" x14ac:dyDescent="0.2">
      <c r="Y4011" s="18"/>
    </row>
    <row r="4012" spans="25:25" x14ac:dyDescent="0.2">
      <c r="Y4012" s="18"/>
    </row>
    <row r="4013" spans="25:25" x14ac:dyDescent="0.2">
      <c r="Y4013" s="18"/>
    </row>
    <row r="4014" spans="25:25" x14ac:dyDescent="0.2">
      <c r="Y4014" s="18"/>
    </row>
    <row r="4015" spans="25:25" x14ac:dyDescent="0.2">
      <c r="Y4015" s="18"/>
    </row>
    <row r="4016" spans="25:25" x14ac:dyDescent="0.2">
      <c r="Y4016" s="18"/>
    </row>
    <row r="4017" spans="25:25" x14ac:dyDescent="0.2">
      <c r="Y4017" s="18"/>
    </row>
    <row r="4018" spans="25:25" x14ac:dyDescent="0.2">
      <c r="Y4018" s="18"/>
    </row>
    <row r="4019" spans="25:25" x14ac:dyDescent="0.2">
      <c r="Y4019" s="18"/>
    </row>
    <row r="4020" spans="25:25" x14ac:dyDescent="0.2">
      <c r="Y4020" s="18"/>
    </row>
    <row r="4021" spans="25:25" x14ac:dyDescent="0.2">
      <c r="Y4021" s="18"/>
    </row>
    <row r="4022" spans="25:25" x14ac:dyDescent="0.2">
      <c r="Y4022" s="18"/>
    </row>
    <row r="4023" spans="25:25" x14ac:dyDescent="0.2">
      <c r="Y4023" s="18"/>
    </row>
    <row r="4024" spans="25:25" x14ac:dyDescent="0.2">
      <c r="Y4024" s="18"/>
    </row>
    <row r="4025" spans="25:25" x14ac:dyDescent="0.2">
      <c r="Y4025" s="18"/>
    </row>
    <row r="4026" spans="25:25" x14ac:dyDescent="0.2">
      <c r="Y4026" s="18"/>
    </row>
    <row r="4027" spans="25:25" x14ac:dyDescent="0.2">
      <c r="Y4027" s="18"/>
    </row>
    <row r="4028" spans="25:25" x14ac:dyDescent="0.2">
      <c r="Y4028" s="18"/>
    </row>
    <row r="4029" spans="25:25" x14ac:dyDescent="0.2">
      <c r="Y4029" s="18"/>
    </row>
    <row r="4030" spans="25:25" x14ac:dyDescent="0.2">
      <c r="Y4030" s="18"/>
    </row>
    <row r="4031" spans="25:25" x14ac:dyDescent="0.2">
      <c r="Y4031" s="18"/>
    </row>
    <row r="4032" spans="25:25" x14ac:dyDescent="0.2">
      <c r="Y4032" s="18"/>
    </row>
    <row r="4033" spans="25:25" x14ac:dyDescent="0.2">
      <c r="Y4033" s="18"/>
    </row>
    <row r="4034" spans="25:25" x14ac:dyDescent="0.2">
      <c r="Y4034" s="18"/>
    </row>
    <row r="4035" spans="25:25" x14ac:dyDescent="0.2">
      <c r="Y4035" s="18"/>
    </row>
    <row r="4036" spans="25:25" x14ac:dyDescent="0.2">
      <c r="Y4036" s="18"/>
    </row>
    <row r="4037" spans="25:25" x14ac:dyDescent="0.2">
      <c r="Y4037" s="18"/>
    </row>
    <row r="4038" spans="25:25" x14ac:dyDescent="0.2">
      <c r="Y4038" s="18"/>
    </row>
    <row r="4039" spans="25:25" x14ac:dyDescent="0.2">
      <c r="Y4039" s="18"/>
    </row>
    <row r="4040" spans="25:25" x14ac:dyDescent="0.2">
      <c r="Y4040" s="18"/>
    </row>
    <row r="4041" spans="25:25" x14ac:dyDescent="0.2">
      <c r="Y4041" s="18"/>
    </row>
    <row r="4042" spans="25:25" x14ac:dyDescent="0.2">
      <c r="Y4042" s="18"/>
    </row>
    <row r="4043" spans="25:25" x14ac:dyDescent="0.2">
      <c r="Y4043" s="18"/>
    </row>
    <row r="4044" spans="25:25" x14ac:dyDescent="0.2">
      <c r="Y4044" s="18"/>
    </row>
    <row r="4045" spans="25:25" x14ac:dyDescent="0.2">
      <c r="Y4045" s="18"/>
    </row>
    <row r="4046" spans="25:25" x14ac:dyDescent="0.2">
      <c r="Y4046" s="18"/>
    </row>
    <row r="4047" spans="25:25" x14ac:dyDescent="0.2">
      <c r="Y4047" s="18"/>
    </row>
    <row r="4048" spans="25:25" x14ac:dyDescent="0.2">
      <c r="Y4048" s="18"/>
    </row>
    <row r="4049" spans="25:25" x14ac:dyDescent="0.2">
      <c r="Y4049" s="18"/>
    </row>
    <row r="4050" spans="25:25" x14ac:dyDescent="0.2">
      <c r="Y4050" s="18"/>
    </row>
    <row r="4051" spans="25:25" x14ac:dyDescent="0.2">
      <c r="Y4051" s="18"/>
    </row>
    <row r="4052" spans="25:25" x14ac:dyDescent="0.2">
      <c r="Y4052" s="18"/>
    </row>
    <row r="4053" spans="25:25" x14ac:dyDescent="0.2">
      <c r="Y4053" s="18"/>
    </row>
    <row r="4054" spans="25:25" x14ac:dyDescent="0.2">
      <c r="Y4054" s="18"/>
    </row>
    <row r="4055" spans="25:25" x14ac:dyDescent="0.2">
      <c r="Y4055" s="18"/>
    </row>
    <row r="4056" spans="25:25" x14ac:dyDescent="0.2">
      <c r="Y4056" s="18"/>
    </row>
    <row r="4057" spans="25:25" x14ac:dyDescent="0.2">
      <c r="Y4057" s="18"/>
    </row>
    <row r="4058" spans="25:25" x14ac:dyDescent="0.2">
      <c r="Y4058" s="18"/>
    </row>
    <row r="4059" spans="25:25" x14ac:dyDescent="0.2">
      <c r="Y4059" s="18"/>
    </row>
    <row r="4060" spans="25:25" x14ac:dyDescent="0.2">
      <c r="Y4060" s="18"/>
    </row>
    <row r="4061" spans="25:25" x14ac:dyDescent="0.2">
      <c r="Y4061" s="18"/>
    </row>
    <row r="4062" spans="25:25" x14ac:dyDescent="0.2">
      <c r="Y4062" s="18"/>
    </row>
    <row r="4063" spans="25:25" x14ac:dyDescent="0.2">
      <c r="Y4063" s="18"/>
    </row>
    <row r="4064" spans="25:25" x14ac:dyDescent="0.2">
      <c r="Y4064" s="18"/>
    </row>
    <row r="4065" spans="25:25" x14ac:dyDescent="0.2">
      <c r="Y4065" s="18"/>
    </row>
    <row r="4066" spans="25:25" x14ac:dyDescent="0.2">
      <c r="Y4066" s="18"/>
    </row>
    <row r="4067" spans="25:25" x14ac:dyDescent="0.2">
      <c r="Y4067" s="18"/>
    </row>
    <row r="4068" spans="25:25" x14ac:dyDescent="0.2">
      <c r="Y4068" s="18"/>
    </row>
    <row r="4069" spans="25:25" x14ac:dyDescent="0.2">
      <c r="Y4069" s="18"/>
    </row>
    <row r="4070" spans="25:25" x14ac:dyDescent="0.2">
      <c r="Y4070" s="18"/>
    </row>
    <row r="4071" spans="25:25" x14ac:dyDescent="0.2">
      <c r="Y4071" s="18"/>
    </row>
    <row r="4072" spans="25:25" x14ac:dyDescent="0.2">
      <c r="Y4072" s="18"/>
    </row>
    <row r="4073" spans="25:25" x14ac:dyDescent="0.2">
      <c r="Y4073" s="18"/>
    </row>
    <row r="4074" spans="25:25" x14ac:dyDescent="0.2">
      <c r="Y4074" s="18"/>
    </row>
    <row r="4075" spans="25:25" x14ac:dyDescent="0.2">
      <c r="Y4075" s="18"/>
    </row>
    <row r="4076" spans="25:25" x14ac:dyDescent="0.2">
      <c r="Y4076" s="18"/>
    </row>
    <row r="4077" spans="25:25" x14ac:dyDescent="0.2">
      <c r="Y4077" s="18"/>
    </row>
    <row r="4078" spans="25:25" x14ac:dyDescent="0.2">
      <c r="Y4078" s="18"/>
    </row>
    <row r="4079" spans="25:25" x14ac:dyDescent="0.2">
      <c r="Y4079" s="18"/>
    </row>
    <row r="4080" spans="25:25" x14ac:dyDescent="0.2">
      <c r="Y4080" s="18"/>
    </row>
    <row r="4081" spans="25:25" x14ac:dyDescent="0.2">
      <c r="Y4081" s="18"/>
    </row>
    <row r="4082" spans="25:25" x14ac:dyDescent="0.2">
      <c r="Y4082" s="18"/>
    </row>
    <row r="4083" spans="25:25" x14ac:dyDescent="0.2">
      <c r="Y4083" s="18"/>
    </row>
    <row r="4084" spans="25:25" x14ac:dyDescent="0.2">
      <c r="Y4084" s="18"/>
    </row>
    <row r="4085" spans="25:25" x14ac:dyDescent="0.2">
      <c r="Y4085" s="18"/>
    </row>
    <row r="4086" spans="25:25" x14ac:dyDescent="0.2">
      <c r="Y4086" s="18"/>
    </row>
    <row r="4087" spans="25:25" x14ac:dyDescent="0.2">
      <c r="Y4087" s="18"/>
    </row>
    <row r="4088" spans="25:25" x14ac:dyDescent="0.2">
      <c r="Y4088" s="18"/>
    </row>
    <row r="4089" spans="25:25" x14ac:dyDescent="0.2">
      <c r="Y4089" s="18"/>
    </row>
    <row r="4090" spans="25:25" x14ac:dyDescent="0.2">
      <c r="Y4090" s="18"/>
    </row>
    <row r="4091" spans="25:25" x14ac:dyDescent="0.2">
      <c r="Y4091" s="18"/>
    </row>
    <row r="4092" spans="25:25" x14ac:dyDescent="0.2">
      <c r="Y4092" s="18"/>
    </row>
    <row r="4093" spans="25:25" x14ac:dyDescent="0.2">
      <c r="Y4093" s="18"/>
    </row>
    <row r="4094" spans="25:25" x14ac:dyDescent="0.2">
      <c r="Y4094" s="18"/>
    </row>
    <row r="4095" spans="25:25" x14ac:dyDescent="0.2">
      <c r="Y4095" s="18"/>
    </row>
    <row r="4096" spans="25:25" x14ac:dyDescent="0.2">
      <c r="Y4096" s="18"/>
    </row>
    <row r="4097" spans="25:25" x14ac:dyDescent="0.2">
      <c r="Y4097" s="18"/>
    </row>
    <row r="4098" spans="25:25" x14ac:dyDescent="0.2">
      <c r="Y4098" s="18"/>
    </row>
    <row r="4099" spans="25:25" x14ac:dyDescent="0.2">
      <c r="Y4099" s="18"/>
    </row>
    <row r="4100" spans="25:25" x14ac:dyDescent="0.2">
      <c r="Y4100" s="18"/>
    </row>
    <row r="4101" spans="25:25" x14ac:dyDescent="0.2">
      <c r="Y4101" s="18"/>
    </row>
    <row r="4102" spans="25:25" x14ac:dyDescent="0.2">
      <c r="Y4102" s="18"/>
    </row>
    <row r="4103" spans="25:25" x14ac:dyDescent="0.2">
      <c r="Y4103" s="18"/>
    </row>
    <row r="4104" spans="25:25" x14ac:dyDescent="0.2">
      <c r="Y4104" s="18"/>
    </row>
    <row r="4105" spans="25:25" x14ac:dyDescent="0.2">
      <c r="Y4105" s="18"/>
    </row>
    <row r="4106" spans="25:25" x14ac:dyDescent="0.2">
      <c r="Y4106" s="18"/>
    </row>
    <row r="4107" spans="25:25" x14ac:dyDescent="0.2">
      <c r="Y4107" s="18"/>
    </row>
    <row r="4108" spans="25:25" x14ac:dyDescent="0.2">
      <c r="Y4108" s="18"/>
    </row>
    <row r="4109" spans="25:25" x14ac:dyDescent="0.2">
      <c r="Y4109" s="18"/>
    </row>
    <row r="4110" spans="25:25" x14ac:dyDescent="0.2">
      <c r="Y4110" s="18"/>
    </row>
    <row r="4111" spans="25:25" x14ac:dyDescent="0.2">
      <c r="Y4111" s="18"/>
    </row>
    <row r="4112" spans="25:25" x14ac:dyDescent="0.2">
      <c r="Y4112" s="18"/>
    </row>
    <row r="4113" spans="25:25" x14ac:dyDescent="0.2">
      <c r="Y4113" s="18"/>
    </row>
    <row r="4114" spans="25:25" x14ac:dyDescent="0.2">
      <c r="Y4114" s="18"/>
    </row>
    <row r="4115" spans="25:25" x14ac:dyDescent="0.2">
      <c r="Y4115" s="18"/>
    </row>
    <row r="4116" spans="25:25" x14ac:dyDescent="0.2">
      <c r="Y4116" s="18"/>
    </row>
    <row r="4117" spans="25:25" x14ac:dyDescent="0.2">
      <c r="Y4117" s="18"/>
    </row>
    <row r="4118" spans="25:25" x14ac:dyDescent="0.2">
      <c r="Y4118" s="18"/>
    </row>
    <row r="4119" spans="25:25" x14ac:dyDescent="0.2">
      <c r="Y4119" s="18"/>
    </row>
    <row r="4120" spans="25:25" x14ac:dyDescent="0.2">
      <c r="Y4120" s="18"/>
    </row>
    <row r="4121" spans="25:25" x14ac:dyDescent="0.2">
      <c r="Y4121" s="18"/>
    </row>
    <row r="4122" spans="25:25" x14ac:dyDescent="0.2">
      <c r="Y4122" s="18"/>
    </row>
    <row r="4123" spans="25:25" x14ac:dyDescent="0.2">
      <c r="Y4123" s="18"/>
    </row>
    <row r="4124" spans="25:25" x14ac:dyDescent="0.2">
      <c r="Y4124" s="18"/>
    </row>
    <row r="4125" spans="25:25" x14ac:dyDescent="0.2">
      <c r="Y4125" s="18"/>
    </row>
    <row r="4126" spans="25:25" x14ac:dyDescent="0.2">
      <c r="Y4126" s="18"/>
    </row>
    <row r="4127" spans="25:25" x14ac:dyDescent="0.2">
      <c r="Y4127" s="18"/>
    </row>
    <row r="4128" spans="25:25" x14ac:dyDescent="0.2">
      <c r="Y4128" s="18"/>
    </row>
    <row r="4129" spans="25:25" x14ac:dyDescent="0.2">
      <c r="Y4129" s="18"/>
    </row>
    <row r="4130" spans="25:25" x14ac:dyDescent="0.2">
      <c r="Y4130" s="18"/>
    </row>
    <row r="4131" spans="25:25" x14ac:dyDescent="0.2">
      <c r="Y4131" s="18"/>
    </row>
    <row r="4132" spans="25:25" x14ac:dyDescent="0.2">
      <c r="Y4132" s="18"/>
    </row>
    <row r="4133" spans="25:25" x14ac:dyDescent="0.2">
      <c r="Y4133" s="18"/>
    </row>
    <row r="4134" spans="25:25" x14ac:dyDescent="0.2">
      <c r="Y4134" s="18"/>
    </row>
    <row r="4135" spans="25:25" x14ac:dyDescent="0.2">
      <c r="Y4135" s="18"/>
    </row>
    <row r="4136" spans="25:25" x14ac:dyDescent="0.2">
      <c r="Y4136" s="18"/>
    </row>
    <row r="4137" spans="25:25" x14ac:dyDescent="0.2">
      <c r="Y4137" s="18"/>
    </row>
    <row r="4138" spans="25:25" x14ac:dyDescent="0.2">
      <c r="Y4138" s="18"/>
    </row>
    <row r="4139" spans="25:25" x14ac:dyDescent="0.2">
      <c r="Y4139" s="18"/>
    </row>
    <row r="4140" spans="25:25" x14ac:dyDescent="0.2">
      <c r="Y4140" s="18"/>
    </row>
    <row r="4141" spans="25:25" x14ac:dyDescent="0.2">
      <c r="Y4141" s="18"/>
    </row>
    <row r="4142" spans="25:25" x14ac:dyDescent="0.2">
      <c r="Y4142" s="18"/>
    </row>
    <row r="4143" spans="25:25" x14ac:dyDescent="0.2">
      <c r="Y4143" s="18"/>
    </row>
    <row r="4144" spans="25:25" x14ac:dyDescent="0.2">
      <c r="Y4144" s="18"/>
    </row>
    <row r="4145" spans="25:25" x14ac:dyDescent="0.2">
      <c r="Y4145" s="18"/>
    </row>
    <row r="4146" spans="25:25" x14ac:dyDescent="0.2">
      <c r="Y4146" s="18"/>
    </row>
    <row r="4147" spans="25:25" x14ac:dyDescent="0.2">
      <c r="Y4147" s="18"/>
    </row>
    <row r="4148" spans="25:25" x14ac:dyDescent="0.2">
      <c r="Y4148" s="18"/>
    </row>
    <row r="4149" spans="25:25" x14ac:dyDescent="0.2">
      <c r="Y4149" s="18"/>
    </row>
    <row r="4150" spans="25:25" x14ac:dyDescent="0.2">
      <c r="Y4150" s="18"/>
    </row>
    <row r="4151" spans="25:25" x14ac:dyDescent="0.2">
      <c r="Y4151" s="18"/>
    </row>
    <row r="4152" spans="25:25" x14ac:dyDescent="0.2">
      <c r="Y4152" s="18"/>
    </row>
    <row r="4153" spans="25:25" x14ac:dyDescent="0.2">
      <c r="Y4153" s="18"/>
    </row>
    <row r="4154" spans="25:25" x14ac:dyDescent="0.2">
      <c r="Y4154" s="18"/>
    </row>
    <row r="4155" spans="25:25" x14ac:dyDescent="0.2">
      <c r="Y4155" s="18"/>
    </row>
    <row r="4156" spans="25:25" x14ac:dyDescent="0.2">
      <c r="Y4156" s="18"/>
    </row>
    <row r="4157" spans="25:25" x14ac:dyDescent="0.2">
      <c r="Y4157" s="18"/>
    </row>
    <row r="4158" spans="25:25" x14ac:dyDescent="0.2">
      <c r="Y4158" s="18"/>
    </row>
    <row r="4159" spans="25:25" x14ac:dyDescent="0.2">
      <c r="Y4159" s="18"/>
    </row>
    <row r="4160" spans="25:25" x14ac:dyDescent="0.2">
      <c r="Y4160" s="18"/>
    </row>
    <row r="4161" spans="25:25" x14ac:dyDescent="0.2">
      <c r="Y4161" s="18"/>
    </row>
    <row r="4162" spans="25:25" x14ac:dyDescent="0.2">
      <c r="Y4162" s="18"/>
    </row>
    <row r="4163" spans="25:25" x14ac:dyDescent="0.2">
      <c r="Y4163" s="18"/>
    </row>
    <row r="4164" spans="25:25" x14ac:dyDescent="0.2">
      <c r="Y4164" s="18"/>
    </row>
    <row r="4165" spans="25:25" x14ac:dyDescent="0.2">
      <c r="Y4165" s="18"/>
    </row>
    <row r="4166" spans="25:25" x14ac:dyDescent="0.2">
      <c r="Y4166" s="18"/>
    </row>
    <row r="4167" spans="25:25" x14ac:dyDescent="0.2">
      <c r="Y4167" s="18"/>
    </row>
    <row r="4168" spans="25:25" x14ac:dyDescent="0.2">
      <c r="Y4168" s="18"/>
    </row>
    <row r="4169" spans="25:25" x14ac:dyDescent="0.2">
      <c r="Y4169" s="18"/>
    </row>
    <row r="4170" spans="25:25" x14ac:dyDescent="0.2">
      <c r="Y4170" s="18"/>
    </row>
    <row r="4171" spans="25:25" x14ac:dyDescent="0.2">
      <c r="Y4171" s="18"/>
    </row>
    <row r="4172" spans="25:25" x14ac:dyDescent="0.2">
      <c r="Y4172" s="18"/>
    </row>
    <row r="4173" spans="25:25" x14ac:dyDescent="0.2">
      <c r="Y4173" s="18"/>
    </row>
    <row r="4174" spans="25:25" x14ac:dyDescent="0.2">
      <c r="Y4174" s="18"/>
    </row>
    <row r="4175" spans="25:25" x14ac:dyDescent="0.2">
      <c r="Y4175" s="18"/>
    </row>
    <row r="4176" spans="25:25" x14ac:dyDescent="0.2">
      <c r="Y4176" s="18"/>
    </row>
    <row r="4177" spans="25:25" x14ac:dyDescent="0.2">
      <c r="Y4177" s="18"/>
    </row>
    <row r="4178" spans="25:25" x14ac:dyDescent="0.2">
      <c r="Y4178" s="18"/>
    </row>
    <row r="4179" spans="25:25" x14ac:dyDescent="0.2">
      <c r="Y4179" s="18"/>
    </row>
    <row r="4180" spans="25:25" x14ac:dyDescent="0.2">
      <c r="Y4180" s="18"/>
    </row>
    <row r="4181" spans="25:25" x14ac:dyDescent="0.2">
      <c r="Y4181" s="18"/>
    </row>
    <row r="4182" spans="25:25" x14ac:dyDescent="0.2">
      <c r="Y4182" s="18"/>
    </row>
    <row r="4183" spans="25:25" x14ac:dyDescent="0.2">
      <c r="Y4183" s="18"/>
    </row>
    <row r="4184" spans="25:25" x14ac:dyDescent="0.2">
      <c r="Y4184" s="18"/>
    </row>
    <row r="4185" spans="25:25" x14ac:dyDescent="0.2">
      <c r="Y4185" s="18"/>
    </row>
    <row r="4186" spans="25:25" x14ac:dyDescent="0.2">
      <c r="Y4186" s="18"/>
    </row>
    <row r="4187" spans="25:25" x14ac:dyDescent="0.2">
      <c r="Y4187" s="18"/>
    </row>
    <row r="4188" spans="25:25" x14ac:dyDescent="0.2">
      <c r="Y4188" s="18"/>
    </row>
    <row r="4189" spans="25:25" x14ac:dyDescent="0.2">
      <c r="Y4189" s="18"/>
    </row>
    <row r="4190" spans="25:25" x14ac:dyDescent="0.2">
      <c r="Y4190" s="18"/>
    </row>
    <row r="4191" spans="25:25" x14ac:dyDescent="0.2">
      <c r="Y4191" s="18"/>
    </row>
    <row r="4192" spans="25:25" x14ac:dyDescent="0.2">
      <c r="Y4192" s="18"/>
    </row>
    <row r="4193" spans="25:25" x14ac:dyDescent="0.2">
      <c r="Y4193" s="18"/>
    </row>
    <row r="4194" spans="25:25" x14ac:dyDescent="0.2">
      <c r="Y4194" s="18"/>
    </row>
    <row r="4195" spans="25:25" x14ac:dyDescent="0.2">
      <c r="Y4195" s="18"/>
    </row>
    <row r="4196" spans="25:25" x14ac:dyDescent="0.2">
      <c r="Y4196" s="18"/>
    </row>
    <row r="4197" spans="25:25" x14ac:dyDescent="0.2">
      <c r="Y4197" s="18"/>
    </row>
    <row r="4198" spans="25:25" x14ac:dyDescent="0.2">
      <c r="Y4198" s="18"/>
    </row>
    <row r="4199" spans="25:25" x14ac:dyDescent="0.2">
      <c r="Y4199" s="18"/>
    </row>
    <row r="4200" spans="25:25" x14ac:dyDescent="0.2">
      <c r="Y4200" s="18"/>
    </row>
    <row r="4201" spans="25:25" x14ac:dyDescent="0.2">
      <c r="Y4201" s="18"/>
    </row>
    <row r="4202" spans="25:25" x14ac:dyDescent="0.2">
      <c r="Y4202" s="18"/>
    </row>
    <row r="4203" spans="25:25" x14ac:dyDescent="0.2">
      <c r="Y4203" s="18"/>
    </row>
    <row r="4204" spans="25:25" x14ac:dyDescent="0.2">
      <c r="Y4204" s="18"/>
    </row>
    <row r="4205" spans="25:25" x14ac:dyDescent="0.2">
      <c r="Y4205" s="18"/>
    </row>
    <row r="4206" spans="25:25" x14ac:dyDescent="0.2">
      <c r="Y4206" s="18"/>
    </row>
    <row r="4207" spans="25:25" x14ac:dyDescent="0.2">
      <c r="Y4207" s="18"/>
    </row>
    <row r="4208" spans="25:25" x14ac:dyDescent="0.2">
      <c r="Y4208" s="18"/>
    </row>
    <row r="4209" spans="25:25" x14ac:dyDescent="0.2">
      <c r="Y4209" s="18"/>
    </row>
    <row r="4210" spans="25:25" x14ac:dyDescent="0.2">
      <c r="Y4210" s="18"/>
    </row>
    <row r="4211" spans="25:25" x14ac:dyDescent="0.2">
      <c r="Y4211" s="18"/>
    </row>
    <row r="4212" spans="25:25" x14ac:dyDescent="0.2">
      <c r="Y4212" s="18"/>
    </row>
    <row r="4213" spans="25:25" x14ac:dyDescent="0.2">
      <c r="Y4213" s="18"/>
    </row>
    <row r="4214" spans="25:25" x14ac:dyDescent="0.2">
      <c r="Y4214" s="18"/>
    </row>
    <row r="4215" spans="25:25" x14ac:dyDescent="0.2">
      <c r="Y4215" s="18"/>
    </row>
    <row r="4216" spans="25:25" x14ac:dyDescent="0.2">
      <c r="Y4216" s="18"/>
    </row>
    <row r="4217" spans="25:25" x14ac:dyDescent="0.2">
      <c r="Y4217" s="18"/>
    </row>
    <row r="4218" spans="25:25" x14ac:dyDescent="0.2">
      <c r="Y4218" s="18"/>
    </row>
    <row r="4219" spans="25:25" x14ac:dyDescent="0.2">
      <c r="Y4219" s="18"/>
    </row>
    <row r="4220" spans="25:25" x14ac:dyDescent="0.2">
      <c r="Y4220" s="18"/>
    </row>
    <row r="4221" spans="25:25" x14ac:dyDescent="0.2">
      <c r="Y4221" s="18"/>
    </row>
    <row r="4222" spans="25:25" x14ac:dyDescent="0.2">
      <c r="Y4222" s="18"/>
    </row>
    <row r="4223" spans="25:25" x14ac:dyDescent="0.2">
      <c r="Y4223" s="18"/>
    </row>
    <row r="4224" spans="25:25" x14ac:dyDescent="0.2">
      <c r="Y4224" s="18"/>
    </row>
    <row r="4225" spans="25:25" x14ac:dyDescent="0.2">
      <c r="Y4225" s="18"/>
    </row>
    <row r="4226" spans="25:25" x14ac:dyDescent="0.2">
      <c r="Y4226" s="18"/>
    </row>
    <row r="4227" spans="25:25" x14ac:dyDescent="0.2">
      <c r="Y4227" s="18"/>
    </row>
    <row r="4228" spans="25:25" x14ac:dyDescent="0.2">
      <c r="Y4228" s="18"/>
    </row>
    <row r="4229" spans="25:25" x14ac:dyDescent="0.2">
      <c r="Y4229" s="18"/>
    </row>
    <row r="4230" spans="25:25" x14ac:dyDescent="0.2">
      <c r="Y4230" s="18"/>
    </row>
    <row r="4231" spans="25:25" x14ac:dyDescent="0.2">
      <c r="Y4231" s="18"/>
    </row>
    <row r="4232" spans="25:25" x14ac:dyDescent="0.2">
      <c r="Y4232" s="18"/>
    </row>
    <row r="4233" spans="25:25" x14ac:dyDescent="0.2">
      <c r="Y4233" s="18"/>
    </row>
    <row r="4234" spans="25:25" x14ac:dyDescent="0.2">
      <c r="Y4234" s="18"/>
    </row>
    <row r="4235" spans="25:25" x14ac:dyDescent="0.2">
      <c r="Y4235" s="18"/>
    </row>
    <row r="4236" spans="25:25" x14ac:dyDescent="0.2">
      <c r="Y4236" s="18"/>
    </row>
    <row r="4237" spans="25:25" x14ac:dyDescent="0.2">
      <c r="Y4237" s="18"/>
    </row>
    <row r="4238" spans="25:25" x14ac:dyDescent="0.2">
      <c r="Y4238" s="18"/>
    </row>
    <row r="4239" spans="25:25" x14ac:dyDescent="0.2">
      <c r="Y4239" s="18"/>
    </row>
    <row r="4240" spans="25:25" x14ac:dyDescent="0.2">
      <c r="Y4240" s="18"/>
    </row>
    <row r="4241" spans="25:25" x14ac:dyDescent="0.2">
      <c r="Y4241" s="18"/>
    </row>
    <row r="4242" spans="25:25" x14ac:dyDescent="0.2">
      <c r="Y4242" s="18"/>
    </row>
    <row r="4243" spans="25:25" x14ac:dyDescent="0.2">
      <c r="Y4243" s="18"/>
    </row>
    <row r="4244" spans="25:25" x14ac:dyDescent="0.2">
      <c r="Y4244" s="18"/>
    </row>
    <row r="4245" spans="25:25" x14ac:dyDescent="0.2">
      <c r="Y4245" s="18"/>
    </row>
    <row r="4246" spans="25:25" x14ac:dyDescent="0.2">
      <c r="Y4246" s="18"/>
    </row>
    <row r="4247" spans="25:25" x14ac:dyDescent="0.2">
      <c r="Y4247" s="18"/>
    </row>
    <row r="4248" spans="25:25" x14ac:dyDescent="0.2">
      <c r="Y4248" s="18"/>
    </row>
    <row r="4249" spans="25:25" x14ac:dyDescent="0.2">
      <c r="Y4249" s="18"/>
    </row>
    <row r="4250" spans="25:25" x14ac:dyDescent="0.2">
      <c r="Y4250" s="18"/>
    </row>
    <row r="4251" spans="25:25" x14ac:dyDescent="0.2">
      <c r="Y4251" s="18"/>
    </row>
    <row r="4252" spans="25:25" x14ac:dyDescent="0.2">
      <c r="Y4252" s="18"/>
    </row>
    <row r="4253" spans="25:25" x14ac:dyDescent="0.2">
      <c r="Y4253" s="18"/>
    </row>
    <row r="4254" spans="25:25" x14ac:dyDescent="0.2">
      <c r="Y4254" s="18"/>
    </row>
    <row r="4255" spans="25:25" x14ac:dyDescent="0.2">
      <c r="Y4255" s="18"/>
    </row>
    <row r="4256" spans="25:25" x14ac:dyDescent="0.2">
      <c r="Y4256" s="18"/>
    </row>
    <row r="4257" spans="25:25" x14ac:dyDescent="0.2">
      <c r="Y4257" s="18"/>
    </row>
    <row r="4258" spans="25:25" x14ac:dyDescent="0.2">
      <c r="Y4258" s="18"/>
    </row>
    <row r="4259" spans="25:25" x14ac:dyDescent="0.2">
      <c r="Y4259" s="18"/>
    </row>
    <row r="4260" spans="25:25" x14ac:dyDescent="0.2">
      <c r="Y4260" s="18"/>
    </row>
    <row r="4261" spans="25:25" x14ac:dyDescent="0.2">
      <c r="Y4261" s="18"/>
    </row>
    <row r="4262" spans="25:25" x14ac:dyDescent="0.2">
      <c r="Y4262" s="18"/>
    </row>
    <row r="4263" spans="25:25" x14ac:dyDescent="0.2">
      <c r="Y4263" s="18"/>
    </row>
    <row r="4264" spans="25:25" x14ac:dyDescent="0.2">
      <c r="Y4264" s="18"/>
    </row>
    <row r="4265" spans="25:25" x14ac:dyDescent="0.2">
      <c r="Y4265" s="18"/>
    </row>
    <row r="4266" spans="25:25" x14ac:dyDescent="0.2">
      <c r="Y4266" s="18"/>
    </row>
    <row r="4267" spans="25:25" x14ac:dyDescent="0.2">
      <c r="Y4267" s="18"/>
    </row>
    <row r="4268" spans="25:25" x14ac:dyDescent="0.2">
      <c r="Y4268" s="18"/>
    </row>
    <row r="4269" spans="25:25" x14ac:dyDescent="0.2">
      <c r="Y4269" s="18"/>
    </row>
    <row r="4270" spans="25:25" x14ac:dyDescent="0.2">
      <c r="Y4270" s="18"/>
    </row>
    <row r="4271" spans="25:25" x14ac:dyDescent="0.2">
      <c r="Y4271" s="18"/>
    </row>
    <row r="4272" spans="25:25" x14ac:dyDescent="0.2">
      <c r="Y4272" s="18"/>
    </row>
    <row r="4273" spans="25:25" x14ac:dyDescent="0.2">
      <c r="Y4273" s="18"/>
    </row>
    <row r="4274" spans="25:25" x14ac:dyDescent="0.2">
      <c r="Y4274" s="18"/>
    </row>
    <row r="4275" spans="25:25" x14ac:dyDescent="0.2">
      <c r="Y4275" s="18"/>
    </row>
    <row r="4276" spans="25:25" x14ac:dyDescent="0.2">
      <c r="Y4276" s="18"/>
    </row>
    <row r="4277" spans="25:25" x14ac:dyDescent="0.2">
      <c r="Y4277" s="18"/>
    </row>
    <row r="4278" spans="25:25" x14ac:dyDescent="0.2">
      <c r="Y4278" s="18"/>
    </row>
    <row r="4279" spans="25:25" x14ac:dyDescent="0.2">
      <c r="Y4279" s="18"/>
    </row>
    <row r="4280" spans="25:25" x14ac:dyDescent="0.2">
      <c r="Y4280" s="18"/>
    </row>
    <row r="4281" spans="25:25" x14ac:dyDescent="0.2">
      <c r="Y4281" s="18"/>
    </row>
    <row r="4282" spans="25:25" x14ac:dyDescent="0.2">
      <c r="Y4282" s="18"/>
    </row>
    <row r="4283" spans="25:25" x14ac:dyDescent="0.2">
      <c r="Y4283" s="18"/>
    </row>
    <row r="4284" spans="25:25" x14ac:dyDescent="0.2">
      <c r="Y4284" s="18"/>
    </row>
    <row r="4285" spans="25:25" x14ac:dyDescent="0.2">
      <c r="Y4285" s="18"/>
    </row>
    <row r="4286" spans="25:25" x14ac:dyDescent="0.2">
      <c r="Y4286" s="18"/>
    </row>
    <row r="4287" spans="25:25" x14ac:dyDescent="0.2">
      <c r="Y4287" s="18"/>
    </row>
    <row r="4288" spans="25:25" x14ac:dyDescent="0.2">
      <c r="Y4288" s="18"/>
    </row>
    <row r="4289" spans="25:25" x14ac:dyDescent="0.2">
      <c r="Y4289" s="18"/>
    </row>
    <row r="4290" spans="25:25" x14ac:dyDescent="0.2">
      <c r="Y4290" s="18"/>
    </row>
    <row r="4291" spans="25:25" x14ac:dyDescent="0.2">
      <c r="Y4291" s="18"/>
    </row>
    <row r="4292" spans="25:25" x14ac:dyDescent="0.2">
      <c r="Y4292" s="18"/>
    </row>
    <row r="4293" spans="25:25" x14ac:dyDescent="0.2">
      <c r="Y4293" s="18"/>
    </row>
    <row r="4294" spans="25:25" x14ac:dyDescent="0.2">
      <c r="Y4294" s="18"/>
    </row>
    <row r="4295" spans="25:25" x14ac:dyDescent="0.2">
      <c r="Y4295" s="18"/>
    </row>
    <row r="4296" spans="25:25" x14ac:dyDescent="0.2">
      <c r="Y4296" s="18"/>
    </row>
    <row r="4297" spans="25:25" x14ac:dyDescent="0.2">
      <c r="Y4297" s="18"/>
    </row>
    <row r="4298" spans="25:25" x14ac:dyDescent="0.2">
      <c r="Y4298" s="18"/>
    </row>
    <row r="4299" spans="25:25" x14ac:dyDescent="0.2">
      <c r="Y4299" s="18"/>
    </row>
    <row r="4300" spans="25:25" x14ac:dyDescent="0.2">
      <c r="Y4300" s="18"/>
    </row>
    <row r="4301" spans="25:25" x14ac:dyDescent="0.2">
      <c r="Y4301" s="18"/>
    </row>
    <row r="4302" spans="25:25" x14ac:dyDescent="0.2">
      <c r="Y4302" s="18"/>
    </row>
    <row r="4303" spans="25:25" x14ac:dyDescent="0.2">
      <c r="Y4303" s="18"/>
    </row>
    <row r="4304" spans="25:25" x14ac:dyDescent="0.2">
      <c r="Y4304" s="18"/>
    </row>
    <row r="4305" spans="25:25" x14ac:dyDescent="0.2">
      <c r="Y4305" s="18"/>
    </row>
    <row r="4306" spans="25:25" x14ac:dyDescent="0.2">
      <c r="Y4306" s="18"/>
    </row>
    <row r="4307" spans="25:25" x14ac:dyDescent="0.2">
      <c r="Y4307" s="18"/>
    </row>
    <row r="4308" spans="25:25" x14ac:dyDescent="0.2">
      <c r="Y4308" s="18"/>
    </row>
    <row r="4309" spans="25:25" x14ac:dyDescent="0.2">
      <c r="Y4309" s="18"/>
    </row>
    <row r="4310" spans="25:25" x14ac:dyDescent="0.2">
      <c r="Y4310" s="18"/>
    </row>
    <row r="4311" spans="25:25" x14ac:dyDescent="0.2">
      <c r="Y4311" s="18"/>
    </row>
    <row r="4312" spans="25:25" x14ac:dyDescent="0.2">
      <c r="Y4312" s="18"/>
    </row>
    <row r="4313" spans="25:25" x14ac:dyDescent="0.2">
      <c r="Y4313" s="18"/>
    </row>
    <row r="4314" spans="25:25" x14ac:dyDescent="0.2">
      <c r="Y4314" s="18"/>
    </row>
    <row r="4315" spans="25:25" x14ac:dyDescent="0.2">
      <c r="Y4315" s="18"/>
    </row>
    <row r="4316" spans="25:25" x14ac:dyDescent="0.2">
      <c r="Y4316" s="18"/>
    </row>
    <row r="4317" spans="25:25" x14ac:dyDescent="0.2">
      <c r="Y4317" s="18"/>
    </row>
    <row r="4318" spans="25:25" x14ac:dyDescent="0.2">
      <c r="Y4318" s="18"/>
    </row>
    <row r="4319" spans="25:25" x14ac:dyDescent="0.2">
      <c r="Y4319" s="18"/>
    </row>
    <row r="4320" spans="25:25" x14ac:dyDescent="0.2">
      <c r="Y4320" s="18"/>
    </row>
    <row r="4321" spans="25:25" x14ac:dyDescent="0.2">
      <c r="Y4321" s="18"/>
    </row>
    <row r="4322" spans="25:25" x14ac:dyDescent="0.2">
      <c r="Y4322" s="18"/>
    </row>
    <row r="4323" spans="25:25" x14ac:dyDescent="0.2">
      <c r="Y4323" s="18"/>
    </row>
    <row r="4324" spans="25:25" x14ac:dyDescent="0.2">
      <c r="Y4324" s="18"/>
    </row>
    <row r="4325" spans="25:25" x14ac:dyDescent="0.2">
      <c r="Y4325" s="18"/>
    </row>
    <row r="4326" spans="25:25" x14ac:dyDescent="0.2">
      <c r="Y4326" s="18"/>
    </row>
    <row r="4327" spans="25:25" x14ac:dyDescent="0.2">
      <c r="Y4327" s="18"/>
    </row>
    <row r="4328" spans="25:25" x14ac:dyDescent="0.2">
      <c r="Y4328" s="18"/>
    </row>
    <row r="4329" spans="25:25" x14ac:dyDescent="0.2">
      <c r="Y4329" s="18"/>
    </row>
    <row r="4330" spans="25:25" x14ac:dyDescent="0.2">
      <c r="Y4330" s="18"/>
    </row>
    <row r="4331" spans="25:25" x14ac:dyDescent="0.2">
      <c r="Y4331" s="18"/>
    </row>
    <row r="4332" spans="25:25" x14ac:dyDescent="0.2">
      <c r="Y4332" s="18"/>
    </row>
    <row r="4333" spans="25:25" x14ac:dyDescent="0.2">
      <c r="Y4333" s="18"/>
    </row>
    <row r="4334" spans="25:25" x14ac:dyDescent="0.2">
      <c r="Y4334" s="18"/>
    </row>
    <row r="4335" spans="25:25" x14ac:dyDescent="0.2">
      <c r="Y4335" s="18"/>
    </row>
    <row r="4336" spans="25:25" x14ac:dyDescent="0.2">
      <c r="Y4336" s="18"/>
    </row>
    <row r="4337" spans="25:25" x14ac:dyDescent="0.2">
      <c r="Y4337" s="18"/>
    </row>
    <row r="4338" spans="25:25" x14ac:dyDescent="0.2">
      <c r="Y4338" s="18"/>
    </row>
    <row r="4339" spans="25:25" x14ac:dyDescent="0.2">
      <c r="Y4339" s="18"/>
    </row>
    <row r="4340" spans="25:25" x14ac:dyDescent="0.2">
      <c r="Y4340" s="18"/>
    </row>
    <row r="4341" spans="25:25" x14ac:dyDescent="0.2">
      <c r="Y4341" s="18"/>
    </row>
    <row r="4342" spans="25:25" x14ac:dyDescent="0.2">
      <c r="Y4342" s="18"/>
    </row>
    <row r="4343" spans="25:25" x14ac:dyDescent="0.2">
      <c r="Y4343" s="18"/>
    </row>
    <row r="4344" spans="25:25" x14ac:dyDescent="0.2">
      <c r="Y4344" s="18"/>
    </row>
    <row r="4345" spans="25:25" x14ac:dyDescent="0.2">
      <c r="Y4345" s="18"/>
    </row>
    <row r="4346" spans="25:25" x14ac:dyDescent="0.2">
      <c r="Y4346" s="18"/>
    </row>
    <row r="4347" spans="25:25" x14ac:dyDescent="0.2">
      <c r="Y4347" s="18"/>
    </row>
    <row r="4348" spans="25:25" x14ac:dyDescent="0.2">
      <c r="Y4348" s="18"/>
    </row>
    <row r="4349" spans="25:25" x14ac:dyDescent="0.2">
      <c r="Y4349" s="18"/>
    </row>
    <row r="4350" spans="25:25" x14ac:dyDescent="0.2">
      <c r="Y4350" s="18"/>
    </row>
    <row r="4351" spans="25:25" x14ac:dyDescent="0.2">
      <c r="Y4351" s="18"/>
    </row>
    <row r="4352" spans="25:25" x14ac:dyDescent="0.2">
      <c r="Y4352" s="18"/>
    </row>
    <row r="4353" spans="25:25" x14ac:dyDescent="0.2">
      <c r="Y4353" s="18"/>
    </row>
    <row r="4354" spans="25:25" x14ac:dyDescent="0.2">
      <c r="Y4354" s="18"/>
    </row>
    <row r="4355" spans="25:25" x14ac:dyDescent="0.2">
      <c r="Y4355" s="18"/>
    </row>
    <row r="4356" spans="25:25" x14ac:dyDescent="0.2">
      <c r="Y4356" s="18"/>
    </row>
    <row r="4357" spans="25:25" x14ac:dyDescent="0.2">
      <c r="Y4357" s="18"/>
    </row>
    <row r="4358" spans="25:25" x14ac:dyDescent="0.2">
      <c r="Y4358" s="18"/>
    </row>
    <row r="4359" spans="25:25" x14ac:dyDescent="0.2">
      <c r="Y4359" s="18"/>
    </row>
    <row r="4360" spans="25:25" x14ac:dyDescent="0.2">
      <c r="Y4360" s="18"/>
    </row>
    <row r="4361" spans="25:25" x14ac:dyDescent="0.2">
      <c r="Y4361" s="18"/>
    </row>
    <row r="4362" spans="25:25" x14ac:dyDescent="0.2">
      <c r="Y4362" s="18"/>
    </row>
    <row r="4363" spans="25:25" x14ac:dyDescent="0.2">
      <c r="Y4363" s="18"/>
    </row>
    <row r="4364" spans="25:25" x14ac:dyDescent="0.2">
      <c r="Y4364" s="18"/>
    </row>
    <row r="4365" spans="25:25" x14ac:dyDescent="0.2">
      <c r="Y4365" s="18"/>
    </row>
    <row r="4366" spans="25:25" x14ac:dyDescent="0.2">
      <c r="Y4366" s="18"/>
    </row>
    <row r="4367" spans="25:25" x14ac:dyDescent="0.2">
      <c r="Y4367" s="18"/>
    </row>
    <row r="4368" spans="25:25" x14ac:dyDescent="0.2">
      <c r="Y4368" s="18"/>
    </row>
    <row r="4369" spans="25:25" x14ac:dyDescent="0.2">
      <c r="Y4369" s="18"/>
    </row>
    <row r="4370" spans="25:25" x14ac:dyDescent="0.2">
      <c r="Y4370" s="18"/>
    </row>
    <row r="4371" spans="25:25" x14ac:dyDescent="0.2">
      <c r="Y4371" s="18"/>
    </row>
    <row r="4372" spans="25:25" x14ac:dyDescent="0.2">
      <c r="Y4372" s="18"/>
    </row>
    <row r="4373" spans="25:25" x14ac:dyDescent="0.2">
      <c r="Y4373" s="18"/>
    </row>
    <row r="4374" spans="25:25" x14ac:dyDescent="0.2">
      <c r="Y4374" s="18"/>
    </row>
    <row r="4375" spans="25:25" x14ac:dyDescent="0.2">
      <c r="Y4375" s="18"/>
    </row>
    <row r="4376" spans="25:25" x14ac:dyDescent="0.2">
      <c r="Y4376" s="18"/>
    </row>
    <row r="4377" spans="25:25" x14ac:dyDescent="0.2">
      <c r="Y4377" s="18"/>
    </row>
    <row r="4378" spans="25:25" x14ac:dyDescent="0.2">
      <c r="Y4378" s="18"/>
    </row>
    <row r="4379" spans="25:25" x14ac:dyDescent="0.2">
      <c r="Y4379" s="18"/>
    </row>
    <row r="4380" spans="25:25" x14ac:dyDescent="0.2">
      <c r="Y4380" s="18"/>
    </row>
    <row r="4381" spans="25:25" x14ac:dyDescent="0.2">
      <c r="Y4381" s="18"/>
    </row>
    <row r="4382" spans="25:25" x14ac:dyDescent="0.2">
      <c r="Y4382" s="18"/>
    </row>
    <row r="4383" spans="25:25" x14ac:dyDescent="0.2">
      <c r="Y4383" s="18"/>
    </row>
    <row r="4384" spans="25:25" x14ac:dyDescent="0.2">
      <c r="Y4384" s="18"/>
    </row>
    <row r="4385" spans="25:25" x14ac:dyDescent="0.2">
      <c r="Y4385" s="18"/>
    </row>
    <row r="4386" spans="25:25" x14ac:dyDescent="0.2">
      <c r="Y4386" s="18"/>
    </row>
    <row r="4387" spans="25:25" x14ac:dyDescent="0.2">
      <c r="Y4387" s="18"/>
    </row>
    <row r="4388" spans="25:25" x14ac:dyDescent="0.2">
      <c r="Y4388" s="18"/>
    </row>
    <row r="4389" spans="25:25" x14ac:dyDescent="0.2">
      <c r="Y4389" s="18"/>
    </row>
    <row r="4390" spans="25:25" x14ac:dyDescent="0.2">
      <c r="Y4390" s="18"/>
    </row>
    <row r="4391" spans="25:25" x14ac:dyDescent="0.2">
      <c r="Y4391" s="18"/>
    </row>
    <row r="4392" spans="25:25" x14ac:dyDescent="0.2">
      <c r="Y4392" s="18"/>
    </row>
    <row r="4393" spans="25:25" x14ac:dyDescent="0.2">
      <c r="Y4393" s="18"/>
    </row>
    <row r="4394" spans="25:25" x14ac:dyDescent="0.2">
      <c r="Y4394" s="18"/>
    </row>
    <row r="4395" spans="25:25" x14ac:dyDescent="0.2">
      <c r="Y4395" s="18"/>
    </row>
    <row r="4396" spans="25:25" x14ac:dyDescent="0.2">
      <c r="Y4396" s="18"/>
    </row>
    <row r="4397" spans="25:25" x14ac:dyDescent="0.2">
      <c r="Y4397" s="18"/>
    </row>
    <row r="4398" spans="25:25" x14ac:dyDescent="0.2">
      <c r="Y4398" s="18"/>
    </row>
    <row r="4399" spans="25:25" x14ac:dyDescent="0.2">
      <c r="Y4399" s="18"/>
    </row>
    <row r="4400" spans="25:25" x14ac:dyDescent="0.2">
      <c r="Y4400" s="18"/>
    </row>
    <row r="4401" spans="25:25" x14ac:dyDescent="0.2">
      <c r="Y4401" s="18"/>
    </row>
    <row r="4402" spans="25:25" x14ac:dyDescent="0.2">
      <c r="Y4402" s="18"/>
    </row>
    <row r="4403" spans="25:25" x14ac:dyDescent="0.2">
      <c r="Y4403" s="18"/>
    </row>
    <row r="4404" spans="25:25" x14ac:dyDescent="0.2">
      <c r="Y4404" s="18"/>
    </row>
    <row r="4405" spans="25:25" x14ac:dyDescent="0.2">
      <c r="Y4405" s="18"/>
    </row>
    <row r="4406" spans="25:25" x14ac:dyDescent="0.2">
      <c r="Y4406" s="18"/>
    </row>
    <row r="4407" spans="25:25" x14ac:dyDescent="0.2">
      <c r="Y4407" s="18"/>
    </row>
    <row r="4408" spans="25:25" x14ac:dyDescent="0.2">
      <c r="Y4408" s="18"/>
    </row>
    <row r="4409" spans="25:25" x14ac:dyDescent="0.2">
      <c r="Y4409" s="18"/>
    </row>
    <row r="4410" spans="25:25" x14ac:dyDescent="0.2">
      <c r="Y4410" s="18"/>
    </row>
    <row r="4411" spans="25:25" x14ac:dyDescent="0.2">
      <c r="Y4411" s="18"/>
    </row>
    <row r="4412" spans="25:25" x14ac:dyDescent="0.2">
      <c r="Y4412" s="18"/>
    </row>
    <row r="4413" spans="25:25" x14ac:dyDescent="0.2">
      <c r="Y4413" s="18"/>
    </row>
    <row r="4414" spans="25:25" x14ac:dyDescent="0.2">
      <c r="Y4414" s="18"/>
    </row>
    <row r="4415" spans="25:25" x14ac:dyDescent="0.2">
      <c r="Y4415" s="18"/>
    </row>
    <row r="4416" spans="25:25" x14ac:dyDescent="0.2">
      <c r="Y4416" s="18"/>
    </row>
    <row r="4417" spans="25:25" x14ac:dyDescent="0.2">
      <c r="Y4417" s="18"/>
    </row>
    <row r="4418" spans="25:25" x14ac:dyDescent="0.2">
      <c r="Y4418" s="18"/>
    </row>
    <row r="4419" spans="25:25" x14ac:dyDescent="0.2">
      <c r="Y4419" s="18"/>
    </row>
    <row r="4420" spans="25:25" x14ac:dyDescent="0.2">
      <c r="Y4420" s="18"/>
    </row>
    <row r="4421" spans="25:25" x14ac:dyDescent="0.2">
      <c r="Y4421" s="18"/>
    </row>
    <row r="4422" spans="25:25" x14ac:dyDescent="0.2">
      <c r="Y4422" s="18"/>
    </row>
    <row r="4423" spans="25:25" x14ac:dyDescent="0.2">
      <c r="Y4423" s="18"/>
    </row>
    <row r="4424" spans="25:25" x14ac:dyDescent="0.2">
      <c r="Y4424" s="18"/>
    </row>
    <row r="4425" spans="25:25" x14ac:dyDescent="0.2">
      <c r="Y4425" s="18"/>
    </row>
    <row r="4426" spans="25:25" x14ac:dyDescent="0.2">
      <c r="Y4426" s="18"/>
    </row>
    <row r="4427" spans="25:25" x14ac:dyDescent="0.2">
      <c r="Y4427" s="18"/>
    </row>
    <row r="4428" spans="25:25" x14ac:dyDescent="0.2">
      <c r="Y4428" s="18"/>
    </row>
    <row r="4429" spans="25:25" x14ac:dyDescent="0.2">
      <c r="Y4429" s="18"/>
    </row>
    <row r="4430" spans="25:25" x14ac:dyDescent="0.2">
      <c r="Y4430" s="18"/>
    </row>
    <row r="4431" spans="25:25" x14ac:dyDescent="0.2">
      <c r="Y4431" s="18"/>
    </row>
    <row r="4432" spans="25:25" x14ac:dyDescent="0.2">
      <c r="Y4432" s="18"/>
    </row>
    <row r="4433" spans="25:25" x14ac:dyDescent="0.2">
      <c r="Y4433" s="18"/>
    </row>
    <row r="4434" spans="25:25" x14ac:dyDescent="0.2">
      <c r="Y4434" s="18"/>
    </row>
    <row r="4435" spans="25:25" x14ac:dyDescent="0.2">
      <c r="Y4435" s="18"/>
    </row>
    <row r="4436" spans="25:25" x14ac:dyDescent="0.2">
      <c r="Y4436" s="18"/>
    </row>
    <row r="4437" spans="25:25" x14ac:dyDescent="0.2">
      <c r="Y4437" s="18"/>
    </row>
    <row r="4438" spans="25:25" x14ac:dyDescent="0.2">
      <c r="Y4438" s="18"/>
    </row>
    <row r="4439" spans="25:25" x14ac:dyDescent="0.2">
      <c r="Y4439" s="18"/>
    </row>
    <row r="4440" spans="25:25" x14ac:dyDescent="0.2">
      <c r="Y4440" s="18"/>
    </row>
    <row r="4441" spans="25:25" x14ac:dyDescent="0.2">
      <c r="Y4441" s="18"/>
    </row>
    <row r="4442" spans="25:25" x14ac:dyDescent="0.2">
      <c r="Y4442" s="18"/>
    </row>
    <row r="4443" spans="25:25" x14ac:dyDescent="0.2">
      <c r="Y4443" s="18"/>
    </row>
    <row r="4444" spans="25:25" x14ac:dyDescent="0.2">
      <c r="Y4444" s="18"/>
    </row>
    <row r="4445" spans="25:25" x14ac:dyDescent="0.2">
      <c r="Y4445" s="18"/>
    </row>
    <row r="4446" spans="25:25" x14ac:dyDescent="0.2">
      <c r="Y4446" s="18"/>
    </row>
    <row r="4447" spans="25:25" x14ac:dyDescent="0.2">
      <c r="Y4447" s="18"/>
    </row>
    <row r="4448" spans="25:25" x14ac:dyDescent="0.2">
      <c r="Y4448" s="18"/>
    </row>
    <row r="4449" spans="25:25" x14ac:dyDescent="0.2">
      <c r="Y4449" s="18"/>
    </row>
    <row r="4450" spans="25:25" x14ac:dyDescent="0.2">
      <c r="Y4450" s="18"/>
    </row>
    <row r="4451" spans="25:25" x14ac:dyDescent="0.2">
      <c r="Y4451" s="18"/>
    </row>
    <row r="4452" spans="25:25" x14ac:dyDescent="0.2">
      <c r="Y4452" s="18"/>
    </row>
    <row r="4453" spans="25:25" x14ac:dyDescent="0.2">
      <c r="Y4453" s="18"/>
    </row>
    <row r="4454" spans="25:25" x14ac:dyDescent="0.2">
      <c r="Y4454" s="18"/>
    </row>
    <row r="4455" spans="25:25" x14ac:dyDescent="0.2">
      <c r="Y4455" s="18"/>
    </row>
    <row r="4456" spans="25:25" x14ac:dyDescent="0.2">
      <c r="Y4456" s="18"/>
    </row>
    <row r="4457" spans="25:25" x14ac:dyDescent="0.2">
      <c r="Y4457" s="18"/>
    </row>
    <row r="4458" spans="25:25" x14ac:dyDescent="0.2">
      <c r="Y4458" s="18"/>
    </row>
    <row r="4459" spans="25:25" x14ac:dyDescent="0.2">
      <c r="Y4459" s="18"/>
    </row>
    <row r="4460" spans="25:25" x14ac:dyDescent="0.2">
      <c r="Y4460" s="18"/>
    </row>
    <row r="4461" spans="25:25" x14ac:dyDescent="0.2">
      <c r="Y4461" s="18"/>
    </row>
    <row r="4462" spans="25:25" x14ac:dyDescent="0.2">
      <c r="Y4462" s="18"/>
    </row>
    <row r="4463" spans="25:25" x14ac:dyDescent="0.2">
      <c r="Y4463" s="18"/>
    </row>
    <row r="4464" spans="25:25" x14ac:dyDescent="0.2">
      <c r="Y4464" s="18"/>
    </row>
    <row r="4465" spans="25:25" x14ac:dyDescent="0.2">
      <c r="Y4465" s="18"/>
    </row>
    <row r="4466" spans="25:25" x14ac:dyDescent="0.2">
      <c r="Y4466" s="18"/>
    </row>
    <row r="4467" spans="25:25" x14ac:dyDescent="0.2">
      <c r="Y4467" s="18"/>
    </row>
    <row r="4468" spans="25:25" x14ac:dyDescent="0.2">
      <c r="Y4468" s="18"/>
    </row>
    <row r="4469" spans="25:25" x14ac:dyDescent="0.2">
      <c r="Y4469" s="18"/>
    </row>
    <row r="4470" spans="25:25" x14ac:dyDescent="0.2">
      <c r="Y4470" s="18"/>
    </row>
    <row r="4471" spans="25:25" x14ac:dyDescent="0.2">
      <c r="Y4471" s="18"/>
    </row>
    <row r="4472" spans="25:25" x14ac:dyDescent="0.2">
      <c r="Y4472" s="18"/>
    </row>
    <row r="4473" spans="25:25" x14ac:dyDescent="0.2">
      <c r="Y4473" s="18"/>
    </row>
    <row r="4474" spans="25:25" x14ac:dyDescent="0.2">
      <c r="Y4474" s="18"/>
    </row>
    <row r="4475" spans="25:25" x14ac:dyDescent="0.2">
      <c r="Y4475" s="18"/>
    </row>
    <row r="4476" spans="25:25" x14ac:dyDescent="0.2">
      <c r="Y4476" s="18"/>
    </row>
    <row r="4477" spans="25:25" x14ac:dyDescent="0.2">
      <c r="Y4477" s="18"/>
    </row>
    <row r="4478" spans="25:25" x14ac:dyDescent="0.2">
      <c r="Y4478" s="18"/>
    </row>
    <row r="4479" spans="25:25" x14ac:dyDescent="0.2">
      <c r="Y4479" s="18"/>
    </row>
    <row r="4480" spans="25:25" x14ac:dyDescent="0.2">
      <c r="Y4480" s="18"/>
    </row>
    <row r="4481" spans="25:25" x14ac:dyDescent="0.2">
      <c r="Y4481" s="18"/>
    </row>
    <row r="4482" spans="25:25" x14ac:dyDescent="0.2">
      <c r="Y4482" s="18"/>
    </row>
    <row r="4483" spans="25:25" x14ac:dyDescent="0.2">
      <c r="Y4483" s="18"/>
    </row>
    <row r="4484" spans="25:25" x14ac:dyDescent="0.2">
      <c r="Y4484" s="18"/>
    </row>
    <row r="4485" spans="25:25" x14ac:dyDescent="0.2">
      <c r="Y4485" s="18"/>
    </row>
    <row r="4486" spans="25:25" x14ac:dyDescent="0.2">
      <c r="Y4486" s="18"/>
    </row>
    <row r="4487" spans="25:25" x14ac:dyDescent="0.2">
      <c r="Y4487" s="18"/>
    </row>
    <row r="4488" spans="25:25" x14ac:dyDescent="0.2">
      <c r="Y4488" s="18"/>
    </row>
    <row r="4489" spans="25:25" x14ac:dyDescent="0.2">
      <c r="Y4489" s="18"/>
    </row>
    <row r="4490" spans="25:25" x14ac:dyDescent="0.2">
      <c r="Y4490" s="18"/>
    </row>
    <row r="4491" spans="25:25" x14ac:dyDescent="0.2">
      <c r="Y4491" s="18"/>
    </row>
    <row r="4492" spans="25:25" x14ac:dyDescent="0.2">
      <c r="Y4492" s="18"/>
    </row>
    <row r="4493" spans="25:25" x14ac:dyDescent="0.2">
      <c r="Y4493" s="18"/>
    </row>
    <row r="4494" spans="25:25" x14ac:dyDescent="0.2">
      <c r="Y4494" s="18"/>
    </row>
    <row r="4495" spans="25:25" x14ac:dyDescent="0.2">
      <c r="Y4495" s="18"/>
    </row>
    <row r="4496" spans="25:25" x14ac:dyDescent="0.2">
      <c r="Y4496" s="18"/>
    </row>
    <row r="4497" spans="25:25" x14ac:dyDescent="0.2">
      <c r="Y4497" s="18"/>
    </row>
    <row r="4498" spans="25:25" x14ac:dyDescent="0.2">
      <c r="Y4498" s="18"/>
    </row>
    <row r="4499" spans="25:25" x14ac:dyDescent="0.2">
      <c r="Y4499" s="18"/>
    </row>
    <row r="4500" spans="25:25" x14ac:dyDescent="0.2">
      <c r="Y4500" s="18"/>
    </row>
    <row r="4501" spans="25:25" x14ac:dyDescent="0.2">
      <c r="Y4501" s="18"/>
    </row>
    <row r="4502" spans="25:25" x14ac:dyDescent="0.2">
      <c r="Y4502" s="18"/>
    </row>
    <row r="4503" spans="25:25" x14ac:dyDescent="0.2">
      <c r="Y4503" s="18"/>
    </row>
    <row r="4504" spans="25:25" x14ac:dyDescent="0.2">
      <c r="Y4504" s="18"/>
    </row>
    <row r="4505" spans="25:25" x14ac:dyDescent="0.2">
      <c r="Y4505" s="18"/>
    </row>
    <row r="4506" spans="25:25" x14ac:dyDescent="0.2">
      <c r="Y4506" s="18"/>
    </row>
    <row r="4507" spans="25:25" x14ac:dyDescent="0.2">
      <c r="Y4507" s="18"/>
    </row>
    <row r="4508" spans="25:25" x14ac:dyDescent="0.2">
      <c r="Y4508" s="18"/>
    </row>
    <row r="4509" spans="25:25" x14ac:dyDescent="0.2">
      <c r="Y4509" s="18"/>
    </row>
    <row r="4510" spans="25:25" x14ac:dyDescent="0.2">
      <c r="Y4510" s="18"/>
    </row>
    <row r="4511" spans="25:25" x14ac:dyDescent="0.2">
      <c r="Y4511" s="18"/>
    </row>
    <row r="4512" spans="25:25" x14ac:dyDescent="0.2">
      <c r="Y4512" s="18"/>
    </row>
    <row r="4513" spans="25:25" x14ac:dyDescent="0.2">
      <c r="Y4513" s="18"/>
    </row>
    <row r="4514" spans="25:25" x14ac:dyDescent="0.2">
      <c r="Y4514" s="18"/>
    </row>
    <row r="4515" spans="25:25" x14ac:dyDescent="0.2">
      <c r="Y4515" s="18"/>
    </row>
    <row r="4516" spans="25:25" x14ac:dyDescent="0.2">
      <c r="Y4516" s="18"/>
    </row>
    <row r="4517" spans="25:25" x14ac:dyDescent="0.2">
      <c r="Y4517" s="18"/>
    </row>
    <row r="4518" spans="25:25" x14ac:dyDescent="0.2">
      <c r="Y4518" s="18"/>
    </row>
    <row r="4519" spans="25:25" x14ac:dyDescent="0.2">
      <c r="Y4519" s="18"/>
    </row>
    <row r="4520" spans="25:25" x14ac:dyDescent="0.2">
      <c r="Y4520" s="18"/>
    </row>
    <row r="4521" spans="25:25" x14ac:dyDescent="0.2">
      <c r="Y4521" s="18"/>
    </row>
    <row r="4522" spans="25:25" x14ac:dyDescent="0.2">
      <c r="Y4522" s="18"/>
    </row>
    <row r="4523" spans="25:25" x14ac:dyDescent="0.2">
      <c r="Y4523" s="18"/>
    </row>
    <row r="4524" spans="25:25" x14ac:dyDescent="0.2">
      <c r="Y4524" s="18"/>
    </row>
    <row r="4525" spans="25:25" x14ac:dyDescent="0.2">
      <c r="Y4525" s="18"/>
    </row>
    <row r="4526" spans="25:25" x14ac:dyDescent="0.2">
      <c r="Y4526" s="18"/>
    </row>
    <row r="4527" spans="25:25" x14ac:dyDescent="0.2">
      <c r="Y4527" s="18"/>
    </row>
    <row r="4528" spans="25:25" x14ac:dyDescent="0.2">
      <c r="Y4528" s="18"/>
    </row>
    <row r="4529" spans="25:25" x14ac:dyDescent="0.2">
      <c r="Y4529" s="18"/>
    </row>
    <row r="4530" spans="25:25" x14ac:dyDescent="0.2">
      <c r="Y4530" s="18"/>
    </row>
    <row r="4531" spans="25:25" x14ac:dyDescent="0.2">
      <c r="Y4531" s="18"/>
    </row>
    <row r="4532" spans="25:25" x14ac:dyDescent="0.2">
      <c r="Y4532" s="18"/>
    </row>
    <row r="4533" spans="25:25" x14ac:dyDescent="0.2">
      <c r="Y4533" s="18"/>
    </row>
    <row r="4534" spans="25:25" x14ac:dyDescent="0.2">
      <c r="Y4534" s="18"/>
    </row>
    <row r="4535" spans="25:25" x14ac:dyDescent="0.2">
      <c r="Y4535" s="18"/>
    </row>
    <row r="4536" spans="25:25" x14ac:dyDescent="0.2">
      <c r="Y4536" s="18"/>
    </row>
    <row r="4537" spans="25:25" x14ac:dyDescent="0.2">
      <c r="Y4537" s="18"/>
    </row>
    <row r="4538" spans="25:25" x14ac:dyDescent="0.2">
      <c r="Y4538" s="18"/>
    </row>
    <row r="4539" spans="25:25" x14ac:dyDescent="0.2">
      <c r="Y4539" s="18"/>
    </row>
    <row r="4540" spans="25:25" x14ac:dyDescent="0.2">
      <c r="Y4540" s="18"/>
    </row>
    <row r="4541" spans="25:25" x14ac:dyDescent="0.2">
      <c r="Y4541" s="18"/>
    </row>
    <row r="4542" spans="25:25" x14ac:dyDescent="0.2">
      <c r="Y4542" s="18"/>
    </row>
    <row r="4543" spans="25:25" x14ac:dyDescent="0.2">
      <c r="Y4543" s="18"/>
    </row>
    <row r="4544" spans="25:25" x14ac:dyDescent="0.2">
      <c r="Y4544" s="18"/>
    </row>
    <row r="4545" spans="25:25" x14ac:dyDescent="0.2">
      <c r="Y4545" s="18"/>
    </row>
    <row r="4546" spans="25:25" x14ac:dyDescent="0.2">
      <c r="Y4546" s="18"/>
    </row>
    <row r="4547" spans="25:25" x14ac:dyDescent="0.2">
      <c r="Y4547" s="18"/>
    </row>
    <row r="4548" spans="25:25" x14ac:dyDescent="0.2">
      <c r="Y4548" s="18"/>
    </row>
    <row r="4549" spans="25:25" x14ac:dyDescent="0.2">
      <c r="Y4549" s="18"/>
    </row>
    <row r="4550" spans="25:25" x14ac:dyDescent="0.2">
      <c r="Y4550" s="18"/>
    </row>
    <row r="4551" spans="25:25" x14ac:dyDescent="0.2">
      <c r="Y4551" s="18"/>
    </row>
    <row r="4552" spans="25:25" x14ac:dyDescent="0.2">
      <c r="Y4552" s="18"/>
    </row>
    <row r="4553" spans="25:25" x14ac:dyDescent="0.2">
      <c r="Y4553" s="18"/>
    </row>
    <row r="4554" spans="25:25" x14ac:dyDescent="0.2">
      <c r="Y4554" s="18"/>
    </row>
    <row r="4555" spans="25:25" x14ac:dyDescent="0.2">
      <c r="Y4555" s="18"/>
    </row>
    <row r="4556" spans="25:25" x14ac:dyDescent="0.2">
      <c r="Y4556" s="18"/>
    </row>
    <row r="4557" spans="25:25" x14ac:dyDescent="0.2">
      <c r="Y4557" s="18"/>
    </row>
    <row r="4558" spans="25:25" x14ac:dyDescent="0.2">
      <c r="Y4558" s="18"/>
    </row>
    <row r="4559" spans="25:25" x14ac:dyDescent="0.2">
      <c r="Y4559" s="18"/>
    </row>
    <row r="4560" spans="25:25" x14ac:dyDescent="0.2">
      <c r="Y4560" s="18"/>
    </row>
    <row r="4561" spans="25:25" x14ac:dyDescent="0.2">
      <c r="Y4561" s="18"/>
    </row>
    <row r="4562" spans="25:25" x14ac:dyDescent="0.2">
      <c r="Y4562" s="18"/>
    </row>
    <row r="4563" spans="25:25" x14ac:dyDescent="0.2">
      <c r="Y4563" s="18"/>
    </row>
    <row r="4564" spans="25:25" x14ac:dyDescent="0.2">
      <c r="Y4564" s="18"/>
    </row>
    <row r="4565" spans="25:25" x14ac:dyDescent="0.2">
      <c r="Y4565" s="18"/>
    </row>
    <row r="4566" spans="25:25" x14ac:dyDescent="0.2">
      <c r="Y4566" s="18"/>
    </row>
    <row r="4567" spans="25:25" x14ac:dyDescent="0.2">
      <c r="Y4567" s="18"/>
    </row>
    <row r="4568" spans="25:25" x14ac:dyDescent="0.2">
      <c r="Y4568" s="18"/>
    </row>
    <row r="4569" spans="25:25" x14ac:dyDescent="0.2">
      <c r="Y4569" s="18"/>
    </row>
    <row r="4570" spans="25:25" x14ac:dyDescent="0.2">
      <c r="Y4570" s="18"/>
    </row>
    <row r="4571" spans="25:25" x14ac:dyDescent="0.2">
      <c r="Y4571" s="18"/>
    </row>
    <row r="4572" spans="25:25" x14ac:dyDescent="0.2">
      <c r="Y4572" s="18"/>
    </row>
    <row r="4573" spans="25:25" x14ac:dyDescent="0.2">
      <c r="Y4573" s="18"/>
    </row>
    <row r="4574" spans="25:25" x14ac:dyDescent="0.2">
      <c r="Y4574" s="18"/>
    </row>
    <row r="4575" spans="25:25" x14ac:dyDescent="0.2">
      <c r="Y4575" s="18"/>
    </row>
    <row r="4576" spans="25:25" x14ac:dyDescent="0.2">
      <c r="Y4576" s="18"/>
    </row>
    <row r="4577" spans="25:25" x14ac:dyDescent="0.2">
      <c r="Y4577" s="18"/>
    </row>
    <row r="4578" spans="25:25" x14ac:dyDescent="0.2">
      <c r="Y4578" s="18"/>
    </row>
    <row r="4579" spans="25:25" x14ac:dyDescent="0.2">
      <c r="Y4579" s="18"/>
    </row>
    <row r="4580" spans="25:25" x14ac:dyDescent="0.2">
      <c r="Y4580" s="18"/>
    </row>
    <row r="4581" spans="25:25" x14ac:dyDescent="0.2">
      <c r="Y4581" s="18"/>
    </row>
    <row r="4582" spans="25:25" x14ac:dyDescent="0.2">
      <c r="Y4582" s="18"/>
    </row>
    <row r="4583" spans="25:25" x14ac:dyDescent="0.2">
      <c r="Y4583" s="18"/>
    </row>
    <row r="4584" spans="25:25" x14ac:dyDescent="0.2">
      <c r="Y4584" s="18"/>
    </row>
    <row r="4585" spans="25:25" x14ac:dyDescent="0.2">
      <c r="Y4585" s="18"/>
    </row>
    <row r="4586" spans="25:25" x14ac:dyDescent="0.2">
      <c r="Y4586" s="18"/>
    </row>
    <row r="4587" spans="25:25" x14ac:dyDescent="0.2">
      <c r="Y4587" s="18"/>
    </row>
    <row r="4588" spans="25:25" x14ac:dyDescent="0.2">
      <c r="Y4588" s="18"/>
    </row>
    <row r="4589" spans="25:25" x14ac:dyDescent="0.2">
      <c r="Y4589" s="18"/>
    </row>
    <row r="4590" spans="25:25" x14ac:dyDescent="0.2">
      <c r="Y4590" s="18"/>
    </row>
    <row r="4591" spans="25:25" x14ac:dyDescent="0.2">
      <c r="Y4591" s="18"/>
    </row>
    <row r="4592" spans="25:25" x14ac:dyDescent="0.2">
      <c r="Y4592" s="18"/>
    </row>
    <row r="4593" spans="25:25" x14ac:dyDescent="0.2">
      <c r="Y4593" s="18"/>
    </row>
    <row r="4594" spans="25:25" x14ac:dyDescent="0.2">
      <c r="Y4594" s="18"/>
    </row>
    <row r="4595" spans="25:25" x14ac:dyDescent="0.2">
      <c r="Y4595" s="18"/>
    </row>
    <row r="4596" spans="25:25" x14ac:dyDescent="0.2">
      <c r="Y4596" s="18"/>
    </row>
    <row r="4597" spans="25:25" x14ac:dyDescent="0.2">
      <c r="Y4597" s="18"/>
    </row>
    <row r="4598" spans="25:25" x14ac:dyDescent="0.2">
      <c r="Y4598" s="18"/>
    </row>
    <row r="4599" spans="25:25" x14ac:dyDescent="0.2">
      <c r="Y4599" s="18"/>
    </row>
    <row r="4600" spans="25:25" x14ac:dyDescent="0.2">
      <c r="Y4600" s="18"/>
    </row>
    <row r="4601" spans="25:25" x14ac:dyDescent="0.2">
      <c r="Y4601" s="18"/>
    </row>
    <row r="4602" spans="25:25" x14ac:dyDescent="0.2">
      <c r="Y4602" s="18"/>
    </row>
    <row r="4603" spans="25:25" x14ac:dyDescent="0.2">
      <c r="Y4603" s="18"/>
    </row>
    <row r="4604" spans="25:25" x14ac:dyDescent="0.2">
      <c r="Y4604" s="18"/>
    </row>
    <row r="4605" spans="25:25" x14ac:dyDescent="0.2">
      <c r="Y4605" s="18"/>
    </row>
    <row r="4606" spans="25:25" x14ac:dyDescent="0.2">
      <c r="Y4606" s="18"/>
    </row>
    <row r="4607" spans="25:25" x14ac:dyDescent="0.2">
      <c r="Y4607" s="18"/>
    </row>
    <row r="4608" spans="25:25" x14ac:dyDescent="0.2">
      <c r="Y4608" s="18"/>
    </row>
    <row r="4609" spans="25:25" x14ac:dyDescent="0.2">
      <c r="Y4609" s="18"/>
    </row>
    <row r="4610" spans="25:25" x14ac:dyDescent="0.2">
      <c r="Y4610" s="18"/>
    </row>
    <row r="4611" spans="25:25" x14ac:dyDescent="0.2">
      <c r="Y4611" s="18"/>
    </row>
    <row r="4612" spans="25:25" x14ac:dyDescent="0.2">
      <c r="Y4612" s="18"/>
    </row>
    <row r="4613" spans="25:25" x14ac:dyDescent="0.2">
      <c r="Y4613" s="18"/>
    </row>
    <row r="4614" spans="25:25" x14ac:dyDescent="0.2">
      <c r="Y4614" s="18"/>
    </row>
    <row r="4615" spans="25:25" x14ac:dyDescent="0.2">
      <c r="Y4615" s="18"/>
    </row>
    <row r="4616" spans="25:25" x14ac:dyDescent="0.2">
      <c r="Y4616" s="18"/>
    </row>
    <row r="4617" spans="25:25" x14ac:dyDescent="0.2">
      <c r="Y4617" s="18"/>
    </row>
    <row r="4618" spans="25:25" x14ac:dyDescent="0.2">
      <c r="Y4618" s="18"/>
    </row>
    <row r="4619" spans="25:25" x14ac:dyDescent="0.2">
      <c r="Y4619" s="18"/>
    </row>
    <row r="4620" spans="25:25" x14ac:dyDescent="0.2">
      <c r="Y4620" s="18"/>
    </row>
    <row r="4621" spans="25:25" x14ac:dyDescent="0.2">
      <c r="Y4621" s="18"/>
    </row>
    <row r="4622" spans="25:25" x14ac:dyDescent="0.2">
      <c r="Y4622" s="18"/>
    </row>
    <row r="4623" spans="25:25" x14ac:dyDescent="0.2">
      <c r="Y4623" s="18"/>
    </row>
    <row r="4624" spans="25:25" x14ac:dyDescent="0.2">
      <c r="Y4624" s="18"/>
    </row>
    <row r="4625" spans="25:25" x14ac:dyDescent="0.2">
      <c r="Y4625" s="18"/>
    </row>
    <row r="4626" spans="25:25" x14ac:dyDescent="0.2">
      <c r="Y4626" s="18"/>
    </row>
    <row r="4627" spans="25:25" x14ac:dyDescent="0.2">
      <c r="Y4627" s="18"/>
    </row>
    <row r="4628" spans="25:25" x14ac:dyDescent="0.2">
      <c r="Y4628" s="18"/>
    </row>
    <row r="4629" spans="25:25" x14ac:dyDescent="0.2">
      <c r="Y4629" s="18"/>
    </row>
    <row r="4630" spans="25:25" x14ac:dyDescent="0.2">
      <c r="Y4630" s="18"/>
    </row>
    <row r="4631" spans="25:25" x14ac:dyDescent="0.2">
      <c r="Y4631" s="18"/>
    </row>
    <row r="4632" spans="25:25" x14ac:dyDescent="0.2">
      <c r="Y4632" s="18"/>
    </row>
    <row r="4633" spans="25:25" x14ac:dyDescent="0.2">
      <c r="Y4633" s="18"/>
    </row>
    <row r="4634" spans="25:25" x14ac:dyDescent="0.2">
      <c r="Y4634" s="18"/>
    </row>
    <row r="4635" spans="25:25" x14ac:dyDescent="0.2">
      <c r="Y4635" s="18"/>
    </row>
    <row r="4636" spans="25:25" x14ac:dyDescent="0.2">
      <c r="Y4636" s="18"/>
    </row>
    <row r="4637" spans="25:25" x14ac:dyDescent="0.2">
      <c r="Y4637" s="18"/>
    </row>
    <row r="4638" spans="25:25" x14ac:dyDescent="0.2">
      <c r="Y4638" s="18"/>
    </row>
    <row r="4639" spans="25:25" x14ac:dyDescent="0.2">
      <c r="Y4639" s="18"/>
    </row>
    <row r="4640" spans="25:25" x14ac:dyDescent="0.2">
      <c r="Y4640" s="18"/>
    </row>
    <row r="4641" spans="25:25" x14ac:dyDescent="0.2">
      <c r="Y4641" s="18"/>
    </row>
    <row r="4642" spans="25:25" x14ac:dyDescent="0.2">
      <c r="Y4642" s="18"/>
    </row>
    <row r="4643" spans="25:25" x14ac:dyDescent="0.2">
      <c r="Y4643" s="18"/>
    </row>
    <row r="4644" spans="25:25" x14ac:dyDescent="0.2">
      <c r="Y4644" s="18"/>
    </row>
    <row r="4645" spans="25:25" x14ac:dyDescent="0.2">
      <c r="Y4645" s="18"/>
    </row>
    <row r="4646" spans="25:25" x14ac:dyDescent="0.2">
      <c r="Y4646" s="18"/>
    </row>
    <row r="4647" spans="25:25" x14ac:dyDescent="0.2">
      <c r="Y4647" s="18"/>
    </row>
    <row r="4648" spans="25:25" x14ac:dyDescent="0.2">
      <c r="Y4648" s="18"/>
    </row>
    <row r="4649" spans="25:25" x14ac:dyDescent="0.2">
      <c r="Y4649" s="18"/>
    </row>
    <row r="4650" spans="25:25" x14ac:dyDescent="0.2">
      <c r="Y4650" s="18"/>
    </row>
    <row r="4651" spans="25:25" x14ac:dyDescent="0.2">
      <c r="Y4651" s="18"/>
    </row>
    <row r="4652" spans="25:25" x14ac:dyDescent="0.2">
      <c r="Y4652" s="18"/>
    </row>
    <row r="4653" spans="25:25" x14ac:dyDescent="0.2">
      <c r="Y4653" s="18"/>
    </row>
    <row r="4654" spans="25:25" x14ac:dyDescent="0.2">
      <c r="Y4654" s="18"/>
    </row>
    <row r="4655" spans="25:25" x14ac:dyDescent="0.2">
      <c r="Y4655" s="18"/>
    </row>
    <row r="4656" spans="25:25" x14ac:dyDescent="0.2">
      <c r="Y4656" s="18"/>
    </row>
    <row r="4657" spans="25:25" x14ac:dyDescent="0.2">
      <c r="Y4657" s="18"/>
    </row>
    <row r="4658" spans="25:25" x14ac:dyDescent="0.2">
      <c r="Y4658" s="18"/>
    </row>
    <row r="4659" spans="25:25" x14ac:dyDescent="0.2">
      <c r="Y4659" s="18"/>
    </row>
    <row r="4660" spans="25:25" x14ac:dyDescent="0.2">
      <c r="Y4660" s="18"/>
    </row>
    <row r="4661" spans="25:25" x14ac:dyDescent="0.2">
      <c r="Y4661" s="18"/>
    </row>
    <row r="4662" spans="25:25" x14ac:dyDescent="0.2">
      <c r="Y4662" s="18"/>
    </row>
    <row r="4663" spans="25:25" x14ac:dyDescent="0.2">
      <c r="Y4663" s="18"/>
    </row>
    <row r="4664" spans="25:25" x14ac:dyDescent="0.2">
      <c r="Y4664" s="18"/>
    </row>
    <row r="4665" spans="25:25" x14ac:dyDescent="0.2">
      <c r="Y4665" s="18"/>
    </row>
    <row r="4666" spans="25:25" x14ac:dyDescent="0.2">
      <c r="Y4666" s="18"/>
    </row>
    <row r="4667" spans="25:25" x14ac:dyDescent="0.2">
      <c r="Y4667" s="18"/>
    </row>
    <row r="4668" spans="25:25" x14ac:dyDescent="0.2">
      <c r="Y4668" s="18"/>
    </row>
    <row r="4669" spans="25:25" x14ac:dyDescent="0.2">
      <c r="Y4669" s="18"/>
    </row>
    <row r="4670" spans="25:25" x14ac:dyDescent="0.2">
      <c r="Y4670" s="18"/>
    </row>
    <row r="4671" spans="25:25" x14ac:dyDescent="0.2">
      <c r="Y4671" s="18"/>
    </row>
    <row r="4672" spans="25:25" x14ac:dyDescent="0.2">
      <c r="Y4672" s="18"/>
    </row>
    <row r="4673" spans="25:25" x14ac:dyDescent="0.2">
      <c r="Y4673" s="18"/>
    </row>
    <row r="4674" spans="25:25" x14ac:dyDescent="0.2">
      <c r="Y4674" s="18"/>
    </row>
    <row r="4675" spans="25:25" x14ac:dyDescent="0.2">
      <c r="Y4675" s="18"/>
    </row>
    <row r="4676" spans="25:25" x14ac:dyDescent="0.2">
      <c r="Y4676" s="18"/>
    </row>
    <row r="4677" spans="25:25" x14ac:dyDescent="0.2">
      <c r="Y4677" s="18"/>
    </row>
    <row r="4678" spans="25:25" x14ac:dyDescent="0.2">
      <c r="Y4678" s="18"/>
    </row>
    <row r="4679" spans="25:25" x14ac:dyDescent="0.2">
      <c r="Y4679" s="18"/>
    </row>
    <row r="4680" spans="25:25" x14ac:dyDescent="0.2">
      <c r="Y4680" s="18"/>
    </row>
    <row r="4681" spans="25:25" x14ac:dyDescent="0.2">
      <c r="Y4681" s="18"/>
    </row>
    <row r="4682" spans="25:25" x14ac:dyDescent="0.2">
      <c r="Y4682" s="18"/>
    </row>
    <row r="4683" spans="25:25" x14ac:dyDescent="0.2">
      <c r="Y4683" s="18"/>
    </row>
    <row r="4684" spans="25:25" x14ac:dyDescent="0.2">
      <c r="Y4684" s="18"/>
    </row>
    <row r="4685" spans="25:25" x14ac:dyDescent="0.2">
      <c r="Y4685" s="18"/>
    </row>
    <row r="4686" spans="25:25" x14ac:dyDescent="0.2">
      <c r="Y4686" s="18"/>
    </row>
    <row r="4687" spans="25:25" x14ac:dyDescent="0.2">
      <c r="Y4687" s="18"/>
    </row>
    <row r="4688" spans="25:25" x14ac:dyDescent="0.2">
      <c r="Y4688" s="18"/>
    </row>
    <row r="4689" spans="25:25" x14ac:dyDescent="0.2">
      <c r="Y4689" s="18"/>
    </row>
    <row r="4690" spans="25:25" x14ac:dyDescent="0.2">
      <c r="Y4690" s="18"/>
    </row>
    <row r="4691" spans="25:25" x14ac:dyDescent="0.2">
      <c r="Y4691" s="18"/>
    </row>
    <row r="4692" spans="25:25" x14ac:dyDescent="0.2">
      <c r="Y4692" s="18"/>
    </row>
    <row r="4693" spans="25:25" x14ac:dyDescent="0.2">
      <c r="Y4693" s="18"/>
    </row>
    <row r="4694" spans="25:25" x14ac:dyDescent="0.2">
      <c r="Y4694" s="18"/>
    </row>
    <row r="4695" spans="25:25" x14ac:dyDescent="0.2">
      <c r="Y4695" s="18"/>
    </row>
    <row r="4696" spans="25:25" x14ac:dyDescent="0.2">
      <c r="Y4696" s="18"/>
    </row>
    <row r="4697" spans="25:25" x14ac:dyDescent="0.2">
      <c r="Y4697" s="18"/>
    </row>
    <row r="4698" spans="25:25" x14ac:dyDescent="0.2">
      <c r="Y4698" s="18"/>
    </row>
    <row r="4699" spans="25:25" x14ac:dyDescent="0.2">
      <c r="Y4699" s="18"/>
    </row>
    <row r="4700" spans="25:25" x14ac:dyDescent="0.2">
      <c r="Y4700" s="18"/>
    </row>
    <row r="4701" spans="25:25" x14ac:dyDescent="0.2">
      <c r="Y4701" s="18"/>
    </row>
    <row r="4702" spans="25:25" x14ac:dyDescent="0.2">
      <c r="Y4702" s="18"/>
    </row>
    <row r="4703" spans="25:25" x14ac:dyDescent="0.2">
      <c r="Y4703" s="18"/>
    </row>
    <row r="4704" spans="25:25" x14ac:dyDescent="0.2">
      <c r="Y4704" s="18"/>
    </row>
    <row r="4705" spans="25:25" x14ac:dyDescent="0.2">
      <c r="Y4705" s="18"/>
    </row>
    <row r="4706" spans="25:25" x14ac:dyDescent="0.2">
      <c r="Y4706" s="18"/>
    </row>
    <row r="4707" spans="25:25" x14ac:dyDescent="0.2">
      <c r="Y4707" s="18"/>
    </row>
    <row r="4708" spans="25:25" x14ac:dyDescent="0.2">
      <c r="Y4708" s="18"/>
    </row>
    <row r="4709" spans="25:25" x14ac:dyDescent="0.2">
      <c r="Y4709" s="18"/>
    </row>
    <row r="4710" spans="25:25" x14ac:dyDescent="0.2">
      <c r="Y4710" s="18"/>
    </row>
    <row r="4711" spans="25:25" x14ac:dyDescent="0.2">
      <c r="Y4711" s="18"/>
    </row>
    <row r="4712" spans="25:25" x14ac:dyDescent="0.2">
      <c r="Y4712" s="18"/>
    </row>
    <row r="4713" spans="25:25" x14ac:dyDescent="0.2">
      <c r="Y4713" s="18"/>
    </row>
    <row r="4714" spans="25:25" x14ac:dyDescent="0.2">
      <c r="Y4714" s="18"/>
    </row>
    <row r="4715" spans="25:25" x14ac:dyDescent="0.2">
      <c r="Y4715" s="18"/>
    </row>
    <row r="4716" spans="25:25" x14ac:dyDescent="0.2">
      <c r="Y4716" s="18"/>
    </row>
    <row r="4717" spans="25:25" x14ac:dyDescent="0.2">
      <c r="Y4717" s="18"/>
    </row>
    <row r="4718" spans="25:25" x14ac:dyDescent="0.2">
      <c r="Y4718" s="18"/>
    </row>
    <row r="4719" spans="25:25" x14ac:dyDescent="0.2">
      <c r="Y4719" s="18"/>
    </row>
    <row r="4720" spans="25:25" x14ac:dyDescent="0.2">
      <c r="Y4720" s="18"/>
    </row>
    <row r="4721" spans="25:25" x14ac:dyDescent="0.2">
      <c r="Y4721" s="18"/>
    </row>
    <row r="4722" spans="25:25" x14ac:dyDescent="0.2">
      <c r="Y4722" s="18"/>
    </row>
    <row r="4723" spans="25:25" x14ac:dyDescent="0.2">
      <c r="Y4723" s="18"/>
    </row>
    <row r="4724" spans="25:25" x14ac:dyDescent="0.2">
      <c r="Y4724" s="18"/>
    </row>
    <row r="4725" spans="25:25" x14ac:dyDescent="0.2">
      <c r="Y4725" s="18"/>
    </row>
    <row r="4726" spans="25:25" x14ac:dyDescent="0.2">
      <c r="Y4726" s="18"/>
    </row>
    <row r="4727" spans="25:25" x14ac:dyDescent="0.2">
      <c r="Y4727" s="18"/>
    </row>
    <row r="4728" spans="25:25" x14ac:dyDescent="0.2">
      <c r="Y4728" s="18"/>
    </row>
    <row r="4729" spans="25:25" x14ac:dyDescent="0.2">
      <c r="Y4729" s="18"/>
    </row>
    <row r="4730" spans="25:25" x14ac:dyDescent="0.2">
      <c r="Y4730" s="18"/>
    </row>
    <row r="4731" spans="25:25" x14ac:dyDescent="0.2">
      <c r="Y4731" s="18"/>
    </row>
    <row r="4732" spans="25:25" x14ac:dyDescent="0.2">
      <c r="Y4732" s="18"/>
    </row>
    <row r="4733" spans="25:25" x14ac:dyDescent="0.2">
      <c r="Y4733" s="18"/>
    </row>
    <row r="4734" spans="25:25" x14ac:dyDescent="0.2">
      <c r="Y4734" s="18"/>
    </row>
    <row r="4735" spans="25:25" x14ac:dyDescent="0.2">
      <c r="Y4735" s="18"/>
    </row>
    <row r="4736" spans="25:25" x14ac:dyDescent="0.2">
      <c r="Y4736" s="18"/>
    </row>
    <row r="4737" spans="25:25" x14ac:dyDescent="0.2">
      <c r="Y4737" s="18"/>
    </row>
    <row r="4738" spans="25:25" x14ac:dyDescent="0.2">
      <c r="Y4738" s="18"/>
    </row>
    <row r="4739" spans="25:25" x14ac:dyDescent="0.2">
      <c r="Y4739" s="18"/>
    </row>
    <row r="4740" spans="25:25" x14ac:dyDescent="0.2">
      <c r="Y4740" s="18"/>
    </row>
    <row r="4741" spans="25:25" x14ac:dyDescent="0.2">
      <c r="Y4741" s="18"/>
    </row>
    <row r="4742" spans="25:25" x14ac:dyDescent="0.2">
      <c r="Y4742" s="18"/>
    </row>
    <row r="4743" spans="25:25" x14ac:dyDescent="0.2">
      <c r="Y4743" s="18"/>
    </row>
    <row r="4744" spans="25:25" x14ac:dyDescent="0.2">
      <c r="Y4744" s="18"/>
    </row>
    <row r="4745" spans="25:25" x14ac:dyDescent="0.2">
      <c r="Y4745" s="18"/>
    </row>
    <row r="4746" spans="25:25" x14ac:dyDescent="0.2">
      <c r="Y4746" s="18"/>
    </row>
    <row r="4747" spans="25:25" x14ac:dyDescent="0.2">
      <c r="Y4747" s="18"/>
    </row>
    <row r="4748" spans="25:25" x14ac:dyDescent="0.2">
      <c r="Y4748" s="18"/>
    </row>
    <row r="4749" spans="25:25" x14ac:dyDescent="0.2">
      <c r="Y4749" s="18"/>
    </row>
    <row r="4750" spans="25:25" x14ac:dyDescent="0.2">
      <c r="Y4750" s="18"/>
    </row>
    <row r="4751" spans="25:25" x14ac:dyDescent="0.2">
      <c r="Y4751" s="18"/>
    </row>
    <row r="4752" spans="25:25" x14ac:dyDescent="0.2">
      <c r="Y4752" s="18"/>
    </row>
    <row r="4753" spans="25:25" x14ac:dyDescent="0.2">
      <c r="Y4753" s="18"/>
    </row>
    <row r="4754" spans="25:25" x14ac:dyDescent="0.2">
      <c r="Y4754" s="18"/>
    </row>
    <row r="4755" spans="25:25" x14ac:dyDescent="0.2">
      <c r="Y4755" s="18"/>
    </row>
    <row r="4756" spans="25:25" x14ac:dyDescent="0.2">
      <c r="Y4756" s="18"/>
    </row>
    <row r="4757" spans="25:25" x14ac:dyDescent="0.2">
      <c r="Y4757" s="18"/>
    </row>
    <row r="4758" spans="25:25" x14ac:dyDescent="0.2">
      <c r="Y4758" s="18"/>
    </row>
    <row r="4759" spans="25:25" x14ac:dyDescent="0.2">
      <c r="Y4759" s="18"/>
    </row>
    <row r="4760" spans="25:25" x14ac:dyDescent="0.2">
      <c r="Y4760" s="18"/>
    </row>
    <row r="4761" spans="25:25" x14ac:dyDescent="0.2">
      <c r="Y4761" s="18"/>
    </row>
    <row r="4762" spans="25:25" x14ac:dyDescent="0.2">
      <c r="Y4762" s="18"/>
    </row>
    <row r="4763" spans="25:25" x14ac:dyDescent="0.2">
      <c r="Y4763" s="18"/>
    </row>
    <row r="4764" spans="25:25" x14ac:dyDescent="0.2">
      <c r="Y4764" s="18"/>
    </row>
    <row r="4765" spans="25:25" x14ac:dyDescent="0.2">
      <c r="Y4765" s="18"/>
    </row>
    <row r="4766" spans="25:25" x14ac:dyDescent="0.2">
      <c r="Y4766" s="18"/>
    </row>
    <row r="4767" spans="25:25" x14ac:dyDescent="0.2">
      <c r="Y4767" s="18"/>
    </row>
    <row r="4768" spans="25:25" x14ac:dyDescent="0.2">
      <c r="Y4768" s="18"/>
    </row>
    <row r="4769" spans="25:25" x14ac:dyDescent="0.2">
      <c r="Y4769" s="18"/>
    </row>
    <row r="4770" spans="25:25" x14ac:dyDescent="0.2">
      <c r="Y4770" s="18"/>
    </row>
    <row r="4771" spans="25:25" x14ac:dyDescent="0.2">
      <c r="Y4771" s="18"/>
    </row>
    <row r="4772" spans="25:25" x14ac:dyDescent="0.2">
      <c r="Y4772" s="18"/>
    </row>
    <row r="4773" spans="25:25" x14ac:dyDescent="0.2">
      <c r="Y4773" s="18"/>
    </row>
    <row r="4774" spans="25:25" x14ac:dyDescent="0.2">
      <c r="Y4774" s="18"/>
    </row>
    <row r="4775" spans="25:25" x14ac:dyDescent="0.2">
      <c r="Y4775" s="18"/>
    </row>
    <row r="4776" spans="25:25" x14ac:dyDescent="0.2">
      <c r="Y4776" s="18"/>
    </row>
    <row r="4777" spans="25:25" x14ac:dyDescent="0.2">
      <c r="Y4777" s="18"/>
    </row>
    <row r="4778" spans="25:25" x14ac:dyDescent="0.2">
      <c r="Y4778" s="18"/>
    </row>
    <row r="4779" spans="25:25" x14ac:dyDescent="0.2">
      <c r="Y4779" s="18"/>
    </row>
    <row r="4780" spans="25:25" x14ac:dyDescent="0.2">
      <c r="Y4780" s="18"/>
    </row>
    <row r="4781" spans="25:25" x14ac:dyDescent="0.2">
      <c r="Y4781" s="18"/>
    </row>
    <row r="4782" spans="25:25" x14ac:dyDescent="0.2">
      <c r="Y4782" s="18"/>
    </row>
    <row r="4783" spans="25:25" x14ac:dyDescent="0.2">
      <c r="Y4783" s="18"/>
    </row>
    <row r="4784" spans="25:25" x14ac:dyDescent="0.2">
      <c r="Y4784" s="18"/>
    </row>
    <row r="4785" spans="25:25" x14ac:dyDescent="0.2">
      <c r="Y4785" s="18"/>
    </row>
    <row r="4786" spans="25:25" x14ac:dyDescent="0.2">
      <c r="Y4786" s="18"/>
    </row>
    <row r="4787" spans="25:25" x14ac:dyDescent="0.2">
      <c r="Y4787" s="18"/>
    </row>
    <row r="4788" spans="25:25" x14ac:dyDescent="0.2">
      <c r="Y4788" s="18"/>
    </row>
    <row r="4789" spans="25:25" x14ac:dyDescent="0.2">
      <c r="Y4789" s="18"/>
    </row>
    <row r="4790" spans="25:25" x14ac:dyDescent="0.2">
      <c r="Y4790" s="18"/>
    </row>
    <row r="4791" spans="25:25" x14ac:dyDescent="0.2">
      <c r="Y4791" s="18"/>
    </row>
    <row r="4792" spans="25:25" x14ac:dyDescent="0.2">
      <c r="Y4792" s="18"/>
    </row>
    <row r="4793" spans="25:25" x14ac:dyDescent="0.2">
      <c r="Y4793" s="18"/>
    </row>
    <row r="4794" spans="25:25" x14ac:dyDescent="0.2">
      <c r="Y4794" s="18"/>
    </row>
    <row r="4795" spans="25:25" x14ac:dyDescent="0.2">
      <c r="Y4795" s="18"/>
    </row>
    <row r="4796" spans="25:25" x14ac:dyDescent="0.2">
      <c r="Y4796" s="18"/>
    </row>
    <row r="4797" spans="25:25" x14ac:dyDescent="0.2">
      <c r="Y4797" s="18"/>
    </row>
    <row r="4798" spans="25:25" x14ac:dyDescent="0.2">
      <c r="Y4798" s="18"/>
    </row>
    <row r="4799" spans="25:25" x14ac:dyDescent="0.2">
      <c r="Y4799" s="18"/>
    </row>
    <row r="4800" spans="25:25" x14ac:dyDescent="0.2">
      <c r="Y4800" s="18"/>
    </row>
    <row r="4801" spans="25:25" x14ac:dyDescent="0.2">
      <c r="Y4801" s="18"/>
    </row>
    <row r="4802" spans="25:25" x14ac:dyDescent="0.2">
      <c r="Y4802" s="18"/>
    </row>
    <row r="4803" spans="25:25" x14ac:dyDescent="0.2">
      <c r="Y4803" s="18"/>
    </row>
    <row r="4804" spans="25:25" x14ac:dyDescent="0.2">
      <c r="Y4804" s="18"/>
    </row>
    <row r="4805" spans="25:25" x14ac:dyDescent="0.2">
      <c r="Y4805" s="18"/>
    </row>
    <row r="4806" spans="25:25" x14ac:dyDescent="0.2">
      <c r="Y4806" s="18"/>
    </row>
    <row r="4807" spans="25:25" x14ac:dyDescent="0.2">
      <c r="Y4807" s="18"/>
    </row>
    <row r="4808" spans="25:25" x14ac:dyDescent="0.2">
      <c r="Y4808" s="18"/>
    </row>
    <row r="4809" spans="25:25" x14ac:dyDescent="0.2">
      <c r="Y4809" s="18"/>
    </row>
    <row r="4810" spans="25:25" x14ac:dyDescent="0.2">
      <c r="Y4810" s="18"/>
    </row>
    <row r="4811" spans="25:25" x14ac:dyDescent="0.2">
      <c r="Y4811" s="18"/>
    </row>
    <row r="4812" spans="25:25" x14ac:dyDescent="0.2">
      <c r="Y4812" s="18"/>
    </row>
    <row r="4813" spans="25:25" x14ac:dyDescent="0.2">
      <c r="Y4813" s="18"/>
    </row>
    <row r="4814" spans="25:25" x14ac:dyDescent="0.2">
      <c r="Y4814" s="18"/>
    </row>
    <row r="4815" spans="25:25" x14ac:dyDescent="0.2">
      <c r="Y4815" s="18"/>
    </row>
    <row r="4816" spans="25:25" x14ac:dyDescent="0.2">
      <c r="Y4816" s="18"/>
    </row>
    <row r="4817" spans="25:25" x14ac:dyDescent="0.2">
      <c r="Y4817" s="18"/>
    </row>
    <row r="4818" spans="25:25" x14ac:dyDescent="0.2">
      <c r="Y4818" s="18"/>
    </row>
    <row r="4819" spans="25:25" x14ac:dyDescent="0.2">
      <c r="Y4819" s="18"/>
    </row>
    <row r="4820" spans="25:25" x14ac:dyDescent="0.2">
      <c r="Y4820" s="18"/>
    </row>
    <row r="4821" spans="25:25" x14ac:dyDescent="0.2">
      <c r="Y4821" s="18"/>
    </row>
    <row r="4822" spans="25:25" x14ac:dyDescent="0.2">
      <c r="Y4822" s="18"/>
    </row>
    <row r="4823" spans="25:25" x14ac:dyDescent="0.2">
      <c r="Y4823" s="18"/>
    </row>
    <row r="4824" spans="25:25" x14ac:dyDescent="0.2">
      <c r="Y4824" s="18"/>
    </row>
    <row r="4825" spans="25:25" x14ac:dyDescent="0.2">
      <c r="Y4825" s="18"/>
    </row>
    <row r="4826" spans="25:25" x14ac:dyDescent="0.2">
      <c r="Y4826" s="18"/>
    </row>
    <row r="4827" spans="25:25" x14ac:dyDescent="0.2">
      <c r="Y4827" s="18"/>
    </row>
    <row r="4828" spans="25:25" x14ac:dyDescent="0.2">
      <c r="Y4828" s="18"/>
    </row>
    <row r="4829" spans="25:25" x14ac:dyDescent="0.2">
      <c r="Y4829" s="18"/>
    </row>
    <row r="4830" spans="25:25" x14ac:dyDescent="0.2">
      <c r="Y4830" s="18"/>
    </row>
    <row r="4831" spans="25:25" x14ac:dyDescent="0.2">
      <c r="Y4831" s="18"/>
    </row>
    <row r="4832" spans="25:25" x14ac:dyDescent="0.2">
      <c r="Y4832" s="18"/>
    </row>
    <row r="4833" spans="25:25" x14ac:dyDescent="0.2">
      <c r="Y4833" s="18"/>
    </row>
    <row r="4834" spans="25:25" x14ac:dyDescent="0.2">
      <c r="Y4834" s="18"/>
    </row>
    <row r="4835" spans="25:25" x14ac:dyDescent="0.2">
      <c r="Y4835" s="18"/>
    </row>
    <row r="4836" spans="25:25" x14ac:dyDescent="0.2">
      <c r="Y4836" s="18"/>
    </row>
    <row r="4837" spans="25:25" x14ac:dyDescent="0.2">
      <c r="Y4837" s="18"/>
    </row>
    <row r="4838" spans="25:25" x14ac:dyDescent="0.2">
      <c r="Y4838" s="18"/>
    </row>
    <row r="4839" spans="25:25" x14ac:dyDescent="0.2">
      <c r="Y4839" s="18"/>
    </row>
    <row r="4840" spans="25:25" x14ac:dyDescent="0.2">
      <c r="Y4840" s="18"/>
    </row>
    <row r="4841" spans="25:25" x14ac:dyDescent="0.2">
      <c r="Y4841" s="18"/>
    </row>
    <row r="4842" spans="25:25" x14ac:dyDescent="0.2">
      <c r="Y4842" s="18"/>
    </row>
    <row r="4843" spans="25:25" x14ac:dyDescent="0.2">
      <c r="Y4843" s="18"/>
    </row>
    <row r="4844" spans="25:25" x14ac:dyDescent="0.2">
      <c r="Y4844" s="18"/>
    </row>
    <row r="4845" spans="25:25" x14ac:dyDescent="0.2">
      <c r="Y4845" s="18"/>
    </row>
    <row r="4846" spans="25:25" x14ac:dyDescent="0.2">
      <c r="Y4846" s="18"/>
    </row>
    <row r="4847" spans="25:25" x14ac:dyDescent="0.2">
      <c r="Y4847" s="18"/>
    </row>
    <row r="4848" spans="25:25" x14ac:dyDescent="0.2">
      <c r="Y4848" s="18"/>
    </row>
    <row r="4849" spans="25:25" x14ac:dyDescent="0.2">
      <c r="Y4849" s="18"/>
    </row>
    <row r="4850" spans="25:25" x14ac:dyDescent="0.2">
      <c r="Y4850" s="18"/>
    </row>
    <row r="4851" spans="25:25" x14ac:dyDescent="0.2">
      <c r="Y4851" s="18"/>
    </row>
    <row r="4852" spans="25:25" x14ac:dyDescent="0.2">
      <c r="Y4852" s="18"/>
    </row>
    <row r="4853" spans="25:25" x14ac:dyDescent="0.2">
      <c r="Y4853" s="18"/>
    </row>
    <row r="4854" spans="25:25" x14ac:dyDescent="0.2">
      <c r="Y4854" s="18"/>
    </row>
    <row r="4855" spans="25:25" x14ac:dyDescent="0.2">
      <c r="Y4855" s="18"/>
    </row>
    <row r="4856" spans="25:25" x14ac:dyDescent="0.2">
      <c r="Y4856" s="18"/>
    </row>
    <row r="4857" spans="25:25" x14ac:dyDescent="0.2">
      <c r="Y4857" s="18"/>
    </row>
    <row r="4858" spans="25:25" x14ac:dyDescent="0.2">
      <c r="Y4858" s="18"/>
    </row>
    <row r="4859" spans="25:25" x14ac:dyDescent="0.2">
      <c r="Y4859" s="18"/>
    </row>
    <row r="4860" spans="25:25" x14ac:dyDescent="0.2">
      <c r="Y4860" s="18"/>
    </row>
    <row r="4861" spans="25:25" x14ac:dyDescent="0.2">
      <c r="Y4861" s="18"/>
    </row>
    <row r="4862" spans="25:25" x14ac:dyDescent="0.2">
      <c r="Y4862" s="18"/>
    </row>
    <row r="4863" spans="25:25" x14ac:dyDescent="0.2">
      <c r="Y4863" s="18"/>
    </row>
    <row r="4864" spans="25:25" x14ac:dyDescent="0.2">
      <c r="Y4864" s="18"/>
    </row>
    <row r="4865" spans="25:25" x14ac:dyDescent="0.2">
      <c r="Y4865" s="18"/>
    </row>
    <row r="4866" spans="25:25" x14ac:dyDescent="0.2">
      <c r="Y4866" s="18"/>
    </row>
    <row r="4867" spans="25:25" x14ac:dyDescent="0.2">
      <c r="Y4867" s="18"/>
    </row>
    <row r="4868" spans="25:25" x14ac:dyDescent="0.2">
      <c r="Y4868" s="18"/>
    </row>
    <row r="4869" spans="25:25" x14ac:dyDescent="0.2">
      <c r="Y4869" s="18"/>
    </row>
    <row r="4870" spans="25:25" x14ac:dyDescent="0.2">
      <c r="Y4870" s="18"/>
    </row>
    <row r="4871" spans="25:25" x14ac:dyDescent="0.2">
      <c r="Y4871" s="18"/>
    </row>
    <row r="4872" spans="25:25" x14ac:dyDescent="0.2">
      <c r="Y4872" s="18"/>
    </row>
    <row r="4873" spans="25:25" x14ac:dyDescent="0.2">
      <c r="Y4873" s="18"/>
    </row>
    <row r="4874" spans="25:25" x14ac:dyDescent="0.2">
      <c r="Y4874" s="18"/>
    </row>
    <row r="4875" spans="25:25" x14ac:dyDescent="0.2">
      <c r="Y4875" s="18"/>
    </row>
    <row r="4876" spans="25:25" x14ac:dyDescent="0.2">
      <c r="Y4876" s="18"/>
    </row>
    <row r="4877" spans="25:25" x14ac:dyDescent="0.2">
      <c r="Y4877" s="18"/>
    </row>
    <row r="4878" spans="25:25" x14ac:dyDescent="0.2">
      <c r="Y4878" s="18"/>
    </row>
    <row r="4879" spans="25:25" x14ac:dyDescent="0.2">
      <c r="Y4879" s="18"/>
    </row>
    <row r="4880" spans="25:25" x14ac:dyDescent="0.2">
      <c r="Y4880" s="18"/>
    </row>
    <row r="4881" spans="25:25" x14ac:dyDescent="0.2">
      <c r="Y4881" s="18"/>
    </row>
    <row r="4882" spans="25:25" x14ac:dyDescent="0.2">
      <c r="Y4882" s="18"/>
    </row>
    <row r="4883" spans="25:25" x14ac:dyDescent="0.2">
      <c r="Y4883" s="18"/>
    </row>
    <row r="4884" spans="25:25" x14ac:dyDescent="0.2">
      <c r="Y4884" s="18"/>
    </row>
    <row r="4885" spans="25:25" x14ac:dyDescent="0.2">
      <c r="Y4885" s="18"/>
    </row>
    <row r="4886" spans="25:25" x14ac:dyDescent="0.2">
      <c r="Y4886" s="18"/>
    </row>
    <row r="4887" spans="25:25" x14ac:dyDescent="0.2">
      <c r="Y4887" s="18"/>
    </row>
    <row r="4888" spans="25:25" x14ac:dyDescent="0.2">
      <c r="Y4888" s="18"/>
    </row>
    <row r="4889" spans="25:25" x14ac:dyDescent="0.2">
      <c r="Y4889" s="18"/>
    </row>
    <row r="4890" spans="25:25" x14ac:dyDescent="0.2">
      <c r="Y4890" s="18"/>
    </row>
    <row r="4891" spans="25:25" x14ac:dyDescent="0.2">
      <c r="Y4891" s="18"/>
    </row>
    <row r="4892" spans="25:25" x14ac:dyDescent="0.2">
      <c r="Y4892" s="18"/>
    </row>
    <row r="4893" spans="25:25" x14ac:dyDescent="0.2">
      <c r="Y4893" s="18"/>
    </row>
    <row r="4894" spans="25:25" x14ac:dyDescent="0.2">
      <c r="Y4894" s="18"/>
    </row>
    <row r="4895" spans="25:25" x14ac:dyDescent="0.2">
      <c r="Y4895" s="18"/>
    </row>
    <row r="4896" spans="25:25" x14ac:dyDescent="0.2">
      <c r="Y4896" s="18"/>
    </row>
    <row r="4897" spans="25:25" x14ac:dyDescent="0.2">
      <c r="Y4897" s="18"/>
    </row>
    <row r="4898" spans="25:25" x14ac:dyDescent="0.2">
      <c r="Y4898" s="18"/>
    </row>
    <row r="4899" spans="25:25" x14ac:dyDescent="0.2">
      <c r="Y4899" s="18"/>
    </row>
    <row r="4900" spans="25:25" x14ac:dyDescent="0.2">
      <c r="Y4900" s="18"/>
    </row>
    <row r="4901" spans="25:25" x14ac:dyDescent="0.2">
      <c r="Y4901" s="18"/>
    </row>
    <row r="4902" spans="25:25" x14ac:dyDescent="0.2">
      <c r="Y4902" s="18"/>
    </row>
    <row r="4903" spans="25:25" x14ac:dyDescent="0.2">
      <c r="Y4903" s="18"/>
    </row>
    <row r="4904" spans="25:25" x14ac:dyDescent="0.2">
      <c r="Y4904" s="18"/>
    </row>
    <row r="4905" spans="25:25" x14ac:dyDescent="0.2">
      <c r="Y4905" s="18"/>
    </row>
    <row r="4906" spans="25:25" x14ac:dyDescent="0.2">
      <c r="Y4906" s="18"/>
    </row>
    <row r="4907" spans="25:25" x14ac:dyDescent="0.2">
      <c r="Y4907" s="18"/>
    </row>
    <row r="4908" spans="25:25" x14ac:dyDescent="0.2">
      <c r="Y4908" s="18"/>
    </row>
    <row r="4909" spans="25:25" x14ac:dyDescent="0.2">
      <c r="Y4909" s="18"/>
    </row>
    <row r="4910" spans="25:25" x14ac:dyDescent="0.2">
      <c r="Y4910" s="18"/>
    </row>
    <row r="4911" spans="25:25" x14ac:dyDescent="0.2">
      <c r="Y4911" s="18"/>
    </row>
    <row r="4912" spans="25:25" x14ac:dyDescent="0.2">
      <c r="Y4912" s="18"/>
    </row>
    <row r="4913" spans="25:25" x14ac:dyDescent="0.2">
      <c r="Y4913" s="18"/>
    </row>
    <row r="4914" spans="25:25" x14ac:dyDescent="0.2">
      <c r="Y4914" s="18"/>
    </row>
    <row r="4915" spans="25:25" x14ac:dyDescent="0.2">
      <c r="Y4915" s="18"/>
    </row>
    <row r="4916" spans="25:25" x14ac:dyDescent="0.2">
      <c r="Y4916" s="18"/>
    </row>
    <row r="4917" spans="25:25" x14ac:dyDescent="0.2">
      <c r="Y4917" s="18"/>
    </row>
    <row r="4918" spans="25:25" x14ac:dyDescent="0.2">
      <c r="Y4918" s="18"/>
    </row>
    <row r="4919" spans="25:25" x14ac:dyDescent="0.2">
      <c r="Y4919" s="18"/>
    </row>
    <row r="4920" spans="25:25" x14ac:dyDescent="0.2">
      <c r="Y4920" s="18"/>
    </row>
    <row r="4921" spans="25:25" x14ac:dyDescent="0.2">
      <c r="Y4921" s="18"/>
    </row>
    <row r="4922" spans="25:25" x14ac:dyDescent="0.2">
      <c r="Y4922" s="18"/>
    </row>
    <row r="4923" spans="25:25" x14ac:dyDescent="0.2">
      <c r="Y4923" s="18"/>
    </row>
    <row r="4924" spans="25:25" x14ac:dyDescent="0.2">
      <c r="Y4924" s="18"/>
    </row>
    <row r="4925" spans="25:25" x14ac:dyDescent="0.2">
      <c r="Y4925" s="18"/>
    </row>
    <row r="4926" spans="25:25" x14ac:dyDescent="0.2">
      <c r="Y4926" s="18"/>
    </row>
    <row r="4927" spans="25:25" x14ac:dyDescent="0.2">
      <c r="Y4927" s="18"/>
    </row>
    <row r="4928" spans="25:25" x14ac:dyDescent="0.2">
      <c r="Y4928" s="18"/>
    </row>
    <row r="4929" spans="25:25" x14ac:dyDescent="0.2">
      <c r="Y4929" s="18"/>
    </row>
    <row r="4930" spans="25:25" x14ac:dyDescent="0.2">
      <c r="Y4930" s="18"/>
    </row>
    <row r="4931" spans="25:25" x14ac:dyDescent="0.2">
      <c r="Y4931" s="18"/>
    </row>
    <row r="4932" spans="25:25" x14ac:dyDescent="0.2">
      <c r="Y4932" s="18"/>
    </row>
    <row r="4933" spans="25:25" x14ac:dyDescent="0.2">
      <c r="Y4933" s="18"/>
    </row>
    <row r="4934" spans="25:25" x14ac:dyDescent="0.2">
      <c r="Y4934" s="18"/>
    </row>
    <row r="4935" spans="25:25" x14ac:dyDescent="0.2">
      <c r="Y4935" s="18"/>
    </row>
    <row r="4936" spans="25:25" x14ac:dyDescent="0.2">
      <c r="Y4936" s="18"/>
    </row>
    <row r="4937" spans="25:25" x14ac:dyDescent="0.2">
      <c r="Y4937" s="18"/>
    </row>
    <row r="4938" spans="25:25" x14ac:dyDescent="0.2">
      <c r="Y4938" s="18"/>
    </row>
    <row r="4939" spans="25:25" x14ac:dyDescent="0.2">
      <c r="Y4939" s="18"/>
    </row>
    <row r="4940" spans="25:25" x14ac:dyDescent="0.2">
      <c r="Y4940" s="18"/>
    </row>
    <row r="4941" spans="25:25" x14ac:dyDescent="0.2">
      <c r="Y4941" s="18"/>
    </row>
    <row r="4942" spans="25:25" x14ac:dyDescent="0.2">
      <c r="Y4942" s="18"/>
    </row>
    <row r="4943" spans="25:25" x14ac:dyDescent="0.2">
      <c r="Y4943" s="18"/>
    </row>
    <row r="4944" spans="25:25" x14ac:dyDescent="0.2">
      <c r="Y4944" s="18"/>
    </row>
    <row r="4945" spans="25:25" x14ac:dyDescent="0.2">
      <c r="Y4945" s="18"/>
    </row>
    <row r="4946" spans="25:25" x14ac:dyDescent="0.2">
      <c r="Y4946" s="18"/>
    </row>
    <row r="4947" spans="25:25" x14ac:dyDescent="0.2">
      <c r="Y4947" s="18"/>
    </row>
    <row r="4948" spans="25:25" x14ac:dyDescent="0.2">
      <c r="Y4948" s="18"/>
    </row>
    <row r="4949" spans="25:25" x14ac:dyDescent="0.2">
      <c r="Y4949" s="18"/>
    </row>
    <row r="4950" spans="25:25" x14ac:dyDescent="0.2">
      <c r="Y4950" s="18"/>
    </row>
    <row r="4951" spans="25:25" x14ac:dyDescent="0.2">
      <c r="Y4951" s="18"/>
    </row>
    <row r="4952" spans="25:25" x14ac:dyDescent="0.2">
      <c r="Y4952" s="18"/>
    </row>
    <row r="4953" spans="25:25" x14ac:dyDescent="0.2">
      <c r="Y4953" s="18"/>
    </row>
    <row r="4954" spans="25:25" x14ac:dyDescent="0.2">
      <c r="Y4954" s="18"/>
    </row>
    <row r="4955" spans="25:25" x14ac:dyDescent="0.2">
      <c r="Y4955" s="18"/>
    </row>
    <row r="4956" spans="25:25" x14ac:dyDescent="0.2">
      <c r="Y4956" s="18"/>
    </row>
    <row r="4957" spans="25:25" x14ac:dyDescent="0.2">
      <c r="Y4957" s="18"/>
    </row>
    <row r="4958" spans="25:25" x14ac:dyDescent="0.2">
      <c r="Y4958" s="18"/>
    </row>
    <row r="4959" spans="25:25" x14ac:dyDescent="0.2">
      <c r="Y4959" s="18"/>
    </row>
    <row r="4960" spans="25:25" x14ac:dyDescent="0.2">
      <c r="Y4960" s="18"/>
    </row>
    <row r="4961" spans="25:25" x14ac:dyDescent="0.2">
      <c r="Y4961" s="18"/>
    </row>
    <row r="4962" spans="25:25" x14ac:dyDescent="0.2">
      <c r="Y4962" s="18"/>
    </row>
    <row r="4963" spans="25:25" x14ac:dyDescent="0.2">
      <c r="Y4963" s="18"/>
    </row>
    <row r="4964" spans="25:25" x14ac:dyDescent="0.2">
      <c r="Y4964" s="18"/>
    </row>
    <row r="4965" spans="25:25" x14ac:dyDescent="0.2">
      <c r="Y4965" s="18"/>
    </row>
    <row r="4966" spans="25:25" x14ac:dyDescent="0.2">
      <c r="Y4966" s="18"/>
    </row>
    <row r="4967" spans="25:25" x14ac:dyDescent="0.2">
      <c r="Y4967" s="18"/>
    </row>
    <row r="4968" spans="25:25" x14ac:dyDescent="0.2">
      <c r="Y4968" s="18"/>
    </row>
    <row r="4969" spans="25:25" x14ac:dyDescent="0.2">
      <c r="Y4969" s="18"/>
    </row>
    <row r="4970" spans="25:25" x14ac:dyDescent="0.2">
      <c r="Y4970" s="18"/>
    </row>
    <row r="4971" spans="25:25" x14ac:dyDescent="0.2">
      <c r="Y4971" s="18"/>
    </row>
    <row r="4972" spans="25:25" x14ac:dyDescent="0.2">
      <c r="Y4972" s="18"/>
    </row>
    <row r="4973" spans="25:25" x14ac:dyDescent="0.2">
      <c r="Y4973" s="18"/>
    </row>
    <row r="4974" spans="25:25" x14ac:dyDescent="0.2">
      <c r="Y4974" s="18"/>
    </row>
    <row r="4975" spans="25:25" x14ac:dyDescent="0.2">
      <c r="Y4975" s="18"/>
    </row>
    <row r="4976" spans="25:25" x14ac:dyDescent="0.2">
      <c r="Y4976" s="18"/>
    </row>
    <row r="4977" spans="25:25" x14ac:dyDescent="0.2">
      <c r="Y4977" s="18"/>
    </row>
    <row r="4978" spans="25:25" x14ac:dyDescent="0.2">
      <c r="Y4978" s="18"/>
    </row>
    <row r="4979" spans="25:25" x14ac:dyDescent="0.2">
      <c r="Y4979" s="18"/>
    </row>
    <row r="4980" spans="25:25" x14ac:dyDescent="0.2">
      <c r="Y4980" s="18"/>
    </row>
    <row r="4981" spans="25:25" x14ac:dyDescent="0.2">
      <c r="Y4981" s="18"/>
    </row>
    <row r="4982" spans="25:25" x14ac:dyDescent="0.2">
      <c r="Y4982" s="18"/>
    </row>
    <row r="4983" spans="25:25" x14ac:dyDescent="0.2">
      <c r="Y4983" s="18"/>
    </row>
    <row r="4984" spans="25:25" x14ac:dyDescent="0.2">
      <c r="Y4984" s="18"/>
    </row>
    <row r="4985" spans="25:25" x14ac:dyDescent="0.2">
      <c r="Y4985" s="18"/>
    </row>
    <row r="4986" spans="25:25" x14ac:dyDescent="0.2">
      <c r="Y4986" s="18"/>
    </row>
    <row r="4987" spans="25:25" x14ac:dyDescent="0.2">
      <c r="Y4987" s="18"/>
    </row>
    <row r="4988" spans="25:25" x14ac:dyDescent="0.2">
      <c r="Y4988" s="18"/>
    </row>
    <row r="4989" spans="25:25" x14ac:dyDescent="0.2">
      <c r="Y4989" s="18"/>
    </row>
    <row r="4990" spans="25:25" x14ac:dyDescent="0.2">
      <c r="Y4990" s="18"/>
    </row>
    <row r="4991" spans="25:25" x14ac:dyDescent="0.2">
      <c r="Y4991" s="18"/>
    </row>
    <row r="4992" spans="25:25" x14ac:dyDescent="0.2">
      <c r="Y4992" s="18"/>
    </row>
    <row r="4993" spans="25:25" x14ac:dyDescent="0.2">
      <c r="Y4993" s="18"/>
    </row>
    <row r="4994" spans="25:25" x14ac:dyDescent="0.2">
      <c r="Y4994" s="18"/>
    </row>
    <row r="4995" spans="25:25" x14ac:dyDescent="0.2">
      <c r="Y4995" s="18"/>
    </row>
    <row r="4996" spans="25:25" x14ac:dyDescent="0.2">
      <c r="Y4996" s="18"/>
    </row>
    <row r="4997" spans="25:25" x14ac:dyDescent="0.2">
      <c r="Y4997" s="18"/>
    </row>
    <row r="4998" spans="25:25" x14ac:dyDescent="0.2">
      <c r="Y4998" s="18"/>
    </row>
    <row r="4999" spans="25:25" x14ac:dyDescent="0.2">
      <c r="Y4999" s="18"/>
    </row>
    <row r="5000" spans="25:25" x14ac:dyDescent="0.2">
      <c r="Y5000" s="18"/>
    </row>
    <row r="5001" spans="25:25" x14ac:dyDescent="0.2">
      <c r="Y5001" s="18"/>
    </row>
    <row r="5002" spans="25:25" x14ac:dyDescent="0.2">
      <c r="Y5002" s="18"/>
    </row>
    <row r="5003" spans="25:25" x14ac:dyDescent="0.2">
      <c r="Y5003" s="18"/>
    </row>
    <row r="5004" spans="25:25" x14ac:dyDescent="0.2">
      <c r="Y5004" s="18"/>
    </row>
    <row r="5005" spans="25:25" x14ac:dyDescent="0.2">
      <c r="Y5005" s="18"/>
    </row>
    <row r="5006" spans="25:25" x14ac:dyDescent="0.2">
      <c r="Y5006" s="18"/>
    </row>
    <row r="5007" spans="25:25" x14ac:dyDescent="0.2">
      <c r="Y5007" s="18"/>
    </row>
    <row r="5008" spans="25:25" x14ac:dyDescent="0.2">
      <c r="Y5008" s="18"/>
    </row>
    <row r="5009" spans="25:25" x14ac:dyDescent="0.2">
      <c r="Y5009" s="18"/>
    </row>
    <row r="5010" spans="25:25" x14ac:dyDescent="0.2">
      <c r="Y5010" s="18"/>
    </row>
    <row r="5011" spans="25:25" x14ac:dyDescent="0.2">
      <c r="Y5011" s="18"/>
    </row>
    <row r="5012" spans="25:25" x14ac:dyDescent="0.2">
      <c r="Y5012" s="18"/>
    </row>
    <row r="5013" spans="25:25" x14ac:dyDescent="0.2">
      <c r="Y5013" s="18"/>
    </row>
    <row r="5014" spans="25:25" x14ac:dyDescent="0.2">
      <c r="Y5014" s="18"/>
    </row>
    <row r="5015" spans="25:25" x14ac:dyDescent="0.2">
      <c r="Y5015" s="18"/>
    </row>
    <row r="5016" spans="25:25" x14ac:dyDescent="0.2">
      <c r="Y5016" s="18"/>
    </row>
    <row r="5017" spans="25:25" x14ac:dyDescent="0.2">
      <c r="Y5017" s="18"/>
    </row>
    <row r="5018" spans="25:25" x14ac:dyDescent="0.2">
      <c r="Y5018" s="18"/>
    </row>
    <row r="5019" spans="25:25" x14ac:dyDescent="0.2">
      <c r="Y5019" s="18"/>
    </row>
    <row r="5020" spans="25:25" x14ac:dyDescent="0.2">
      <c r="Y5020" s="18"/>
    </row>
    <row r="5021" spans="25:25" x14ac:dyDescent="0.2">
      <c r="Y5021" s="18"/>
    </row>
    <row r="5022" spans="25:25" x14ac:dyDescent="0.2">
      <c r="Y5022" s="18"/>
    </row>
    <row r="5023" spans="25:25" x14ac:dyDescent="0.2">
      <c r="Y5023" s="18"/>
    </row>
    <row r="5024" spans="25:25" x14ac:dyDescent="0.2">
      <c r="Y5024" s="18"/>
    </row>
    <row r="5025" spans="25:25" x14ac:dyDescent="0.2">
      <c r="Y5025" s="18"/>
    </row>
    <row r="5026" spans="25:25" x14ac:dyDescent="0.2">
      <c r="Y5026" s="18"/>
    </row>
    <row r="5027" spans="25:25" x14ac:dyDescent="0.2">
      <c r="Y5027" s="18"/>
    </row>
    <row r="5028" spans="25:25" x14ac:dyDescent="0.2">
      <c r="Y5028" s="18"/>
    </row>
    <row r="5029" spans="25:25" x14ac:dyDescent="0.2">
      <c r="Y5029" s="18"/>
    </row>
    <row r="5030" spans="25:25" x14ac:dyDescent="0.2">
      <c r="Y5030" s="18"/>
    </row>
    <row r="5031" spans="25:25" x14ac:dyDescent="0.2">
      <c r="Y5031" s="18"/>
    </row>
    <row r="5032" spans="25:25" x14ac:dyDescent="0.2">
      <c r="Y5032" s="18"/>
    </row>
    <row r="5033" spans="25:25" x14ac:dyDescent="0.2">
      <c r="Y5033" s="18"/>
    </row>
    <row r="5034" spans="25:25" x14ac:dyDescent="0.2">
      <c r="Y5034" s="18"/>
    </row>
    <row r="5035" spans="25:25" x14ac:dyDescent="0.2">
      <c r="Y5035" s="18"/>
    </row>
    <row r="5036" spans="25:25" x14ac:dyDescent="0.2">
      <c r="Y5036" s="18"/>
    </row>
    <row r="5037" spans="25:25" x14ac:dyDescent="0.2">
      <c r="Y5037" s="18"/>
    </row>
    <row r="5038" spans="25:25" x14ac:dyDescent="0.2">
      <c r="Y5038" s="18"/>
    </row>
    <row r="5039" spans="25:25" x14ac:dyDescent="0.2">
      <c r="Y5039" s="18"/>
    </row>
    <row r="5040" spans="25:25" x14ac:dyDescent="0.2">
      <c r="Y5040" s="18"/>
    </row>
    <row r="5041" spans="25:25" x14ac:dyDescent="0.2">
      <c r="Y5041" s="18"/>
    </row>
    <row r="5042" spans="25:25" x14ac:dyDescent="0.2">
      <c r="Y5042" s="18"/>
    </row>
    <row r="5043" spans="25:25" x14ac:dyDescent="0.2">
      <c r="Y5043" s="18"/>
    </row>
    <row r="5044" spans="25:25" x14ac:dyDescent="0.2">
      <c r="Y5044" s="18"/>
    </row>
    <row r="5045" spans="25:25" x14ac:dyDescent="0.2">
      <c r="Y5045" s="18"/>
    </row>
    <row r="5046" spans="25:25" x14ac:dyDescent="0.2">
      <c r="Y5046" s="18"/>
    </row>
    <row r="5047" spans="25:25" x14ac:dyDescent="0.2">
      <c r="Y5047" s="18"/>
    </row>
    <row r="5048" spans="25:25" x14ac:dyDescent="0.2">
      <c r="Y5048" s="18"/>
    </row>
    <row r="5049" spans="25:25" x14ac:dyDescent="0.2">
      <c r="Y5049" s="18"/>
    </row>
    <row r="5050" spans="25:25" x14ac:dyDescent="0.2">
      <c r="Y5050" s="18"/>
    </row>
    <row r="5051" spans="25:25" x14ac:dyDescent="0.2">
      <c r="Y5051" s="18"/>
    </row>
    <row r="5052" spans="25:25" x14ac:dyDescent="0.2">
      <c r="Y5052" s="18"/>
    </row>
    <row r="5053" spans="25:25" x14ac:dyDescent="0.2">
      <c r="Y5053" s="18"/>
    </row>
    <row r="5054" spans="25:25" x14ac:dyDescent="0.2">
      <c r="Y5054" s="18"/>
    </row>
    <row r="5055" spans="25:25" x14ac:dyDescent="0.2">
      <c r="Y5055" s="18"/>
    </row>
    <row r="5056" spans="25:25" x14ac:dyDescent="0.2">
      <c r="Y5056" s="18"/>
    </row>
    <row r="5057" spans="25:25" x14ac:dyDescent="0.2">
      <c r="Y5057" s="18"/>
    </row>
    <row r="5058" spans="25:25" x14ac:dyDescent="0.2">
      <c r="Y5058" s="18"/>
    </row>
    <row r="5059" spans="25:25" x14ac:dyDescent="0.2">
      <c r="Y5059" s="18"/>
    </row>
    <row r="5060" spans="25:25" x14ac:dyDescent="0.2">
      <c r="Y5060" s="18"/>
    </row>
    <row r="5061" spans="25:25" x14ac:dyDescent="0.2">
      <c r="Y5061" s="18"/>
    </row>
    <row r="5062" spans="25:25" x14ac:dyDescent="0.2">
      <c r="Y5062" s="18"/>
    </row>
    <row r="5063" spans="25:25" x14ac:dyDescent="0.2">
      <c r="Y5063" s="18"/>
    </row>
    <row r="5064" spans="25:25" x14ac:dyDescent="0.2">
      <c r="Y5064" s="18"/>
    </row>
    <row r="5065" spans="25:25" x14ac:dyDescent="0.2">
      <c r="Y5065" s="18"/>
    </row>
    <row r="5066" spans="25:25" x14ac:dyDescent="0.2">
      <c r="Y5066" s="18"/>
    </row>
    <row r="5067" spans="25:25" x14ac:dyDescent="0.2">
      <c r="Y5067" s="18"/>
    </row>
    <row r="5068" spans="25:25" x14ac:dyDescent="0.2">
      <c r="Y5068" s="18"/>
    </row>
    <row r="5069" spans="25:25" x14ac:dyDescent="0.2">
      <c r="Y5069" s="18"/>
    </row>
    <row r="5070" spans="25:25" x14ac:dyDescent="0.2">
      <c r="Y5070" s="18"/>
    </row>
    <row r="5071" spans="25:25" x14ac:dyDescent="0.2">
      <c r="Y5071" s="18"/>
    </row>
    <row r="5072" spans="25:25" x14ac:dyDescent="0.2">
      <c r="Y5072" s="18"/>
    </row>
    <row r="5073" spans="25:25" x14ac:dyDescent="0.2">
      <c r="Y5073" s="18"/>
    </row>
    <row r="5074" spans="25:25" x14ac:dyDescent="0.2">
      <c r="Y5074" s="18"/>
    </row>
    <row r="5075" spans="25:25" x14ac:dyDescent="0.2">
      <c r="Y5075" s="18"/>
    </row>
    <row r="5076" spans="25:25" x14ac:dyDescent="0.2">
      <c r="Y5076" s="18"/>
    </row>
    <row r="5077" spans="25:25" x14ac:dyDescent="0.2">
      <c r="Y5077" s="18"/>
    </row>
    <row r="5078" spans="25:25" x14ac:dyDescent="0.2">
      <c r="Y5078" s="18"/>
    </row>
    <row r="5079" spans="25:25" x14ac:dyDescent="0.2">
      <c r="Y5079" s="18"/>
    </row>
    <row r="5080" spans="25:25" x14ac:dyDescent="0.2">
      <c r="Y5080" s="18"/>
    </row>
    <row r="5081" spans="25:25" x14ac:dyDescent="0.2">
      <c r="Y5081" s="18"/>
    </row>
    <row r="5082" spans="25:25" x14ac:dyDescent="0.2">
      <c r="Y5082" s="18"/>
    </row>
    <row r="5083" spans="25:25" x14ac:dyDescent="0.2">
      <c r="Y5083" s="18"/>
    </row>
    <row r="5084" spans="25:25" x14ac:dyDescent="0.2">
      <c r="Y5084" s="18"/>
    </row>
    <row r="5085" spans="25:25" x14ac:dyDescent="0.2">
      <c r="Y5085" s="18"/>
    </row>
    <row r="5086" spans="25:25" x14ac:dyDescent="0.2">
      <c r="Y5086" s="18"/>
    </row>
    <row r="5087" spans="25:25" x14ac:dyDescent="0.2">
      <c r="Y5087" s="18"/>
    </row>
    <row r="5088" spans="25:25" x14ac:dyDescent="0.2">
      <c r="Y5088" s="18"/>
    </row>
    <row r="5089" spans="25:25" x14ac:dyDescent="0.2">
      <c r="Y5089" s="18"/>
    </row>
    <row r="5090" spans="25:25" x14ac:dyDescent="0.2">
      <c r="Y5090" s="18"/>
    </row>
    <row r="5091" spans="25:25" x14ac:dyDescent="0.2">
      <c r="Y5091" s="18"/>
    </row>
    <row r="5092" spans="25:25" x14ac:dyDescent="0.2">
      <c r="Y5092" s="18"/>
    </row>
    <row r="5093" spans="25:25" x14ac:dyDescent="0.2">
      <c r="Y5093" s="18"/>
    </row>
    <row r="5094" spans="25:25" x14ac:dyDescent="0.2">
      <c r="Y5094" s="18"/>
    </row>
    <row r="5095" spans="25:25" x14ac:dyDescent="0.2">
      <c r="Y5095" s="18"/>
    </row>
    <row r="5096" spans="25:25" x14ac:dyDescent="0.2">
      <c r="Y5096" s="18"/>
    </row>
    <row r="5097" spans="25:25" x14ac:dyDescent="0.2">
      <c r="Y5097" s="18"/>
    </row>
    <row r="5098" spans="25:25" x14ac:dyDescent="0.2">
      <c r="Y5098" s="18"/>
    </row>
    <row r="5099" spans="25:25" x14ac:dyDescent="0.2">
      <c r="Y5099" s="18"/>
    </row>
    <row r="5100" spans="25:25" x14ac:dyDescent="0.2">
      <c r="Y5100" s="18"/>
    </row>
    <row r="5101" spans="25:25" x14ac:dyDescent="0.2">
      <c r="Y5101" s="18"/>
    </row>
    <row r="5102" spans="25:25" x14ac:dyDescent="0.2">
      <c r="Y5102" s="18"/>
    </row>
    <row r="5103" spans="25:25" x14ac:dyDescent="0.2">
      <c r="Y5103" s="18"/>
    </row>
    <row r="5104" spans="25:25" x14ac:dyDescent="0.2">
      <c r="Y5104" s="18"/>
    </row>
    <row r="5105" spans="25:25" x14ac:dyDescent="0.2">
      <c r="Y5105" s="18"/>
    </row>
    <row r="5106" spans="25:25" x14ac:dyDescent="0.2">
      <c r="Y5106" s="18"/>
    </row>
    <row r="5107" spans="25:25" x14ac:dyDescent="0.2">
      <c r="Y5107" s="18"/>
    </row>
    <row r="5108" spans="25:25" x14ac:dyDescent="0.2">
      <c r="Y5108" s="18"/>
    </row>
    <row r="5109" spans="25:25" x14ac:dyDescent="0.2">
      <c r="Y5109" s="18"/>
    </row>
    <row r="5110" spans="25:25" x14ac:dyDescent="0.2">
      <c r="Y5110" s="18"/>
    </row>
    <row r="5111" spans="25:25" x14ac:dyDescent="0.2">
      <c r="Y5111" s="18"/>
    </row>
    <row r="5112" spans="25:25" x14ac:dyDescent="0.2">
      <c r="Y5112" s="18"/>
    </row>
    <row r="5113" spans="25:25" x14ac:dyDescent="0.2">
      <c r="Y5113" s="18"/>
    </row>
    <row r="5114" spans="25:25" x14ac:dyDescent="0.2">
      <c r="Y5114" s="18"/>
    </row>
    <row r="5115" spans="25:25" x14ac:dyDescent="0.2">
      <c r="Y5115" s="18"/>
    </row>
    <row r="5116" spans="25:25" x14ac:dyDescent="0.2">
      <c r="Y5116" s="18"/>
    </row>
    <row r="5117" spans="25:25" x14ac:dyDescent="0.2">
      <c r="Y5117" s="18"/>
    </row>
    <row r="5118" spans="25:25" x14ac:dyDescent="0.2">
      <c r="Y5118" s="18"/>
    </row>
    <row r="5119" spans="25:25" x14ac:dyDescent="0.2">
      <c r="Y5119" s="18"/>
    </row>
    <row r="5120" spans="25:25" x14ac:dyDescent="0.2">
      <c r="Y5120" s="18"/>
    </row>
    <row r="5121" spans="25:25" x14ac:dyDescent="0.2">
      <c r="Y5121" s="18"/>
    </row>
    <row r="5122" spans="25:25" x14ac:dyDescent="0.2">
      <c r="Y5122" s="18"/>
    </row>
    <row r="5123" spans="25:25" x14ac:dyDescent="0.2">
      <c r="Y5123" s="18"/>
    </row>
    <row r="5124" spans="25:25" x14ac:dyDescent="0.2">
      <c r="Y5124" s="18"/>
    </row>
    <row r="5125" spans="25:25" x14ac:dyDescent="0.2">
      <c r="Y5125" s="18"/>
    </row>
    <row r="5126" spans="25:25" x14ac:dyDescent="0.2">
      <c r="Y5126" s="18"/>
    </row>
    <row r="5127" spans="25:25" x14ac:dyDescent="0.2">
      <c r="Y5127" s="18"/>
    </row>
    <row r="5128" spans="25:25" x14ac:dyDescent="0.2">
      <c r="Y5128" s="18"/>
    </row>
    <row r="5129" spans="25:25" x14ac:dyDescent="0.2">
      <c r="Y5129" s="18"/>
    </row>
    <row r="5130" spans="25:25" x14ac:dyDescent="0.2">
      <c r="Y5130" s="18"/>
    </row>
    <row r="5131" spans="25:25" x14ac:dyDescent="0.2">
      <c r="Y5131" s="18"/>
    </row>
    <row r="5132" spans="25:25" x14ac:dyDescent="0.2">
      <c r="Y5132" s="18"/>
    </row>
    <row r="5133" spans="25:25" x14ac:dyDescent="0.2">
      <c r="Y5133" s="18"/>
    </row>
    <row r="5134" spans="25:25" x14ac:dyDescent="0.2">
      <c r="Y5134" s="18"/>
    </row>
    <row r="5135" spans="25:25" x14ac:dyDescent="0.2">
      <c r="Y5135" s="18"/>
    </row>
    <row r="5136" spans="25:25" x14ac:dyDescent="0.2">
      <c r="Y5136" s="18"/>
    </row>
    <row r="5137" spans="25:25" x14ac:dyDescent="0.2">
      <c r="Y5137" s="18"/>
    </row>
    <row r="5138" spans="25:25" x14ac:dyDescent="0.2">
      <c r="Y5138" s="18"/>
    </row>
    <row r="5139" spans="25:25" x14ac:dyDescent="0.2">
      <c r="Y5139" s="18"/>
    </row>
    <row r="5140" spans="25:25" x14ac:dyDescent="0.2">
      <c r="Y5140" s="18"/>
    </row>
    <row r="5141" spans="25:25" x14ac:dyDescent="0.2">
      <c r="Y5141" s="18"/>
    </row>
    <row r="5142" spans="25:25" x14ac:dyDescent="0.2">
      <c r="Y5142" s="18"/>
    </row>
    <row r="5143" spans="25:25" x14ac:dyDescent="0.2">
      <c r="Y5143" s="18"/>
    </row>
    <row r="5144" spans="25:25" x14ac:dyDescent="0.2">
      <c r="Y5144" s="18"/>
    </row>
    <row r="5145" spans="25:25" x14ac:dyDescent="0.2">
      <c r="Y5145" s="18"/>
    </row>
    <row r="5146" spans="25:25" x14ac:dyDescent="0.2">
      <c r="Y5146" s="18"/>
    </row>
    <row r="5147" spans="25:25" x14ac:dyDescent="0.2">
      <c r="Y5147" s="18"/>
    </row>
    <row r="5148" spans="25:25" x14ac:dyDescent="0.2">
      <c r="Y5148" s="18"/>
    </row>
    <row r="5149" spans="25:25" x14ac:dyDescent="0.2">
      <c r="Y5149" s="18"/>
    </row>
    <row r="5150" spans="25:25" x14ac:dyDescent="0.2">
      <c r="Y5150" s="18"/>
    </row>
    <row r="5151" spans="25:25" x14ac:dyDescent="0.2">
      <c r="Y5151" s="18"/>
    </row>
    <row r="5152" spans="25:25" x14ac:dyDescent="0.2">
      <c r="Y5152" s="18"/>
    </row>
    <row r="5153" spans="25:25" x14ac:dyDescent="0.2">
      <c r="Y5153" s="18"/>
    </row>
    <row r="5154" spans="25:25" x14ac:dyDescent="0.2">
      <c r="Y5154" s="18"/>
    </row>
    <row r="5155" spans="25:25" x14ac:dyDescent="0.2">
      <c r="Y5155" s="18"/>
    </row>
    <row r="5156" spans="25:25" x14ac:dyDescent="0.2">
      <c r="Y5156" s="18"/>
    </row>
    <row r="5157" spans="25:25" x14ac:dyDescent="0.2">
      <c r="Y5157" s="18"/>
    </row>
    <row r="5158" spans="25:25" x14ac:dyDescent="0.2">
      <c r="Y5158" s="18"/>
    </row>
    <row r="5159" spans="25:25" x14ac:dyDescent="0.2">
      <c r="Y5159" s="18"/>
    </row>
    <row r="5160" spans="25:25" x14ac:dyDescent="0.2">
      <c r="Y5160" s="18"/>
    </row>
    <row r="5161" spans="25:25" x14ac:dyDescent="0.2">
      <c r="Y5161" s="18"/>
    </row>
    <row r="5162" spans="25:25" x14ac:dyDescent="0.2">
      <c r="Y5162" s="18"/>
    </row>
    <row r="5163" spans="25:25" x14ac:dyDescent="0.2">
      <c r="Y5163" s="18"/>
    </row>
    <row r="5164" spans="25:25" x14ac:dyDescent="0.2">
      <c r="Y5164" s="18"/>
    </row>
    <row r="5165" spans="25:25" x14ac:dyDescent="0.2">
      <c r="Y5165" s="18"/>
    </row>
    <row r="5166" spans="25:25" x14ac:dyDescent="0.2">
      <c r="Y5166" s="18"/>
    </row>
    <row r="5167" spans="25:25" x14ac:dyDescent="0.2">
      <c r="Y5167" s="18"/>
    </row>
    <row r="5168" spans="25:25" x14ac:dyDescent="0.2">
      <c r="Y5168" s="18"/>
    </row>
    <row r="5169" spans="25:25" x14ac:dyDescent="0.2">
      <c r="Y5169" s="18"/>
    </row>
    <row r="5170" spans="25:25" x14ac:dyDescent="0.2">
      <c r="Y5170" s="18"/>
    </row>
    <row r="5171" spans="25:25" x14ac:dyDescent="0.2">
      <c r="Y5171" s="18"/>
    </row>
    <row r="5172" spans="25:25" x14ac:dyDescent="0.2">
      <c r="Y5172" s="18"/>
    </row>
    <row r="5173" spans="25:25" x14ac:dyDescent="0.2">
      <c r="Y5173" s="18"/>
    </row>
    <row r="5174" spans="25:25" x14ac:dyDescent="0.2">
      <c r="Y5174" s="18"/>
    </row>
    <row r="5175" spans="25:25" x14ac:dyDescent="0.2">
      <c r="Y5175" s="18"/>
    </row>
    <row r="5176" spans="25:25" x14ac:dyDescent="0.2">
      <c r="Y5176" s="18"/>
    </row>
    <row r="5177" spans="25:25" x14ac:dyDescent="0.2">
      <c r="Y5177" s="18"/>
    </row>
    <row r="5178" spans="25:25" x14ac:dyDescent="0.2">
      <c r="Y5178" s="18"/>
    </row>
    <row r="5179" spans="25:25" x14ac:dyDescent="0.2">
      <c r="Y5179" s="18"/>
    </row>
    <row r="5180" spans="25:25" x14ac:dyDescent="0.2">
      <c r="Y5180" s="18"/>
    </row>
    <row r="5181" spans="25:25" x14ac:dyDescent="0.2">
      <c r="Y5181" s="18"/>
    </row>
    <row r="5182" spans="25:25" x14ac:dyDescent="0.2">
      <c r="Y5182" s="18"/>
    </row>
    <row r="5183" spans="25:25" x14ac:dyDescent="0.2">
      <c r="Y5183" s="18"/>
    </row>
    <row r="5184" spans="25:25" x14ac:dyDescent="0.2">
      <c r="Y5184" s="18"/>
    </row>
    <row r="5185" spans="25:25" x14ac:dyDescent="0.2">
      <c r="Y5185" s="18"/>
    </row>
    <row r="5186" spans="25:25" x14ac:dyDescent="0.2">
      <c r="Y5186" s="18"/>
    </row>
    <row r="5187" spans="25:25" x14ac:dyDescent="0.2">
      <c r="Y5187" s="18"/>
    </row>
    <row r="5188" spans="25:25" x14ac:dyDescent="0.2">
      <c r="Y5188" s="18"/>
    </row>
    <row r="5189" spans="25:25" x14ac:dyDescent="0.2">
      <c r="Y5189" s="18"/>
    </row>
    <row r="5190" spans="25:25" x14ac:dyDescent="0.2">
      <c r="Y5190" s="18"/>
    </row>
    <row r="5191" spans="25:25" x14ac:dyDescent="0.2">
      <c r="Y5191" s="18"/>
    </row>
    <row r="5192" spans="25:25" x14ac:dyDescent="0.2">
      <c r="Y5192" s="18"/>
    </row>
    <row r="5193" spans="25:25" x14ac:dyDescent="0.2">
      <c r="Y5193" s="18"/>
    </row>
    <row r="5194" spans="25:25" x14ac:dyDescent="0.2">
      <c r="Y5194" s="18"/>
    </row>
    <row r="5195" spans="25:25" x14ac:dyDescent="0.2">
      <c r="Y5195" s="18"/>
    </row>
    <row r="5196" spans="25:25" x14ac:dyDescent="0.2">
      <c r="Y5196" s="18"/>
    </row>
    <row r="5197" spans="25:25" x14ac:dyDescent="0.2">
      <c r="Y5197" s="18"/>
    </row>
    <row r="5198" spans="25:25" x14ac:dyDescent="0.2">
      <c r="Y5198" s="18"/>
    </row>
    <row r="5199" spans="25:25" x14ac:dyDescent="0.2">
      <c r="Y5199" s="18"/>
    </row>
    <row r="5200" spans="25:25" x14ac:dyDescent="0.2">
      <c r="Y5200" s="18"/>
    </row>
    <row r="5201" spans="25:25" x14ac:dyDescent="0.2">
      <c r="Y5201" s="18"/>
    </row>
    <row r="5202" spans="25:25" x14ac:dyDescent="0.2">
      <c r="Y5202" s="18"/>
    </row>
    <row r="5203" spans="25:25" x14ac:dyDescent="0.2">
      <c r="Y5203" s="18"/>
    </row>
    <row r="5204" spans="25:25" x14ac:dyDescent="0.2">
      <c r="Y5204" s="18"/>
    </row>
    <row r="5205" spans="25:25" x14ac:dyDescent="0.2">
      <c r="Y5205" s="18"/>
    </row>
    <row r="5206" spans="25:25" x14ac:dyDescent="0.2">
      <c r="Y5206" s="18"/>
    </row>
    <row r="5207" spans="25:25" x14ac:dyDescent="0.2">
      <c r="Y5207" s="18"/>
    </row>
    <row r="5208" spans="25:25" x14ac:dyDescent="0.2">
      <c r="Y5208" s="18"/>
    </row>
    <row r="5209" spans="25:25" x14ac:dyDescent="0.2">
      <c r="Y5209" s="18"/>
    </row>
    <row r="5210" spans="25:25" x14ac:dyDescent="0.2">
      <c r="Y5210" s="18"/>
    </row>
    <row r="5211" spans="25:25" x14ac:dyDescent="0.2">
      <c r="Y5211" s="18"/>
    </row>
    <row r="5212" spans="25:25" x14ac:dyDescent="0.2">
      <c r="Y5212" s="18"/>
    </row>
    <row r="5213" spans="25:25" x14ac:dyDescent="0.2">
      <c r="Y5213" s="18"/>
    </row>
    <row r="5214" spans="25:25" x14ac:dyDescent="0.2">
      <c r="Y5214" s="18"/>
    </row>
    <row r="5215" spans="25:25" x14ac:dyDescent="0.2">
      <c r="Y5215" s="18"/>
    </row>
    <row r="5216" spans="25:25" x14ac:dyDescent="0.2">
      <c r="Y5216" s="18"/>
    </row>
    <row r="5217" spans="25:25" x14ac:dyDescent="0.2">
      <c r="Y5217" s="18"/>
    </row>
    <row r="5218" spans="25:25" x14ac:dyDescent="0.2">
      <c r="Y5218" s="18"/>
    </row>
    <row r="5219" spans="25:25" x14ac:dyDescent="0.2">
      <c r="Y5219" s="18"/>
    </row>
    <row r="5220" spans="25:25" x14ac:dyDescent="0.2">
      <c r="Y5220" s="18"/>
    </row>
    <row r="5221" spans="25:25" x14ac:dyDescent="0.2">
      <c r="Y5221" s="18"/>
    </row>
    <row r="5222" spans="25:25" x14ac:dyDescent="0.2">
      <c r="Y5222" s="18"/>
    </row>
    <row r="5223" spans="25:25" x14ac:dyDescent="0.2">
      <c r="Y5223" s="18"/>
    </row>
    <row r="5224" spans="25:25" x14ac:dyDescent="0.2">
      <c r="Y5224" s="18"/>
    </row>
    <row r="5225" spans="25:25" x14ac:dyDescent="0.2">
      <c r="Y5225" s="18"/>
    </row>
    <row r="5226" spans="25:25" x14ac:dyDescent="0.2">
      <c r="Y5226" s="18"/>
    </row>
    <row r="5227" spans="25:25" x14ac:dyDescent="0.2">
      <c r="Y5227" s="18"/>
    </row>
    <row r="5228" spans="25:25" x14ac:dyDescent="0.2">
      <c r="Y5228" s="18"/>
    </row>
    <row r="5229" spans="25:25" x14ac:dyDescent="0.2">
      <c r="Y5229" s="18"/>
    </row>
    <row r="5230" spans="25:25" x14ac:dyDescent="0.2">
      <c r="Y5230" s="18"/>
    </row>
    <row r="5231" spans="25:25" x14ac:dyDescent="0.2">
      <c r="Y5231" s="18"/>
    </row>
    <row r="5232" spans="25:25" x14ac:dyDescent="0.2">
      <c r="Y5232" s="18"/>
    </row>
    <row r="5233" spans="25:25" x14ac:dyDescent="0.2">
      <c r="Y5233" s="18"/>
    </row>
    <row r="5234" spans="25:25" x14ac:dyDescent="0.2">
      <c r="Y5234" s="18"/>
    </row>
    <row r="5235" spans="25:25" x14ac:dyDescent="0.2">
      <c r="Y5235" s="18"/>
    </row>
    <row r="5236" spans="25:25" x14ac:dyDescent="0.2">
      <c r="Y5236" s="18"/>
    </row>
    <row r="5237" spans="25:25" x14ac:dyDescent="0.2">
      <c r="Y5237" s="18"/>
    </row>
    <row r="5238" spans="25:25" x14ac:dyDescent="0.2">
      <c r="Y5238" s="18"/>
    </row>
    <row r="5239" spans="25:25" x14ac:dyDescent="0.2">
      <c r="Y5239" s="18"/>
    </row>
    <row r="5240" spans="25:25" x14ac:dyDescent="0.2">
      <c r="Y5240" s="18"/>
    </row>
    <row r="5241" spans="25:25" x14ac:dyDescent="0.2">
      <c r="Y5241" s="18"/>
    </row>
    <row r="5242" spans="25:25" x14ac:dyDescent="0.2">
      <c r="Y5242" s="18"/>
    </row>
    <row r="5243" spans="25:25" x14ac:dyDescent="0.2">
      <c r="Y5243" s="18"/>
    </row>
    <row r="5244" spans="25:25" x14ac:dyDescent="0.2">
      <c r="Y5244" s="18"/>
    </row>
    <row r="5245" spans="25:25" x14ac:dyDescent="0.2">
      <c r="Y5245" s="18"/>
    </row>
    <row r="5246" spans="25:25" x14ac:dyDescent="0.2">
      <c r="Y5246" s="18"/>
    </row>
    <row r="5247" spans="25:25" x14ac:dyDescent="0.2">
      <c r="Y5247" s="18"/>
    </row>
    <row r="5248" spans="25:25" x14ac:dyDescent="0.2">
      <c r="Y5248" s="18"/>
    </row>
    <row r="5249" spans="25:25" x14ac:dyDescent="0.2">
      <c r="Y5249" s="18"/>
    </row>
    <row r="5250" spans="25:25" x14ac:dyDescent="0.2">
      <c r="Y5250" s="18"/>
    </row>
    <row r="5251" spans="25:25" x14ac:dyDescent="0.2">
      <c r="Y5251" s="18"/>
    </row>
    <row r="5252" spans="25:25" x14ac:dyDescent="0.2">
      <c r="Y5252" s="18"/>
    </row>
    <row r="5253" spans="25:25" x14ac:dyDescent="0.2">
      <c r="Y5253" s="18"/>
    </row>
    <row r="5254" spans="25:25" x14ac:dyDescent="0.2">
      <c r="Y5254" s="18"/>
    </row>
    <row r="5255" spans="25:25" x14ac:dyDescent="0.2">
      <c r="Y5255" s="18"/>
    </row>
    <row r="5256" spans="25:25" x14ac:dyDescent="0.2">
      <c r="Y5256" s="18"/>
    </row>
    <row r="5257" spans="25:25" x14ac:dyDescent="0.2">
      <c r="Y5257" s="18"/>
    </row>
    <row r="5258" spans="25:25" x14ac:dyDescent="0.2">
      <c r="Y5258" s="18"/>
    </row>
    <row r="5259" spans="25:25" x14ac:dyDescent="0.2">
      <c r="Y5259" s="18"/>
    </row>
    <row r="5260" spans="25:25" x14ac:dyDescent="0.2">
      <c r="Y5260" s="18"/>
    </row>
    <row r="5261" spans="25:25" x14ac:dyDescent="0.2">
      <c r="Y5261" s="18"/>
    </row>
    <row r="5262" spans="25:25" x14ac:dyDescent="0.2">
      <c r="Y5262" s="18"/>
    </row>
    <row r="5263" spans="25:25" x14ac:dyDescent="0.2">
      <c r="Y5263" s="18"/>
    </row>
    <row r="5264" spans="25:25" x14ac:dyDescent="0.2">
      <c r="Y5264" s="18"/>
    </row>
    <row r="5265" spans="25:25" x14ac:dyDescent="0.2">
      <c r="Y5265" s="18"/>
    </row>
    <row r="5266" spans="25:25" x14ac:dyDescent="0.2">
      <c r="Y5266" s="18"/>
    </row>
    <row r="5267" spans="25:25" x14ac:dyDescent="0.2">
      <c r="Y5267" s="18"/>
    </row>
    <row r="5268" spans="25:25" x14ac:dyDescent="0.2">
      <c r="Y5268" s="18"/>
    </row>
    <row r="5269" spans="25:25" x14ac:dyDescent="0.2">
      <c r="Y5269" s="18"/>
    </row>
    <row r="5270" spans="25:25" x14ac:dyDescent="0.2">
      <c r="Y5270" s="18"/>
    </row>
    <row r="5271" spans="25:25" x14ac:dyDescent="0.2">
      <c r="Y5271" s="18"/>
    </row>
    <row r="5272" spans="25:25" x14ac:dyDescent="0.2">
      <c r="Y5272" s="18"/>
    </row>
    <row r="5273" spans="25:25" x14ac:dyDescent="0.2">
      <c r="Y5273" s="18"/>
    </row>
    <row r="5274" spans="25:25" x14ac:dyDescent="0.2">
      <c r="Y5274" s="18"/>
    </row>
    <row r="5275" spans="25:25" x14ac:dyDescent="0.2">
      <c r="Y5275" s="18"/>
    </row>
    <row r="5276" spans="25:25" x14ac:dyDescent="0.2">
      <c r="Y5276" s="18"/>
    </row>
    <row r="5277" spans="25:25" x14ac:dyDescent="0.2">
      <c r="Y5277" s="18"/>
    </row>
    <row r="5278" spans="25:25" x14ac:dyDescent="0.2">
      <c r="Y5278" s="18"/>
    </row>
    <row r="5279" spans="25:25" x14ac:dyDescent="0.2">
      <c r="Y5279" s="18"/>
    </row>
    <row r="5280" spans="25:25" x14ac:dyDescent="0.2">
      <c r="Y5280" s="18"/>
    </row>
    <row r="5281" spans="25:25" x14ac:dyDescent="0.2">
      <c r="Y5281" s="18"/>
    </row>
    <row r="5282" spans="25:25" x14ac:dyDescent="0.2">
      <c r="Y5282" s="18"/>
    </row>
    <row r="5283" spans="25:25" x14ac:dyDescent="0.2">
      <c r="Y5283" s="18"/>
    </row>
    <row r="5284" spans="25:25" x14ac:dyDescent="0.2">
      <c r="Y5284" s="18"/>
    </row>
    <row r="5285" spans="25:25" x14ac:dyDescent="0.2">
      <c r="Y5285" s="18"/>
    </row>
    <row r="5286" spans="25:25" x14ac:dyDescent="0.2">
      <c r="Y5286" s="18"/>
    </row>
    <row r="5287" spans="25:25" x14ac:dyDescent="0.2">
      <c r="Y5287" s="18"/>
    </row>
    <row r="5288" spans="25:25" x14ac:dyDescent="0.2">
      <c r="Y5288" s="18"/>
    </row>
    <row r="5289" spans="25:25" x14ac:dyDescent="0.2">
      <c r="Y5289" s="18"/>
    </row>
    <row r="5290" spans="25:25" x14ac:dyDescent="0.2">
      <c r="Y5290" s="18"/>
    </row>
    <row r="5291" spans="25:25" x14ac:dyDescent="0.2">
      <c r="Y5291" s="18"/>
    </row>
    <row r="5292" spans="25:25" x14ac:dyDescent="0.2">
      <c r="Y5292" s="18"/>
    </row>
    <row r="5293" spans="25:25" x14ac:dyDescent="0.2">
      <c r="Y5293" s="18"/>
    </row>
    <row r="5294" spans="25:25" x14ac:dyDescent="0.2">
      <c r="Y5294" s="18"/>
    </row>
    <row r="5295" spans="25:25" x14ac:dyDescent="0.2">
      <c r="Y5295" s="18"/>
    </row>
    <row r="5296" spans="25:25" x14ac:dyDescent="0.2">
      <c r="Y5296" s="18"/>
    </row>
    <row r="5297" spans="25:25" x14ac:dyDescent="0.2">
      <c r="Y5297" s="18"/>
    </row>
    <row r="5298" spans="25:25" x14ac:dyDescent="0.2">
      <c r="Y5298" s="18"/>
    </row>
    <row r="5299" spans="25:25" x14ac:dyDescent="0.2">
      <c r="Y5299" s="18"/>
    </row>
    <row r="5300" spans="25:25" x14ac:dyDescent="0.2">
      <c r="Y5300" s="18"/>
    </row>
    <row r="5301" spans="25:25" x14ac:dyDescent="0.2">
      <c r="Y5301" s="18"/>
    </row>
    <row r="5302" spans="25:25" x14ac:dyDescent="0.2">
      <c r="Y5302" s="18"/>
    </row>
    <row r="5303" spans="25:25" x14ac:dyDescent="0.2">
      <c r="Y5303" s="18"/>
    </row>
    <row r="5304" spans="25:25" x14ac:dyDescent="0.2">
      <c r="Y5304" s="18"/>
    </row>
    <row r="5305" spans="25:25" x14ac:dyDescent="0.2">
      <c r="Y5305" s="18"/>
    </row>
    <row r="5306" spans="25:25" x14ac:dyDescent="0.2">
      <c r="Y5306" s="18"/>
    </row>
    <row r="5307" spans="25:25" x14ac:dyDescent="0.2">
      <c r="Y5307" s="18"/>
    </row>
    <row r="5308" spans="25:25" x14ac:dyDescent="0.2">
      <c r="Y5308" s="18"/>
    </row>
    <row r="5309" spans="25:25" x14ac:dyDescent="0.2">
      <c r="Y5309" s="18"/>
    </row>
    <row r="5310" spans="25:25" x14ac:dyDescent="0.2">
      <c r="Y5310" s="18"/>
    </row>
    <row r="5311" spans="25:25" x14ac:dyDescent="0.2">
      <c r="Y5311" s="18"/>
    </row>
    <row r="5312" spans="25:25" x14ac:dyDescent="0.2">
      <c r="Y5312" s="18"/>
    </row>
    <row r="5313" spans="25:25" x14ac:dyDescent="0.2">
      <c r="Y5313" s="18"/>
    </row>
    <row r="5314" spans="25:25" x14ac:dyDescent="0.2">
      <c r="Y5314" s="18"/>
    </row>
    <row r="5315" spans="25:25" x14ac:dyDescent="0.2">
      <c r="Y5315" s="18"/>
    </row>
    <row r="5316" spans="25:25" x14ac:dyDescent="0.2">
      <c r="Y5316" s="18"/>
    </row>
    <row r="5317" spans="25:25" x14ac:dyDescent="0.2">
      <c r="Y5317" s="18"/>
    </row>
    <row r="5318" spans="25:25" x14ac:dyDescent="0.2">
      <c r="Y5318" s="18"/>
    </row>
    <row r="5319" spans="25:25" x14ac:dyDescent="0.2">
      <c r="Y5319" s="18"/>
    </row>
    <row r="5320" spans="25:25" x14ac:dyDescent="0.2">
      <c r="Y5320" s="18"/>
    </row>
    <row r="5321" spans="25:25" x14ac:dyDescent="0.2">
      <c r="Y5321" s="18"/>
    </row>
    <row r="5322" spans="25:25" x14ac:dyDescent="0.2">
      <c r="Y5322" s="18"/>
    </row>
    <row r="5323" spans="25:25" x14ac:dyDescent="0.2">
      <c r="Y5323" s="18"/>
    </row>
    <row r="5324" spans="25:25" x14ac:dyDescent="0.2">
      <c r="Y5324" s="18"/>
    </row>
    <row r="5325" spans="25:25" x14ac:dyDescent="0.2">
      <c r="Y5325" s="18"/>
    </row>
    <row r="5326" spans="25:25" x14ac:dyDescent="0.2">
      <c r="Y5326" s="18"/>
    </row>
    <row r="5327" spans="25:25" x14ac:dyDescent="0.2">
      <c r="Y5327" s="18"/>
    </row>
    <row r="5328" spans="25:25" x14ac:dyDescent="0.2">
      <c r="Y5328" s="18"/>
    </row>
    <row r="5329" spans="25:25" x14ac:dyDescent="0.2">
      <c r="Y5329" s="18"/>
    </row>
    <row r="5330" spans="25:25" x14ac:dyDescent="0.2">
      <c r="Y5330" s="18"/>
    </row>
    <row r="5331" spans="25:25" x14ac:dyDescent="0.2">
      <c r="Y5331" s="18"/>
    </row>
    <row r="5332" spans="25:25" x14ac:dyDescent="0.2">
      <c r="Y5332" s="18"/>
    </row>
    <row r="5333" spans="25:25" x14ac:dyDescent="0.2">
      <c r="Y5333" s="18"/>
    </row>
    <row r="5334" spans="25:25" x14ac:dyDescent="0.2">
      <c r="Y5334" s="18"/>
    </row>
    <row r="5335" spans="25:25" x14ac:dyDescent="0.2">
      <c r="Y5335" s="18"/>
    </row>
    <row r="5336" spans="25:25" x14ac:dyDescent="0.2">
      <c r="Y5336" s="18"/>
    </row>
    <row r="5337" spans="25:25" x14ac:dyDescent="0.2">
      <c r="Y5337" s="18"/>
    </row>
    <row r="5338" spans="25:25" x14ac:dyDescent="0.2">
      <c r="Y5338" s="18"/>
    </row>
    <row r="5339" spans="25:25" x14ac:dyDescent="0.2">
      <c r="Y5339" s="18"/>
    </row>
    <row r="5340" spans="25:25" x14ac:dyDescent="0.2">
      <c r="Y5340" s="18"/>
    </row>
    <row r="5341" spans="25:25" x14ac:dyDescent="0.2">
      <c r="Y5341" s="18"/>
    </row>
    <row r="5342" spans="25:25" x14ac:dyDescent="0.2">
      <c r="Y5342" s="18"/>
    </row>
    <row r="5343" spans="25:25" x14ac:dyDescent="0.2">
      <c r="Y5343" s="18"/>
    </row>
    <row r="5344" spans="25:25" x14ac:dyDescent="0.2">
      <c r="Y5344" s="18"/>
    </row>
    <row r="5345" spans="25:25" x14ac:dyDescent="0.2">
      <c r="Y5345" s="18"/>
    </row>
    <row r="5346" spans="25:25" x14ac:dyDescent="0.2">
      <c r="Y5346" s="18"/>
    </row>
    <row r="5347" spans="25:25" x14ac:dyDescent="0.2">
      <c r="Y5347" s="18"/>
    </row>
    <row r="5348" spans="25:25" x14ac:dyDescent="0.2">
      <c r="Y5348" s="18"/>
    </row>
    <row r="5349" spans="25:25" x14ac:dyDescent="0.2">
      <c r="Y5349" s="18"/>
    </row>
    <row r="5350" spans="25:25" x14ac:dyDescent="0.2">
      <c r="Y5350" s="18"/>
    </row>
    <row r="5351" spans="25:25" x14ac:dyDescent="0.2">
      <c r="Y5351" s="18"/>
    </row>
    <row r="5352" spans="25:25" x14ac:dyDescent="0.2">
      <c r="Y5352" s="18"/>
    </row>
    <row r="5353" spans="25:25" x14ac:dyDescent="0.2">
      <c r="Y5353" s="18"/>
    </row>
    <row r="5354" spans="25:25" x14ac:dyDescent="0.2">
      <c r="Y5354" s="18"/>
    </row>
    <row r="5355" spans="25:25" x14ac:dyDescent="0.2">
      <c r="Y5355" s="18"/>
    </row>
    <row r="5356" spans="25:25" x14ac:dyDescent="0.2">
      <c r="Y5356" s="18"/>
    </row>
    <row r="5357" spans="25:25" x14ac:dyDescent="0.2">
      <c r="Y5357" s="18"/>
    </row>
    <row r="5358" spans="25:25" x14ac:dyDescent="0.2">
      <c r="Y5358" s="18"/>
    </row>
    <row r="5359" spans="25:25" x14ac:dyDescent="0.2">
      <c r="Y5359" s="18"/>
    </row>
    <row r="5360" spans="25:25" x14ac:dyDescent="0.2">
      <c r="Y5360" s="18"/>
    </row>
    <row r="5361" spans="25:25" x14ac:dyDescent="0.2">
      <c r="Y5361" s="18"/>
    </row>
    <row r="5362" spans="25:25" x14ac:dyDescent="0.2">
      <c r="Y5362" s="18"/>
    </row>
    <row r="5363" spans="25:25" x14ac:dyDescent="0.2">
      <c r="Y5363" s="18"/>
    </row>
    <row r="5364" spans="25:25" x14ac:dyDescent="0.2">
      <c r="Y5364" s="18"/>
    </row>
    <row r="5365" spans="25:25" x14ac:dyDescent="0.2">
      <c r="Y5365" s="18"/>
    </row>
    <row r="5366" spans="25:25" x14ac:dyDescent="0.2">
      <c r="Y5366" s="18"/>
    </row>
    <row r="5367" spans="25:25" x14ac:dyDescent="0.2">
      <c r="Y5367" s="18"/>
    </row>
    <row r="5368" spans="25:25" x14ac:dyDescent="0.2">
      <c r="Y5368" s="18"/>
    </row>
    <row r="5369" spans="25:25" x14ac:dyDescent="0.2">
      <c r="Y5369" s="18"/>
    </row>
    <row r="5370" spans="25:25" x14ac:dyDescent="0.2">
      <c r="Y5370" s="18"/>
    </row>
    <row r="5371" spans="25:25" x14ac:dyDescent="0.2">
      <c r="Y5371" s="18"/>
    </row>
    <row r="5372" spans="25:25" x14ac:dyDescent="0.2">
      <c r="Y5372" s="18"/>
    </row>
    <row r="5373" spans="25:25" x14ac:dyDescent="0.2">
      <c r="Y5373" s="18"/>
    </row>
    <row r="5374" spans="25:25" x14ac:dyDescent="0.2">
      <c r="Y5374" s="18"/>
    </row>
    <row r="5375" spans="25:25" x14ac:dyDescent="0.2">
      <c r="Y5375" s="18"/>
    </row>
    <row r="5376" spans="25:25" x14ac:dyDescent="0.2">
      <c r="Y5376" s="18"/>
    </row>
    <row r="5377" spans="25:25" x14ac:dyDescent="0.2">
      <c r="Y5377" s="18"/>
    </row>
    <row r="5378" spans="25:25" x14ac:dyDescent="0.2">
      <c r="Y5378" s="18"/>
    </row>
    <row r="5379" spans="25:25" x14ac:dyDescent="0.2">
      <c r="Y5379" s="18"/>
    </row>
    <row r="5380" spans="25:25" x14ac:dyDescent="0.2">
      <c r="Y5380" s="18"/>
    </row>
    <row r="5381" spans="25:25" x14ac:dyDescent="0.2">
      <c r="Y5381" s="18"/>
    </row>
    <row r="5382" spans="25:25" x14ac:dyDescent="0.2">
      <c r="Y5382" s="18"/>
    </row>
    <row r="5383" spans="25:25" x14ac:dyDescent="0.2">
      <c r="Y5383" s="18"/>
    </row>
    <row r="5384" spans="25:25" x14ac:dyDescent="0.2">
      <c r="Y5384" s="18"/>
    </row>
    <row r="5385" spans="25:25" x14ac:dyDescent="0.2">
      <c r="Y5385" s="18"/>
    </row>
    <row r="5386" spans="25:25" x14ac:dyDescent="0.2">
      <c r="Y5386" s="18"/>
    </row>
    <row r="5387" spans="25:25" x14ac:dyDescent="0.2">
      <c r="Y5387" s="18"/>
    </row>
    <row r="5388" spans="25:25" x14ac:dyDescent="0.2">
      <c r="Y5388" s="18"/>
    </row>
    <row r="5389" spans="25:25" x14ac:dyDescent="0.2">
      <c r="Y5389" s="18"/>
    </row>
    <row r="5390" spans="25:25" x14ac:dyDescent="0.2">
      <c r="Y5390" s="18"/>
    </row>
    <row r="5391" spans="25:25" x14ac:dyDescent="0.2">
      <c r="Y5391" s="18"/>
    </row>
    <row r="5392" spans="25:25" x14ac:dyDescent="0.2">
      <c r="Y5392" s="18"/>
    </row>
    <row r="5393" spans="25:25" x14ac:dyDescent="0.2">
      <c r="Y5393" s="18"/>
    </row>
    <row r="5394" spans="25:25" x14ac:dyDescent="0.2">
      <c r="Y5394" s="18"/>
    </row>
    <row r="5395" spans="25:25" x14ac:dyDescent="0.2">
      <c r="Y5395" s="18"/>
    </row>
    <row r="5396" spans="25:25" x14ac:dyDescent="0.2">
      <c r="Y5396" s="18"/>
    </row>
    <row r="5397" spans="25:25" x14ac:dyDescent="0.2">
      <c r="Y5397" s="18"/>
    </row>
    <row r="5398" spans="25:25" x14ac:dyDescent="0.2">
      <c r="Y5398" s="18"/>
    </row>
    <row r="5399" spans="25:25" x14ac:dyDescent="0.2">
      <c r="Y5399" s="18"/>
    </row>
    <row r="5400" spans="25:25" x14ac:dyDescent="0.2">
      <c r="Y5400" s="18"/>
    </row>
    <row r="5401" spans="25:25" x14ac:dyDescent="0.2">
      <c r="Y5401" s="18"/>
    </row>
    <row r="5402" spans="25:25" x14ac:dyDescent="0.2">
      <c r="Y5402" s="18"/>
    </row>
    <row r="5403" spans="25:25" x14ac:dyDescent="0.2">
      <c r="Y5403" s="18"/>
    </row>
    <row r="5404" spans="25:25" x14ac:dyDescent="0.2">
      <c r="Y5404" s="18"/>
    </row>
    <row r="5405" spans="25:25" x14ac:dyDescent="0.2">
      <c r="Y5405" s="18"/>
    </row>
    <row r="5406" spans="25:25" x14ac:dyDescent="0.2">
      <c r="Y5406" s="18"/>
    </row>
    <row r="5407" spans="25:25" x14ac:dyDescent="0.2">
      <c r="Y5407" s="18"/>
    </row>
    <row r="5408" spans="25:25" x14ac:dyDescent="0.2">
      <c r="Y5408" s="18"/>
    </row>
    <row r="5409" spans="25:25" x14ac:dyDescent="0.2">
      <c r="Y5409" s="18"/>
    </row>
    <row r="5410" spans="25:25" x14ac:dyDescent="0.2">
      <c r="Y5410" s="18"/>
    </row>
    <row r="5411" spans="25:25" x14ac:dyDescent="0.2">
      <c r="Y5411" s="18"/>
    </row>
    <row r="5412" spans="25:25" x14ac:dyDescent="0.2">
      <c r="Y5412" s="18"/>
    </row>
    <row r="5413" spans="25:25" x14ac:dyDescent="0.2">
      <c r="Y5413" s="18"/>
    </row>
    <row r="5414" spans="25:25" x14ac:dyDescent="0.2">
      <c r="Y5414" s="18"/>
    </row>
    <row r="5415" spans="25:25" x14ac:dyDescent="0.2">
      <c r="Y5415" s="18"/>
    </row>
    <row r="5416" spans="25:25" x14ac:dyDescent="0.2">
      <c r="Y5416" s="18"/>
    </row>
    <row r="5417" spans="25:25" x14ac:dyDescent="0.2">
      <c r="Y5417" s="18"/>
    </row>
    <row r="5418" spans="25:25" x14ac:dyDescent="0.2">
      <c r="Y5418" s="18"/>
    </row>
    <row r="5419" spans="25:25" x14ac:dyDescent="0.2">
      <c r="Y5419" s="18"/>
    </row>
    <row r="5420" spans="25:25" x14ac:dyDescent="0.2">
      <c r="Y5420" s="18"/>
    </row>
    <row r="5421" spans="25:25" x14ac:dyDescent="0.2">
      <c r="Y5421" s="18"/>
    </row>
    <row r="5422" spans="25:25" x14ac:dyDescent="0.2">
      <c r="Y5422" s="18"/>
    </row>
    <row r="5423" spans="25:25" x14ac:dyDescent="0.2">
      <c r="Y5423" s="18"/>
    </row>
    <row r="5424" spans="25:25" x14ac:dyDescent="0.2">
      <c r="Y5424" s="18"/>
    </row>
    <row r="5425" spans="25:25" x14ac:dyDescent="0.2">
      <c r="Y5425" s="18"/>
    </row>
    <row r="5426" spans="25:25" x14ac:dyDescent="0.2">
      <c r="Y5426" s="18"/>
    </row>
    <row r="5427" spans="25:25" x14ac:dyDescent="0.2">
      <c r="Y5427" s="18"/>
    </row>
    <row r="5428" spans="25:25" x14ac:dyDescent="0.2">
      <c r="Y5428" s="18"/>
    </row>
    <row r="5429" spans="25:25" x14ac:dyDescent="0.2">
      <c r="Y5429" s="18"/>
    </row>
    <row r="5430" spans="25:25" x14ac:dyDescent="0.2">
      <c r="Y5430" s="18"/>
    </row>
    <row r="5431" spans="25:25" x14ac:dyDescent="0.2">
      <c r="Y5431" s="18"/>
    </row>
    <row r="5432" spans="25:25" x14ac:dyDescent="0.2">
      <c r="Y5432" s="18"/>
    </row>
    <row r="5433" spans="25:25" x14ac:dyDescent="0.2">
      <c r="Y5433" s="18"/>
    </row>
    <row r="5434" spans="25:25" x14ac:dyDescent="0.2">
      <c r="Y5434" s="18"/>
    </row>
    <row r="5435" spans="25:25" x14ac:dyDescent="0.2">
      <c r="Y5435" s="18"/>
    </row>
    <row r="5436" spans="25:25" x14ac:dyDescent="0.2">
      <c r="Y5436" s="18"/>
    </row>
    <row r="5437" spans="25:25" x14ac:dyDescent="0.2">
      <c r="Y5437" s="18"/>
    </row>
    <row r="5438" spans="25:25" x14ac:dyDescent="0.2">
      <c r="Y5438" s="18"/>
    </row>
    <row r="5439" spans="25:25" x14ac:dyDescent="0.2">
      <c r="Y5439" s="18"/>
    </row>
    <row r="5440" spans="25:25" x14ac:dyDescent="0.2">
      <c r="Y5440" s="18"/>
    </row>
    <row r="5441" spans="25:25" x14ac:dyDescent="0.2">
      <c r="Y5441" s="18"/>
    </row>
    <row r="5442" spans="25:25" x14ac:dyDescent="0.2">
      <c r="Y5442" s="18"/>
    </row>
    <row r="5443" spans="25:25" x14ac:dyDescent="0.2">
      <c r="Y5443" s="18"/>
    </row>
    <row r="5444" spans="25:25" x14ac:dyDescent="0.2">
      <c r="Y5444" s="18"/>
    </row>
    <row r="5445" spans="25:25" x14ac:dyDescent="0.2">
      <c r="Y5445" s="18"/>
    </row>
    <row r="5446" spans="25:25" x14ac:dyDescent="0.2">
      <c r="Y5446" s="18"/>
    </row>
    <row r="5447" spans="25:25" x14ac:dyDescent="0.2">
      <c r="Y5447" s="18"/>
    </row>
    <row r="5448" spans="25:25" x14ac:dyDescent="0.2">
      <c r="Y5448" s="18"/>
    </row>
    <row r="5449" spans="25:25" x14ac:dyDescent="0.2">
      <c r="Y5449" s="18"/>
    </row>
    <row r="5450" spans="25:25" x14ac:dyDescent="0.2">
      <c r="Y5450" s="18"/>
    </row>
    <row r="5451" spans="25:25" x14ac:dyDescent="0.2">
      <c r="Y5451" s="18"/>
    </row>
    <row r="5452" spans="25:25" x14ac:dyDescent="0.2">
      <c r="Y5452" s="18"/>
    </row>
    <row r="5453" spans="25:25" x14ac:dyDescent="0.2">
      <c r="Y5453" s="18"/>
    </row>
    <row r="5454" spans="25:25" x14ac:dyDescent="0.2">
      <c r="Y5454" s="18"/>
    </row>
    <row r="5455" spans="25:25" x14ac:dyDescent="0.2">
      <c r="Y5455" s="18"/>
    </row>
    <row r="5456" spans="25:25" x14ac:dyDescent="0.2">
      <c r="Y5456" s="18"/>
    </row>
    <row r="5457" spans="25:25" x14ac:dyDescent="0.2">
      <c r="Y5457" s="18"/>
    </row>
    <row r="5458" spans="25:25" x14ac:dyDescent="0.2">
      <c r="Y5458" s="18"/>
    </row>
    <row r="5459" spans="25:25" x14ac:dyDescent="0.2">
      <c r="Y5459" s="18"/>
    </row>
    <row r="5460" spans="25:25" x14ac:dyDescent="0.2">
      <c r="Y5460" s="18"/>
    </row>
    <row r="5461" spans="25:25" x14ac:dyDescent="0.2">
      <c r="Y5461" s="18"/>
    </row>
    <row r="5462" spans="25:25" x14ac:dyDescent="0.2">
      <c r="Y5462" s="18"/>
    </row>
    <row r="5463" spans="25:25" x14ac:dyDescent="0.2">
      <c r="Y5463" s="18"/>
    </row>
    <row r="5464" spans="25:25" x14ac:dyDescent="0.2">
      <c r="Y5464" s="18"/>
    </row>
    <row r="5465" spans="25:25" x14ac:dyDescent="0.2">
      <c r="Y5465" s="18"/>
    </row>
    <row r="5466" spans="25:25" x14ac:dyDescent="0.2">
      <c r="Y5466" s="18"/>
    </row>
    <row r="5467" spans="25:25" x14ac:dyDescent="0.2">
      <c r="Y5467" s="18"/>
    </row>
    <row r="5468" spans="25:25" x14ac:dyDescent="0.2">
      <c r="Y5468" s="18"/>
    </row>
    <row r="5469" spans="25:25" x14ac:dyDescent="0.2">
      <c r="Y5469" s="18"/>
    </row>
    <row r="5470" spans="25:25" x14ac:dyDescent="0.2">
      <c r="Y5470" s="18"/>
    </row>
    <row r="5471" spans="25:25" x14ac:dyDescent="0.2">
      <c r="Y5471" s="18"/>
    </row>
    <row r="5472" spans="25:25" x14ac:dyDescent="0.2">
      <c r="Y5472" s="18"/>
    </row>
    <row r="5473" spans="25:25" x14ac:dyDescent="0.2">
      <c r="Y5473" s="18"/>
    </row>
    <row r="5474" spans="25:25" x14ac:dyDescent="0.2">
      <c r="Y5474" s="18"/>
    </row>
    <row r="5475" spans="25:25" x14ac:dyDescent="0.2">
      <c r="Y5475" s="18"/>
    </row>
    <row r="5476" spans="25:25" x14ac:dyDescent="0.2">
      <c r="Y5476" s="18"/>
    </row>
    <row r="5477" spans="25:25" x14ac:dyDescent="0.2">
      <c r="Y5477" s="18"/>
    </row>
    <row r="5478" spans="25:25" x14ac:dyDescent="0.2">
      <c r="Y5478" s="18"/>
    </row>
    <row r="5479" spans="25:25" x14ac:dyDescent="0.2">
      <c r="Y5479" s="18"/>
    </row>
    <row r="5480" spans="25:25" x14ac:dyDescent="0.2">
      <c r="Y5480" s="18"/>
    </row>
    <row r="5481" spans="25:25" x14ac:dyDescent="0.2">
      <c r="Y5481" s="18"/>
    </row>
    <row r="5482" spans="25:25" x14ac:dyDescent="0.2">
      <c r="Y5482" s="18"/>
    </row>
    <row r="5483" spans="25:25" x14ac:dyDescent="0.2">
      <c r="Y5483" s="18"/>
    </row>
    <row r="5484" spans="25:25" x14ac:dyDescent="0.2">
      <c r="Y5484" s="18"/>
    </row>
    <row r="5485" spans="25:25" x14ac:dyDescent="0.2">
      <c r="Y5485" s="18"/>
    </row>
    <row r="5486" spans="25:25" x14ac:dyDescent="0.2">
      <c r="Y5486" s="18"/>
    </row>
    <row r="5487" spans="25:25" x14ac:dyDescent="0.2">
      <c r="Y5487" s="18"/>
    </row>
    <row r="5488" spans="25:25" x14ac:dyDescent="0.2">
      <c r="Y5488" s="18"/>
    </row>
    <row r="5489" spans="25:25" x14ac:dyDescent="0.2">
      <c r="Y5489" s="18"/>
    </row>
    <row r="5490" spans="25:25" x14ac:dyDescent="0.2">
      <c r="Y5490" s="18"/>
    </row>
    <row r="5491" spans="25:25" x14ac:dyDescent="0.2">
      <c r="Y5491" s="18"/>
    </row>
    <row r="5492" spans="25:25" x14ac:dyDescent="0.2">
      <c r="Y5492" s="18"/>
    </row>
    <row r="5493" spans="25:25" x14ac:dyDescent="0.2">
      <c r="Y5493" s="18"/>
    </row>
    <row r="5494" spans="25:25" x14ac:dyDescent="0.2">
      <c r="Y5494" s="18"/>
    </row>
    <row r="5495" spans="25:25" x14ac:dyDescent="0.2">
      <c r="Y5495" s="18"/>
    </row>
    <row r="5496" spans="25:25" x14ac:dyDescent="0.2">
      <c r="Y5496" s="18"/>
    </row>
    <row r="5497" spans="25:25" x14ac:dyDescent="0.2">
      <c r="Y5497" s="18"/>
    </row>
    <row r="5498" spans="25:25" x14ac:dyDescent="0.2">
      <c r="Y5498" s="18"/>
    </row>
    <row r="5499" spans="25:25" x14ac:dyDescent="0.2">
      <c r="Y5499" s="18"/>
    </row>
    <row r="5500" spans="25:25" x14ac:dyDescent="0.2">
      <c r="Y5500" s="18"/>
    </row>
    <row r="5501" spans="25:25" x14ac:dyDescent="0.2">
      <c r="Y5501" s="18"/>
    </row>
    <row r="5502" spans="25:25" x14ac:dyDescent="0.2">
      <c r="Y5502" s="18"/>
    </row>
    <row r="5503" spans="25:25" x14ac:dyDescent="0.2">
      <c r="Y5503" s="18"/>
    </row>
    <row r="5504" spans="25:25" x14ac:dyDescent="0.2">
      <c r="Y5504" s="18"/>
    </row>
    <row r="5505" spans="25:25" x14ac:dyDescent="0.2">
      <c r="Y5505" s="18"/>
    </row>
    <row r="5506" spans="25:25" x14ac:dyDescent="0.2">
      <c r="Y5506" s="18"/>
    </row>
    <row r="5507" spans="25:25" x14ac:dyDescent="0.2">
      <c r="Y5507" s="18"/>
    </row>
    <row r="5508" spans="25:25" x14ac:dyDescent="0.2">
      <c r="Y5508" s="18"/>
    </row>
    <row r="5509" spans="25:25" x14ac:dyDescent="0.2">
      <c r="Y5509" s="18"/>
    </row>
    <row r="5510" spans="25:25" x14ac:dyDescent="0.2">
      <c r="Y5510" s="18"/>
    </row>
    <row r="5511" spans="25:25" x14ac:dyDescent="0.2">
      <c r="Y5511" s="18"/>
    </row>
    <row r="5512" spans="25:25" x14ac:dyDescent="0.2">
      <c r="Y5512" s="18"/>
    </row>
    <row r="5513" spans="25:25" x14ac:dyDescent="0.2">
      <c r="Y5513" s="18"/>
    </row>
    <row r="5514" spans="25:25" x14ac:dyDescent="0.2">
      <c r="Y5514" s="18"/>
    </row>
    <row r="5515" spans="25:25" x14ac:dyDescent="0.2">
      <c r="Y5515" s="18"/>
    </row>
    <row r="5516" spans="25:25" x14ac:dyDescent="0.2">
      <c r="Y5516" s="18"/>
    </row>
    <row r="5517" spans="25:25" x14ac:dyDescent="0.2">
      <c r="Y5517" s="18"/>
    </row>
    <row r="5518" spans="25:25" x14ac:dyDescent="0.2">
      <c r="Y5518" s="18"/>
    </row>
    <row r="5519" spans="25:25" x14ac:dyDescent="0.2">
      <c r="Y5519" s="18"/>
    </row>
    <row r="5520" spans="25:25" x14ac:dyDescent="0.2">
      <c r="Y5520" s="18"/>
    </row>
    <row r="5521" spans="25:25" x14ac:dyDescent="0.2">
      <c r="Y5521" s="18"/>
    </row>
    <row r="5522" spans="25:25" x14ac:dyDescent="0.2">
      <c r="Y5522" s="18"/>
    </row>
    <row r="5523" spans="25:25" x14ac:dyDescent="0.2">
      <c r="Y5523" s="18"/>
    </row>
    <row r="5524" spans="25:25" x14ac:dyDescent="0.2">
      <c r="Y5524" s="18"/>
    </row>
    <row r="5525" spans="25:25" x14ac:dyDescent="0.2">
      <c r="Y5525" s="18"/>
    </row>
    <row r="5526" spans="25:25" x14ac:dyDescent="0.2">
      <c r="Y5526" s="18"/>
    </row>
    <row r="5527" spans="25:25" x14ac:dyDescent="0.2">
      <c r="Y5527" s="18"/>
    </row>
    <row r="5528" spans="25:25" x14ac:dyDescent="0.2">
      <c r="Y5528" s="18"/>
    </row>
    <row r="5529" spans="25:25" x14ac:dyDescent="0.2">
      <c r="Y5529" s="18"/>
    </row>
    <row r="5530" spans="25:25" x14ac:dyDescent="0.2">
      <c r="Y5530" s="18"/>
    </row>
    <row r="5531" spans="25:25" x14ac:dyDescent="0.2">
      <c r="Y5531" s="18"/>
    </row>
    <row r="5532" spans="25:25" x14ac:dyDescent="0.2">
      <c r="Y5532" s="18"/>
    </row>
    <row r="5533" spans="25:25" x14ac:dyDescent="0.2">
      <c r="Y5533" s="18"/>
    </row>
    <row r="5534" spans="25:25" x14ac:dyDescent="0.2">
      <c r="Y5534" s="18"/>
    </row>
    <row r="5535" spans="25:25" x14ac:dyDescent="0.2">
      <c r="Y5535" s="18"/>
    </row>
    <row r="5536" spans="25:25" x14ac:dyDescent="0.2">
      <c r="Y5536" s="18"/>
    </row>
    <row r="5537" spans="25:25" x14ac:dyDescent="0.2">
      <c r="Y5537" s="18"/>
    </row>
    <row r="5538" spans="25:25" x14ac:dyDescent="0.2">
      <c r="Y5538" s="18"/>
    </row>
    <row r="5539" spans="25:25" x14ac:dyDescent="0.2">
      <c r="Y5539" s="18"/>
    </row>
    <row r="5540" spans="25:25" x14ac:dyDescent="0.2">
      <c r="Y5540" s="18"/>
    </row>
    <row r="5541" spans="25:25" x14ac:dyDescent="0.2">
      <c r="Y5541" s="18"/>
    </row>
    <row r="5542" spans="25:25" x14ac:dyDescent="0.2">
      <c r="Y5542" s="18"/>
    </row>
    <row r="5543" spans="25:25" x14ac:dyDescent="0.2">
      <c r="Y5543" s="18"/>
    </row>
    <row r="5544" spans="25:25" x14ac:dyDescent="0.2">
      <c r="Y5544" s="18"/>
    </row>
    <row r="5545" spans="25:25" x14ac:dyDescent="0.2">
      <c r="Y5545" s="18"/>
    </row>
    <row r="5546" spans="25:25" x14ac:dyDescent="0.2">
      <c r="Y5546" s="18"/>
    </row>
    <row r="5547" spans="25:25" x14ac:dyDescent="0.2">
      <c r="Y5547" s="18"/>
    </row>
    <row r="5548" spans="25:25" x14ac:dyDescent="0.2">
      <c r="Y5548" s="18"/>
    </row>
    <row r="5549" spans="25:25" x14ac:dyDescent="0.2">
      <c r="Y5549" s="18"/>
    </row>
    <row r="5550" spans="25:25" x14ac:dyDescent="0.2">
      <c r="Y5550" s="18"/>
    </row>
    <row r="5551" spans="25:25" x14ac:dyDescent="0.2">
      <c r="Y5551" s="18"/>
    </row>
    <row r="5552" spans="25:25" x14ac:dyDescent="0.2">
      <c r="Y5552" s="18"/>
    </row>
    <row r="5553" spans="25:25" x14ac:dyDescent="0.2">
      <c r="Y5553" s="18"/>
    </row>
    <row r="5554" spans="25:25" x14ac:dyDescent="0.2">
      <c r="Y5554" s="18"/>
    </row>
    <row r="5555" spans="25:25" x14ac:dyDescent="0.2">
      <c r="Y5555" s="18"/>
    </row>
    <row r="5556" spans="25:25" x14ac:dyDescent="0.2">
      <c r="Y5556" s="18"/>
    </row>
    <row r="5557" spans="25:25" x14ac:dyDescent="0.2">
      <c r="Y5557" s="18"/>
    </row>
    <row r="5558" spans="25:25" x14ac:dyDescent="0.2">
      <c r="Y5558" s="18"/>
    </row>
    <row r="5559" spans="25:25" x14ac:dyDescent="0.2">
      <c r="Y5559" s="18"/>
    </row>
    <row r="5560" spans="25:25" x14ac:dyDescent="0.2">
      <c r="Y5560" s="18"/>
    </row>
    <row r="5561" spans="25:25" x14ac:dyDescent="0.2">
      <c r="Y5561" s="18"/>
    </row>
    <row r="5562" spans="25:25" x14ac:dyDescent="0.2">
      <c r="Y5562" s="18"/>
    </row>
    <row r="5563" spans="25:25" x14ac:dyDescent="0.2">
      <c r="Y5563" s="18"/>
    </row>
    <row r="5564" spans="25:25" x14ac:dyDescent="0.2">
      <c r="Y5564" s="18"/>
    </row>
    <row r="5565" spans="25:25" x14ac:dyDescent="0.2">
      <c r="Y5565" s="18"/>
    </row>
    <row r="5566" spans="25:25" x14ac:dyDescent="0.2">
      <c r="Y5566" s="18"/>
    </row>
    <row r="5567" spans="25:25" x14ac:dyDescent="0.2">
      <c r="Y5567" s="18"/>
    </row>
    <row r="5568" spans="25:25" x14ac:dyDescent="0.2">
      <c r="Y5568" s="18"/>
    </row>
    <row r="5569" spans="25:25" x14ac:dyDescent="0.2">
      <c r="Y5569" s="18"/>
    </row>
    <row r="5570" spans="25:25" x14ac:dyDescent="0.2">
      <c r="Y5570" s="18"/>
    </row>
    <row r="5571" spans="25:25" x14ac:dyDescent="0.2">
      <c r="Y5571" s="18"/>
    </row>
    <row r="5572" spans="25:25" x14ac:dyDescent="0.2">
      <c r="Y5572" s="18"/>
    </row>
    <row r="5573" spans="25:25" x14ac:dyDescent="0.2">
      <c r="Y5573" s="18"/>
    </row>
    <row r="5574" spans="25:25" x14ac:dyDescent="0.2">
      <c r="Y5574" s="18"/>
    </row>
    <row r="5575" spans="25:25" x14ac:dyDescent="0.2">
      <c r="Y5575" s="18"/>
    </row>
    <row r="5576" spans="25:25" x14ac:dyDescent="0.2">
      <c r="Y5576" s="18"/>
    </row>
    <row r="5577" spans="25:25" x14ac:dyDescent="0.2">
      <c r="Y5577" s="18"/>
    </row>
    <row r="5578" spans="25:25" x14ac:dyDescent="0.2">
      <c r="Y5578" s="18"/>
    </row>
    <row r="5579" spans="25:25" x14ac:dyDescent="0.2">
      <c r="Y5579" s="18"/>
    </row>
    <row r="5580" spans="25:25" x14ac:dyDescent="0.2">
      <c r="Y5580" s="18"/>
    </row>
    <row r="5581" spans="25:25" x14ac:dyDescent="0.2">
      <c r="Y5581" s="18"/>
    </row>
    <row r="5582" spans="25:25" x14ac:dyDescent="0.2">
      <c r="Y5582" s="18"/>
    </row>
    <row r="5583" spans="25:25" x14ac:dyDescent="0.2">
      <c r="Y5583" s="18"/>
    </row>
    <row r="5584" spans="25:25" x14ac:dyDescent="0.2">
      <c r="Y5584" s="18"/>
    </row>
    <row r="5585" spans="25:25" x14ac:dyDescent="0.2">
      <c r="Y5585" s="18"/>
    </row>
    <row r="5586" spans="25:25" x14ac:dyDescent="0.2">
      <c r="Y5586" s="18"/>
    </row>
    <row r="5587" spans="25:25" x14ac:dyDescent="0.2">
      <c r="Y5587" s="18"/>
    </row>
    <row r="5588" spans="25:25" x14ac:dyDescent="0.2">
      <c r="Y5588" s="18"/>
    </row>
    <row r="5589" spans="25:25" x14ac:dyDescent="0.2">
      <c r="Y5589" s="18"/>
    </row>
    <row r="5590" spans="25:25" x14ac:dyDescent="0.2">
      <c r="Y5590" s="18"/>
    </row>
    <row r="5591" spans="25:25" x14ac:dyDescent="0.2">
      <c r="Y5591" s="18"/>
    </row>
    <row r="5592" spans="25:25" x14ac:dyDescent="0.2">
      <c r="Y5592" s="18"/>
    </row>
    <row r="5593" spans="25:25" x14ac:dyDescent="0.2">
      <c r="Y5593" s="18"/>
    </row>
    <row r="5594" spans="25:25" x14ac:dyDescent="0.2">
      <c r="Y5594" s="18"/>
    </row>
    <row r="5595" spans="25:25" x14ac:dyDescent="0.2">
      <c r="Y5595" s="18"/>
    </row>
    <row r="5596" spans="25:25" x14ac:dyDescent="0.2">
      <c r="Y5596" s="18"/>
    </row>
    <row r="5597" spans="25:25" x14ac:dyDescent="0.2">
      <c r="Y5597" s="18"/>
    </row>
    <row r="5598" spans="25:25" x14ac:dyDescent="0.2">
      <c r="Y5598" s="18"/>
    </row>
    <row r="5599" spans="25:25" x14ac:dyDescent="0.2">
      <c r="Y5599" s="18"/>
    </row>
    <row r="5600" spans="25:25" x14ac:dyDescent="0.2">
      <c r="Y5600" s="18"/>
    </row>
    <row r="5601" spans="25:25" x14ac:dyDescent="0.2">
      <c r="Y5601" s="18"/>
    </row>
    <row r="5602" spans="25:25" x14ac:dyDescent="0.2">
      <c r="Y5602" s="18"/>
    </row>
    <row r="5603" spans="25:25" x14ac:dyDescent="0.2">
      <c r="Y5603" s="18"/>
    </row>
    <row r="5604" spans="25:25" x14ac:dyDescent="0.2">
      <c r="Y5604" s="18"/>
    </row>
    <row r="5605" spans="25:25" x14ac:dyDescent="0.2">
      <c r="Y5605" s="18"/>
    </row>
    <row r="5606" spans="25:25" x14ac:dyDescent="0.2">
      <c r="Y5606" s="18"/>
    </row>
    <row r="5607" spans="25:25" x14ac:dyDescent="0.2">
      <c r="Y5607" s="18"/>
    </row>
    <row r="5608" spans="25:25" x14ac:dyDescent="0.2">
      <c r="Y5608" s="18"/>
    </row>
    <row r="5609" spans="25:25" x14ac:dyDescent="0.2">
      <c r="Y5609" s="18"/>
    </row>
    <row r="5610" spans="25:25" x14ac:dyDescent="0.2">
      <c r="Y5610" s="18"/>
    </row>
    <row r="5611" spans="25:25" x14ac:dyDescent="0.2">
      <c r="Y5611" s="18"/>
    </row>
    <row r="5612" spans="25:25" x14ac:dyDescent="0.2">
      <c r="Y5612" s="18"/>
    </row>
    <row r="5613" spans="25:25" x14ac:dyDescent="0.2">
      <c r="Y5613" s="18"/>
    </row>
    <row r="5614" spans="25:25" x14ac:dyDescent="0.2">
      <c r="Y5614" s="18"/>
    </row>
    <row r="5615" spans="25:25" x14ac:dyDescent="0.2">
      <c r="Y5615" s="18"/>
    </row>
    <row r="5616" spans="25:25" x14ac:dyDescent="0.2">
      <c r="Y5616" s="18"/>
    </row>
    <row r="5617" spans="25:25" x14ac:dyDescent="0.2">
      <c r="Y5617" s="18"/>
    </row>
    <row r="5618" spans="25:25" x14ac:dyDescent="0.2">
      <c r="Y5618" s="18"/>
    </row>
    <row r="5619" spans="25:25" x14ac:dyDescent="0.2">
      <c r="Y5619" s="18"/>
    </row>
    <row r="5620" spans="25:25" x14ac:dyDescent="0.2">
      <c r="Y5620" s="18"/>
    </row>
    <row r="5621" spans="25:25" x14ac:dyDescent="0.2">
      <c r="Y5621" s="18"/>
    </row>
    <row r="5622" spans="25:25" x14ac:dyDescent="0.2">
      <c r="Y5622" s="18"/>
    </row>
    <row r="5623" spans="25:25" x14ac:dyDescent="0.2">
      <c r="Y5623" s="18"/>
    </row>
    <row r="5624" spans="25:25" x14ac:dyDescent="0.2">
      <c r="Y5624" s="18"/>
    </row>
    <row r="5625" spans="25:25" x14ac:dyDescent="0.2">
      <c r="Y5625" s="18"/>
    </row>
    <row r="5626" spans="25:25" x14ac:dyDescent="0.2">
      <c r="Y5626" s="18"/>
    </row>
    <row r="5627" spans="25:25" x14ac:dyDescent="0.2">
      <c r="Y5627" s="18"/>
    </row>
    <row r="5628" spans="25:25" x14ac:dyDescent="0.2">
      <c r="Y5628" s="18"/>
    </row>
    <row r="5629" spans="25:25" x14ac:dyDescent="0.2">
      <c r="Y5629" s="18"/>
    </row>
    <row r="5630" spans="25:25" x14ac:dyDescent="0.2">
      <c r="Y5630" s="18"/>
    </row>
    <row r="5631" spans="25:25" x14ac:dyDescent="0.2">
      <c r="Y5631" s="18"/>
    </row>
    <row r="5632" spans="25:25" x14ac:dyDescent="0.2">
      <c r="Y5632" s="18"/>
    </row>
    <row r="5633" spans="25:25" x14ac:dyDescent="0.2">
      <c r="Y5633" s="18"/>
    </row>
    <row r="5634" spans="25:25" x14ac:dyDescent="0.2">
      <c r="Y5634" s="18"/>
    </row>
    <row r="5635" spans="25:25" x14ac:dyDescent="0.2">
      <c r="Y5635" s="18"/>
    </row>
    <row r="5636" spans="25:25" x14ac:dyDescent="0.2">
      <c r="Y5636" s="18"/>
    </row>
    <row r="5637" spans="25:25" x14ac:dyDescent="0.2">
      <c r="Y5637" s="18"/>
    </row>
    <row r="5638" spans="25:25" x14ac:dyDescent="0.2">
      <c r="Y5638" s="18"/>
    </row>
    <row r="5639" spans="25:25" x14ac:dyDescent="0.2">
      <c r="Y5639" s="18"/>
    </row>
    <row r="5640" spans="25:25" x14ac:dyDescent="0.2">
      <c r="Y5640" s="18"/>
    </row>
    <row r="5641" spans="25:25" x14ac:dyDescent="0.2">
      <c r="Y5641" s="18"/>
    </row>
    <row r="5642" spans="25:25" x14ac:dyDescent="0.2">
      <c r="Y5642" s="18"/>
    </row>
    <row r="5643" spans="25:25" x14ac:dyDescent="0.2">
      <c r="Y5643" s="18"/>
    </row>
    <row r="5644" spans="25:25" x14ac:dyDescent="0.2">
      <c r="Y5644" s="18"/>
    </row>
    <row r="5645" spans="25:25" x14ac:dyDescent="0.2">
      <c r="Y5645" s="18"/>
    </row>
    <row r="5646" spans="25:25" x14ac:dyDescent="0.2">
      <c r="Y5646" s="18"/>
    </row>
    <row r="5647" spans="25:25" x14ac:dyDescent="0.2">
      <c r="Y5647" s="18"/>
    </row>
    <row r="5648" spans="25:25" x14ac:dyDescent="0.2">
      <c r="Y5648" s="18"/>
    </row>
    <row r="5649" spans="25:25" x14ac:dyDescent="0.2">
      <c r="Y5649" s="18"/>
    </row>
    <row r="5650" spans="25:25" x14ac:dyDescent="0.2">
      <c r="Y5650" s="18"/>
    </row>
    <row r="5651" spans="25:25" x14ac:dyDescent="0.2">
      <c r="Y5651" s="18"/>
    </row>
    <row r="5652" spans="25:25" x14ac:dyDescent="0.2">
      <c r="Y5652" s="18"/>
    </row>
    <row r="5653" spans="25:25" x14ac:dyDescent="0.2">
      <c r="Y5653" s="18"/>
    </row>
    <row r="5654" spans="25:25" x14ac:dyDescent="0.2">
      <c r="Y5654" s="18"/>
    </row>
    <row r="5655" spans="25:25" x14ac:dyDescent="0.2">
      <c r="Y5655" s="18"/>
    </row>
    <row r="5656" spans="25:25" x14ac:dyDescent="0.2">
      <c r="Y5656" s="18"/>
    </row>
    <row r="5657" spans="25:25" x14ac:dyDescent="0.2">
      <c r="Y5657" s="18"/>
    </row>
    <row r="5658" spans="25:25" x14ac:dyDescent="0.2">
      <c r="Y5658" s="18"/>
    </row>
    <row r="5659" spans="25:25" x14ac:dyDescent="0.2">
      <c r="Y5659" s="18"/>
    </row>
    <row r="5660" spans="25:25" x14ac:dyDescent="0.2">
      <c r="Y5660" s="18"/>
    </row>
    <row r="5661" spans="25:25" x14ac:dyDescent="0.2">
      <c r="Y5661" s="18"/>
    </row>
    <row r="5662" spans="25:25" x14ac:dyDescent="0.2">
      <c r="Y5662" s="18"/>
    </row>
    <row r="5663" spans="25:25" x14ac:dyDescent="0.2">
      <c r="Y5663" s="18"/>
    </row>
    <row r="5664" spans="25:25" x14ac:dyDescent="0.2">
      <c r="Y5664" s="18"/>
    </row>
    <row r="5665" spans="25:25" x14ac:dyDescent="0.2">
      <c r="Y5665" s="18"/>
    </row>
    <row r="5666" spans="25:25" x14ac:dyDescent="0.2">
      <c r="Y5666" s="18"/>
    </row>
    <row r="5667" spans="25:25" x14ac:dyDescent="0.2">
      <c r="Y5667" s="18"/>
    </row>
    <row r="5668" spans="25:25" x14ac:dyDescent="0.2">
      <c r="Y5668" s="18"/>
    </row>
    <row r="5669" spans="25:25" x14ac:dyDescent="0.2">
      <c r="Y5669" s="18"/>
    </row>
    <row r="5670" spans="25:25" x14ac:dyDescent="0.2">
      <c r="Y5670" s="18"/>
    </row>
    <row r="5671" spans="25:25" x14ac:dyDescent="0.2">
      <c r="Y5671" s="18"/>
    </row>
    <row r="5672" spans="25:25" x14ac:dyDescent="0.2">
      <c r="Y5672" s="18"/>
    </row>
    <row r="5673" spans="25:25" x14ac:dyDescent="0.2">
      <c r="Y5673" s="18"/>
    </row>
    <row r="5674" spans="25:25" x14ac:dyDescent="0.2">
      <c r="Y5674" s="18"/>
    </row>
    <row r="5675" spans="25:25" x14ac:dyDescent="0.2">
      <c r="Y5675" s="18"/>
    </row>
    <row r="5676" spans="25:25" x14ac:dyDescent="0.2">
      <c r="Y5676" s="18"/>
    </row>
    <row r="5677" spans="25:25" x14ac:dyDescent="0.2">
      <c r="Y5677" s="18"/>
    </row>
    <row r="5678" spans="25:25" x14ac:dyDescent="0.2">
      <c r="Y5678" s="18"/>
    </row>
    <row r="5679" spans="25:25" x14ac:dyDescent="0.2">
      <c r="Y5679" s="18"/>
    </row>
    <row r="5680" spans="25:25" x14ac:dyDescent="0.2">
      <c r="Y5680" s="18"/>
    </row>
    <row r="5681" spans="25:25" x14ac:dyDescent="0.2">
      <c r="Y5681" s="18"/>
    </row>
    <row r="5682" spans="25:25" x14ac:dyDescent="0.2">
      <c r="Y5682" s="18"/>
    </row>
    <row r="5683" spans="25:25" x14ac:dyDescent="0.2">
      <c r="Y5683" s="18"/>
    </row>
    <row r="5684" spans="25:25" x14ac:dyDescent="0.2">
      <c r="Y5684" s="18"/>
    </row>
    <row r="5685" spans="25:25" x14ac:dyDescent="0.2">
      <c r="Y5685" s="18"/>
    </row>
    <row r="5686" spans="25:25" x14ac:dyDescent="0.2">
      <c r="Y5686" s="18"/>
    </row>
    <row r="5687" spans="25:25" x14ac:dyDescent="0.2">
      <c r="Y5687" s="18"/>
    </row>
    <row r="5688" spans="25:25" x14ac:dyDescent="0.2">
      <c r="Y5688" s="18"/>
    </row>
    <row r="5689" spans="25:25" x14ac:dyDescent="0.2">
      <c r="Y5689" s="18"/>
    </row>
    <row r="5690" spans="25:25" x14ac:dyDescent="0.2">
      <c r="Y5690" s="18"/>
    </row>
    <row r="5691" spans="25:25" x14ac:dyDescent="0.2">
      <c r="Y5691" s="18"/>
    </row>
    <row r="5692" spans="25:25" x14ac:dyDescent="0.2">
      <c r="Y5692" s="18"/>
    </row>
    <row r="5693" spans="25:25" x14ac:dyDescent="0.2">
      <c r="Y5693" s="18"/>
    </row>
    <row r="5694" spans="25:25" x14ac:dyDescent="0.2">
      <c r="Y5694" s="18"/>
    </row>
    <row r="5695" spans="25:25" x14ac:dyDescent="0.2">
      <c r="Y5695" s="18"/>
    </row>
    <row r="5696" spans="25:25" x14ac:dyDescent="0.2">
      <c r="Y5696" s="18"/>
    </row>
    <row r="5697" spans="25:25" x14ac:dyDescent="0.2">
      <c r="Y5697" s="18"/>
    </row>
    <row r="5698" spans="25:25" x14ac:dyDescent="0.2">
      <c r="Y5698" s="18"/>
    </row>
    <row r="5699" spans="25:25" x14ac:dyDescent="0.2">
      <c r="Y5699" s="18"/>
    </row>
    <row r="5700" spans="25:25" x14ac:dyDescent="0.2">
      <c r="Y5700" s="18"/>
    </row>
    <row r="5701" spans="25:25" x14ac:dyDescent="0.2">
      <c r="Y5701" s="18"/>
    </row>
    <row r="5702" spans="25:25" x14ac:dyDescent="0.2">
      <c r="Y5702" s="18"/>
    </row>
    <row r="5703" spans="25:25" x14ac:dyDescent="0.2">
      <c r="Y5703" s="18"/>
    </row>
    <row r="5704" spans="25:25" x14ac:dyDescent="0.2">
      <c r="Y5704" s="18"/>
    </row>
    <row r="5705" spans="25:25" x14ac:dyDescent="0.2">
      <c r="Y5705" s="18"/>
    </row>
    <row r="5706" spans="25:25" x14ac:dyDescent="0.2">
      <c r="Y5706" s="18"/>
    </row>
    <row r="5707" spans="25:25" x14ac:dyDescent="0.2">
      <c r="Y5707" s="18"/>
    </row>
    <row r="5708" spans="25:25" x14ac:dyDescent="0.2">
      <c r="Y5708" s="18"/>
    </row>
    <row r="5709" spans="25:25" x14ac:dyDescent="0.2">
      <c r="Y5709" s="18"/>
    </row>
    <row r="5710" spans="25:25" x14ac:dyDescent="0.2">
      <c r="Y5710" s="18"/>
    </row>
    <row r="5711" spans="25:25" x14ac:dyDescent="0.2">
      <c r="Y5711" s="18"/>
    </row>
    <row r="5712" spans="25:25" x14ac:dyDescent="0.2">
      <c r="Y5712" s="18"/>
    </row>
    <row r="5713" spans="25:25" x14ac:dyDescent="0.2">
      <c r="Y5713" s="18"/>
    </row>
    <row r="5714" spans="25:25" x14ac:dyDescent="0.2">
      <c r="Y5714" s="18"/>
    </row>
    <row r="5715" spans="25:25" x14ac:dyDescent="0.2">
      <c r="Y5715" s="18"/>
    </row>
    <row r="5716" spans="25:25" x14ac:dyDescent="0.2">
      <c r="Y5716" s="18"/>
    </row>
    <row r="5717" spans="25:25" x14ac:dyDescent="0.2">
      <c r="Y5717" s="18"/>
    </row>
    <row r="5718" spans="25:25" x14ac:dyDescent="0.2">
      <c r="Y5718" s="18"/>
    </row>
    <row r="5719" spans="25:25" x14ac:dyDescent="0.2">
      <c r="Y5719" s="18"/>
    </row>
    <row r="5720" spans="25:25" x14ac:dyDescent="0.2">
      <c r="Y5720" s="18"/>
    </row>
    <row r="5721" spans="25:25" x14ac:dyDescent="0.2">
      <c r="Y5721" s="18"/>
    </row>
    <row r="5722" spans="25:25" x14ac:dyDescent="0.2">
      <c r="Y5722" s="18"/>
    </row>
    <row r="5723" spans="25:25" x14ac:dyDescent="0.2">
      <c r="Y5723" s="18"/>
    </row>
    <row r="5724" spans="25:25" x14ac:dyDescent="0.2">
      <c r="Y5724" s="18"/>
    </row>
    <row r="5725" spans="25:25" x14ac:dyDescent="0.2">
      <c r="Y5725" s="18"/>
    </row>
    <row r="5726" spans="25:25" x14ac:dyDescent="0.2">
      <c r="Y5726" s="18"/>
    </row>
    <row r="5727" spans="25:25" x14ac:dyDescent="0.2">
      <c r="Y5727" s="18"/>
    </row>
    <row r="5728" spans="25:25" x14ac:dyDescent="0.2">
      <c r="Y5728" s="18"/>
    </row>
    <row r="5729" spans="25:25" x14ac:dyDescent="0.2">
      <c r="Y5729" s="18"/>
    </row>
    <row r="5730" spans="25:25" x14ac:dyDescent="0.2">
      <c r="Y5730" s="18"/>
    </row>
    <row r="5731" spans="25:25" x14ac:dyDescent="0.2">
      <c r="Y5731" s="18"/>
    </row>
    <row r="5732" spans="25:25" x14ac:dyDescent="0.2">
      <c r="Y5732" s="18"/>
    </row>
    <row r="5733" spans="25:25" x14ac:dyDescent="0.2">
      <c r="Y5733" s="18"/>
    </row>
    <row r="5734" spans="25:25" x14ac:dyDescent="0.2">
      <c r="Y5734" s="18"/>
    </row>
    <row r="5735" spans="25:25" x14ac:dyDescent="0.2">
      <c r="Y5735" s="18"/>
    </row>
    <row r="5736" spans="25:25" x14ac:dyDescent="0.2">
      <c r="Y5736" s="18"/>
    </row>
    <row r="5737" spans="25:25" x14ac:dyDescent="0.2">
      <c r="Y5737" s="18"/>
    </row>
    <row r="5738" spans="25:25" x14ac:dyDescent="0.2">
      <c r="Y5738" s="18"/>
    </row>
    <row r="5739" spans="25:25" x14ac:dyDescent="0.2">
      <c r="Y5739" s="18"/>
    </row>
    <row r="5740" spans="25:25" x14ac:dyDescent="0.2">
      <c r="Y5740" s="18"/>
    </row>
    <row r="5741" spans="25:25" x14ac:dyDescent="0.2">
      <c r="Y5741" s="18"/>
    </row>
    <row r="5742" spans="25:25" x14ac:dyDescent="0.2">
      <c r="Y5742" s="18"/>
    </row>
    <row r="5743" spans="25:25" x14ac:dyDescent="0.2">
      <c r="Y5743" s="18"/>
    </row>
    <row r="5744" spans="25:25" x14ac:dyDescent="0.2">
      <c r="Y5744" s="18"/>
    </row>
    <row r="5745" spans="25:25" x14ac:dyDescent="0.2">
      <c r="Y5745" s="18"/>
    </row>
    <row r="5746" spans="25:25" x14ac:dyDescent="0.2">
      <c r="Y5746" s="18"/>
    </row>
    <row r="5747" spans="25:25" x14ac:dyDescent="0.2">
      <c r="Y5747" s="18"/>
    </row>
    <row r="5748" spans="25:25" x14ac:dyDescent="0.2">
      <c r="Y5748" s="18"/>
    </row>
    <row r="5749" spans="25:25" x14ac:dyDescent="0.2">
      <c r="Y5749" s="18"/>
    </row>
    <row r="5750" spans="25:25" x14ac:dyDescent="0.2">
      <c r="Y5750" s="18"/>
    </row>
    <row r="5751" spans="25:25" x14ac:dyDescent="0.2">
      <c r="Y5751" s="18"/>
    </row>
    <row r="5752" spans="25:25" x14ac:dyDescent="0.2">
      <c r="Y5752" s="18"/>
    </row>
    <row r="5753" spans="25:25" x14ac:dyDescent="0.2">
      <c r="Y5753" s="18"/>
    </row>
    <row r="5754" spans="25:25" x14ac:dyDescent="0.2">
      <c r="Y5754" s="18"/>
    </row>
    <row r="5755" spans="25:25" x14ac:dyDescent="0.2">
      <c r="Y5755" s="18"/>
    </row>
    <row r="5756" spans="25:25" x14ac:dyDescent="0.2">
      <c r="Y5756" s="18"/>
    </row>
    <row r="5757" spans="25:25" x14ac:dyDescent="0.2">
      <c r="Y5757" s="18"/>
    </row>
    <row r="5758" spans="25:25" x14ac:dyDescent="0.2">
      <c r="Y5758" s="18"/>
    </row>
    <row r="5759" spans="25:25" x14ac:dyDescent="0.2">
      <c r="Y5759" s="18"/>
    </row>
    <row r="5760" spans="25:25" x14ac:dyDescent="0.2">
      <c r="Y5760" s="18"/>
    </row>
    <row r="5761" spans="25:25" x14ac:dyDescent="0.2">
      <c r="Y5761" s="18"/>
    </row>
    <row r="5762" spans="25:25" x14ac:dyDescent="0.2">
      <c r="Y5762" s="18"/>
    </row>
    <row r="5763" spans="25:25" x14ac:dyDescent="0.2">
      <c r="Y5763" s="18"/>
    </row>
    <row r="5764" spans="25:25" x14ac:dyDescent="0.2">
      <c r="Y5764" s="18"/>
    </row>
    <row r="5765" spans="25:25" x14ac:dyDescent="0.2">
      <c r="Y5765" s="18"/>
    </row>
    <row r="5766" spans="25:25" x14ac:dyDescent="0.2">
      <c r="Y5766" s="18"/>
    </row>
    <row r="5767" spans="25:25" x14ac:dyDescent="0.2">
      <c r="Y5767" s="18"/>
    </row>
    <row r="5768" spans="25:25" x14ac:dyDescent="0.2">
      <c r="Y5768" s="18"/>
    </row>
    <row r="5769" spans="25:25" x14ac:dyDescent="0.2">
      <c r="Y5769" s="18"/>
    </row>
    <row r="5770" spans="25:25" x14ac:dyDescent="0.2">
      <c r="Y5770" s="18"/>
    </row>
    <row r="5771" spans="25:25" x14ac:dyDescent="0.2">
      <c r="Y5771" s="18"/>
    </row>
    <row r="5772" spans="25:25" x14ac:dyDescent="0.2">
      <c r="Y5772" s="18"/>
    </row>
    <row r="5773" spans="25:25" x14ac:dyDescent="0.2">
      <c r="Y5773" s="18"/>
    </row>
    <row r="5774" spans="25:25" x14ac:dyDescent="0.2">
      <c r="Y5774" s="18"/>
    </row>
    <row r="5775" spans="25:25" x14ac:dyDescent="0.2">
      <c r="Y5775" s="18"/>
    </row>
    <row r="5776" spans="25:25" x14ac:dyDescent="0.2">
      <c r="Y5776" s="18"/>
    </row>
    <row r="5777" spans="25:25" x14ac:dyDescent="0.2">
      <c r="Y5777" s="18"/>
    </row>
    <row r="5778" spans="25:25" x14ac:dyDescent="0.2">
      <c r="Y5778" s="18"/>
    </row>
    <row r="5779" spans="25:25" x14ac:dyDescent="0.2">
      <c r="Y5779" s="18"/>
    </row>
    <row r="5780" spans="25:25" x14ac:dyDescent="0.2">
      <c r="Y5780" s="18"/>
    </row>
    <row r="5781" spans="25:25" x14ac:dyDescent="0.2">
      <c r="Y5781" s="18"/>
    </row>
    <row r="5782" spans="25:25" x14ac:dyDescent="0.2">
      <c r="Y5782" s="18"/>
    </row>
    <row r="5783" spans="25:25" x14ac:dyDescent="0.2">
      <c r="Y5783" s="18"/>
    </row>
    <row r="5784" spans="25:25" x14ac:dyDescent="0.2">
      <c r="Y5784" s="18"/>
    </row>
    <row r="5785" spans="25:25" x14ac:dyDescent="0.2">
      <c r="Y5785" s="18"/>
    </row>
    <row r="5786" spans="25:25" x14ac:dyDescent="0.2">
      <c r="Y5786" s="18"/>
    </row>
    <row r="5787" spans="25:25" x14ac:dyDescent="0.2">
      <c r="Y5787" s="18"/>
    </row>
    <row r="5788" spans="25:25" x14ac:dyDescent="0.2">
      <c r="Y5788" s="18"/>
    </row>
    <row r="5789" spans="25:25" x14ac:dyDescent="0.2">
      <c r="Y5789" s="18"/>
    </row>
    <row r="5790" spans="25:25" x14ac:dyDescent="0.2">
      <c r="Y5790" s="18"/>
    </row>
    <row r="5791" spans="25:25" x14ac:dyDescent="0.2">
      <c r="Y5791" s="18"/>
    </row>
    <row r="5792" spans="25:25" x14ac:dyDescent="0.2">
      <c r="Y5792" s="18"/>
    </row>
    <row r="5793" spans="25:25" x14ac:dyDescent="0.2">
      <c r="Y5793" s="18"/>
    </row>
    <row r="5794" spans="25:25" x14ac:dyDescent="0.2">
      <c r="Y5794" s="18"/>
    </row>
    <row r="5795" spans="25:25" x14ac:dyDescent="0.2">
      <c r="Y5795" s="18"/>
    </row>
    <row r="5796" spans="25:25" x14ac:dyDescent="0.2">
      <c r="Y5796" s="18"/>
    </row>
    <row r="5797" spans="25:25" x14ac:dyDescent="0.2">
      <c r="Y5797" s="18"/>
    </row>
    <row r="5798" spans="25:25" x14ac:dyDescent="0.2">
      <c r="Y5798" s="18"/>
    </row>
    <row r="5799" spans="25:25" x14ac:dyDescent="0.2">
      <c r="Y5799" s="18"/>
    </row>
    <row r="5800" spans="25:25" x14ac:dyDescent="0.2">
      <c r="Y5800" s="18"/>
    </row>
    <row r="5801" spans="25:25" x14ac:dyDescent="0.2">
      <c r="Y5801" s="18"/>
    </row>
    <row r="5802" spans="25:25" x14ac:dyDescent="0.2">
      <c r="Y5802" s="18"/>
    </row>
    <row r="5803" spans="25:25" x14ac:dyDescent="0.2">
      <c r="Y5803" s="18"/>
    </row>
    <row r="5804" spans="25:25" x14ac:dyDescent="0.2">
      <c r="Y5804" s="18"/>
    </row>
    <row r="5805" spans="25:25" x14ac:dyDescent="0.2">
      <c r="Y5805" s="18"/>
    </row>
    <row r="5806" spans="25:25" x14ac:dyDescent="0.2">
      <c r="Y5806" s="18"/>
    </row>
    <row r="5807" spans="25:25" x14ac:dyDescent="0.2">
      <c r="Y5807" s="18"/>
    </row>
    <row r="5808" spans="25:25" x14ac:dyDescent="0.2">
      <c r="Y5808" s="18"/>
    </row>
    <row r="5809" spans="25:25" x14ac:dyDescent="0.2">
      <c r="Y5809" s="18"/>
    </row>
    <row r="5810" spans="25:25" x14ac:dyDescent="0.2">
      <c r="Y5810" s="18"/>
    </row>
    <row r="5811" spans="25:25" x14ac:dyDescent="0.2">
      <c r="Y5811" s="18"/>
    </row>
    <row r="5812" spans="25:25" x14ac:dyDescent="0.2">
      <c r="Y5812" s="18"/>
    </row>
    <row r="5813" spans="25:25" x14ac:dyDescent="0.2">
      <c r="Y5813" s="18"/>
    </row>
    <row r="5814" spans="25:25" x14ac:dyDescent="0.2">
      <c r="Y5814" s="18"/>
    </row>
    <row r="5815" spans="25:25" x14ac:dyDescent="0.2">
      <c r="Y5815" s="18"/>
    </row>
    <row r="5816" spans="25:25" x14ac:dyDescent="0.2">
      <c r="Y5816" s="18"/>
    </row>
    <row r="5817" spans="25:25" x14ac:dyDescent="0.2">
      <c r="Y5817" s="18"/>
    </row>
    <row r="5818" spans="25:25" x14ac:dyDescent="0.2">
      <c r="Y5818" s="18"/>
    </row>
    <row r="5819" spans="25:25" x14ac:dyDescent="0.2">
      <c r="Y5819" s="18"/>
    </row>
    <row r="5820" spans="25:25" x14ac:dyDescent="0.2">
      <c r="Y5820" s="18"/>
    </row>
    <row r="5821" spans="25:25" x14ac:dyDescent="0.2">
      <c r="Y5821" s="18"/>
    </row>
    <row r="5822" spans="25:25" x14ac:dyDescent="0.2">
      <c r="Y5822" s="18"/>
    </row>
    <row r="5823" spans="25:25" x14ac:dyDescent="0.2">
      <c r="Y5823" s="18"/>
    </row>
    <row r="5824" spans="25:25" x14ac:dyDescent="0.2">
      <c r="Y5824" s="18"/>
    </row>
    <row r="5825" spans="25:25" x14ac:dyDescent="0.2">
      <c r="Y5825" s="18"/>
    </row>
    <row r="5826" spans="25:25" x14ac:dyDescent="0.2">
      <c r="Y5826" s="18"/>
    </row>
    <row r="5827" spans="25:25" x14ac:dyDescent="0.2">
      <c r="Y5827" s="18"/>
    </row>
    <row r="5828" spans="25:25" x14ac:dyDescent="0.2">
      <c r="Y5828" s="18"/>
    </row>
    <row r="5829" spans="25:25" x14ac:dyDescent="0.2">
      <c r="Y5829" s="18"/>
    </row>
    <row r="5830" spans="25:25" x14ac:dyDescent="0.2">
      <c r="Y5830" s="18"/>
    </row>
    <row r="5831" spans="25:25" x14ac:dyDescent="0.2">
      <c r="Y5831" s="18"/>
    </row>
    <row r="5832" spans="25:25" x14ac:dyDescent="0.2">
      <c r="Y5832" s="18"/>
    </row>
    <row r="5833" spans="25:25" x14ac:dyDescent="0.2">
      <c r="Y5833" s="18"/>
    </row>
    <row r="5834" spans="25:25" x14ac:dyDescent="0.2">
      <c r="Y5834" s="18"/>
    </row>
    <row r="5835" spans="25:25" x14ac:dyDescent="0.2">
      <c r="Y5835" s="18"/>
    </row>
    <row r="5836" spans="25:25" x14ac:dyDescent="0.2">
      <c r="Y5836" s="18"/>
    </row>
    <row r="5837" spans="25:25" x14ac:dyDescent="0.2">
      <c r="Y5837" s="18"/>
    </row>
    <row r="5838" spans="25:25" x14ac:dyDescent="0.2">
      <c r="Y5838" s="18"/>
    </row>
    <row r="5839" spans="25:25" x14ac:dyDescent="0.2">
      <c r="Y5839" s="18"/>
    </row>
    <row r="5840" spans="25:25" x14ac:dyDescent="0.2">
      <c r="Y5840" s="18"/>
    </row>
    <row r="5841" spans="25:25" x14ac:dyDescent="0.2">
      <c r="Y5841" s="18"/>
    </row>
    <row r="5842" spans="25:25" x14ac:dyDescent="0.2">
      <c r="Y5842" s="18"/>
    </row>
    <row r="5843" spans="25:25" x14ac:dyDescent="0.2">
      <c r="Y5843" s="18"/>
    </row>
    <row r="5844" spans="25:25" x14ac:dyDescent="0.2">
      <c r="Y5844" s="18"/>
    </row>
    <row r="5845" spans="25:25" x14ac:dyDescent="0.2">
      <c r="Y5845" s="18"/>
    </row>
    <row r="5846" spans="25:25" x14ac:dyDescent="0.2">
      <c r="Y5846" s="18"/>
    </row>
    <row r="5847" spans="25:25" x14ac:dyDescent="0.2">
      <c r="Y5847" s="18"/>
    </row>
    <row r="5848" spans="25:25" x14ac:dyDescent="0.2">
      <c r="Y5848" s="18"/>
    </row>
    <row r="5849" spans="25:25" x14ac:dyDescent="0.2">
      <c r="Y5849" s="18"/>
    </row>
    <row r="5850" spans="25:25" x14ac:dyDescent="0.2">
      <c r="Y5850" s="18"/>
    </row>
    <row r="5851" spans="25:25" x14ac:dyDescent="0.2">
      <c r="Y5851" s="18"/>
    </row>
    <row r="5852" spans="25:25" x14ac:dyDescent="0.2">
      <c r="Y5852" s="18"/>
    </row>
    <row r="5853" spans="25:25" x14ac:dyDescent="0.2">
      <c r="Y5853" s="18"/>
    </row>
    <row r="5854" spans="25:25" x14ac:dyDescent="0.2">
      <c r="Y5854" s="18"/>
    </row>
    <row r="5855" spans="25:25" x14ac:dyDescent="0.2">
      <c r="Y5855" s="18"/>
    </row>
    <row r="5856" spans="25:25" x14ac:dyDescent="0.2">
      <c r="Y5856" s="18"/>
    </row>
    <row r="5857" spans="25:25" x14ac:dyDescent="0.2">
      <c r="Y5857" s="18"/>
    </row>
    <row r="5858" spans="25:25" x14ac:dyDescent="0.2">
      <c r="Y5858" s="18"/>
    </row>
    <row r="5859" spans="25:25" x14ac:dyDescent="0.2">
      <c r="Y5859" s="18"/>
    </row>
    <row r="5860" spans="25:25" x14ac:dyDescent="0.2">
      <c r="Y5860" s="18"/>
    </row>
    <row r="5861" spans="25:25" x14ac:dyDescent="0.2">
      <c r="Y5861" s="18"/>
    </row>
    <row r="5862" spans="25:25" x14ac:dyDescent="0.2">
      <c r="Y5862" s="18"/>
    </row>
    <row r="5863" spans="25:25" x14ac:dyDescent="0.2">
      <c r="Y5863" s="18"/>
    </row>
    <row r="5864" spans="25:25" x14ac:dyDescent="0.2">
      <c r="Y5864" s="18"/>
    </row>
    <row r="5865" spans="25:25" x14ac:dyDescent="0.2">
      <c r="Y5865" s="18"/>
    </row>
    <row r="5866" spans="25:25" x14ac:dyDescent="0.2">
      <c r="Y5866" s="18"/>
    </row>
    <row r="5867" spans="25:25" x14ac:dyDescent="0.2">
      <c r="Y5867" s="18"/>
    </row>
    <row r="5868" spans="25:25" x14ac:dyDescent="0.2">
      <c r="Y5868" s="18"/>
    </row>
    <row r="5869" spans="25:25" x14ac:dyDescent="0.2">
      <c r="Y5869" s="18"/>
    </row>
    <row r="5870" spans="25:25" x14ac:dyDescent="0.2">
      <c r="Y5870" s="18"/>
    </row>
    <row r="5871" spans="25:25" x14ac:dyDescent="0.2">
      <c r="Y5871" s="18"/>
    </row>
    <row r="5872" spans="25:25" x14ac:dyDescent="0.2">
      <c r="Y5872" s="18"/>
    </row>
    <row r="5873" spans="25:25" x14ac:dyDescent="0.2">
      <c r="Y5873" s="18"/>
    </row>
    <row r="5874" spans="25:25" x14ac:dyDescent="0.2">
      <c r="Y5874" s="18"/>
    </row>
    <row r="5875" spans="25:25" x14ac:dyDescent="0.2">
      <c r="Y5875" s="18"/>
    </row>
    <row r="5876" spans="25:25" x14ac:dyDescent="0.2">
      <c r="Y5876" s="18"/>
    </row>
    <row r="5877" spans="25:25" x14ac:dyDescent="0.2">
      <c r="Y5877" s="18"/>
    </row>
    <row r="5878" spans="25:25" x14ac:dyDescent="0.2">
      <c r="Y5878" s="18"/>
    </row>
    <row r="5879" spans="25:25" x14ac:dyDescent="0.2">
      <c r="Y5879" s="18"/>
    </row>
    <row r="5880" spans="25:25" x14ac:dyDescent="0.2">
      <c r="Y5880" s="18"/>
    </row>
    <row r="5881" spans="25:25" x14ac:dyDescent="0.2">
      <c r="Y5881" s="18"/>
    </row>
    <row r="5882" spans="25:25" x14ac:dyDescent="0.2">
      <c r="Y5882" s="18"/>
    </row>
    <row r="5883" spans="25:25" x14ac:dyDescent="0.2">
      <c r="Y5883" s="18"/>
    </row>
    <row r="5884" spans="25:25" x14ac:dyDescent="0.2">
      <c r="Y5884" s="18"/>
    </row>
    <row r="5885" spans="25:25" x14ac:dyDescent="0.2">
      <c r="Y5885" s="18"/>
    </row>
    <row r="5886" spans="25:25" x14ac:dyDescent="0.2">
      <c r="Y5886" s="18"/>
    </row>
    <row r="5887" spans="25:25" x14ac:dyDescent="0.2">
      <c r="Y5887" s="18"/>
    </row>
    <row r="5888" spans="25:25" x14ac:dyDescent="0.2">
      <c r="Y5888" s="18"/>
    </row>
    <row r="5889" spans="25:25" x14ac:dyDescent="0.2">
      <c r="Y5889" s="18"/>
    </row>
    <row r="5890" spans="25:25" x14ac:dyDescent="0.2">
      <c r="Y5890" s="18"/>
    </row>
    <row r="5891" spans="25:25" x14ac:dyDescent="0.2">
      <c r="Y5891" s="18"/>
    </row>
    <row r="5892" spans="25:25" x14ac:dyDescent="0.2">
      <c r="Y5892" s="18"/>
    </row>
    <row r="5893" spans="25:25" x14ac:dyDescent="0.2">
      <c r="Y5893" s="18"/>
    </row>
    <row r="5894" spans="25:25" x14ac:dyDescent="0.2">
      <c r="Y5894" s="18"/>
    </row>
    <row r="5895" spans="25:25" x14ac:dyDescent="0.2">
      <c r="Y5895" s="18"/>
    </row>
    <row r="5896" spans="25:25" x14ac:dyDescent="0.2">
      <c r="Y5896" s="18"/>
    </row>
    <row r="5897" spans="25:25" x14ac:dyDescent="0.2">
      <c r="Y5897" s="18"/>
    </row>
    <row r="5898" spans="25:25" x14ac:dyDescent="0.2">
      <c r="Y5898" s="18"/>
    </row>
    <row r="5899" spans="25:25" x14ac:dyDescent="0.2">
      <c r="Y5899" s="18"/>
    </row>
    <row r="5900" spans="25:25" x14ac:dyDescent="0.2">
      <c r="Y5900" s="18"/>
    </row>
    <row r="5901" spans="25:25" x14ac:dyDescent="0.2">
      <c r="Y5901" s="18"/>
    </row>
    <row r="5902" spans="25:25" x14ac:dyDescent="0.2">
      <c r="Y5902" s="18"/>
    </row>
    <row r="5903" spans="25:25" x14ac:dyDescent="0.2">
      <c r="Y5903" s="18"/>
    </row>
    <row r="5904" spans="25:25" x14ac:dyDescent="0.2">
      <c r="Y5904" s="18"/>
    </row>
    <row r="5905" spans="25:25" x14ac:dyDescent="0.2">
      <c r="Y5905" s="18"/>
    </row>
    <row r="5906" spans="25:25" x14ac:dyDescent="0.2">
      <c r="Y5906" s="18"/>
    </row>
    <row r="5907" spans="25:25" x14ac:dyDescent="0.2">
      <c r="Y5907" s="18"/>
    </row>
    <row r="5908" spans="25:25" x14ac:dyDescent="0.2">
      <c r="Y5908" s="18"/>
    </row>
    <row r="5909" spans="25:25" x14ac:dyDescent="0.2">
      <c r="Y5909" s="18"/>
    </row>
    <row r="5910" spans="25:25" x14ac:dyDescent="0.2">
      <c r="Y5910" s="18"/>
    </row>
    <row r="5911" spans="25:25" x14ac:dyDescent="0.2">
      <c r="Y5911" s="18"/>
    </row>
    <row r="5912" spans="25:25" x14ac:dyDescent="0.2">
      <c r="Y5912" s="18"/>
    </row>
    <row r="5913" spans="25:25" x14ac:dyDescent="0.2">
      <c r="Y5913" s="18"/>
    </row>
    <row r="5914" spans="25:25" x14ac:dyDescent="0.2">
      <c r="Y5914" s="18"/>
    </row>
    <row r="5915" spans="25:25" x14ac:dyDescent="0.2">
      <c r="Y5915" s="18"/>
    </row>
    <row r="5916" spans="25:25" x14ac:dyDescent="0.2">
      <c r="Y5916" s="18"/>
    </row>
    <row r="5917" spans="25:25" x14ac:dyDescent="0.2">
      <c r="Y5917" s="18"/>
    </row>
    <row r="5918" spans="25:25" x14ac:dyDescent="0.2">
      <c r="Y5918" s="18"/>
    </row>
    <row r="5919" spans="25:25" x14ac:dyDescent="0.2">
      <c r="Y5919" s="18"/>
    </row>
    <row r="5920" spans="25:25" x14ac:dyDescent="0.2">
      <c r="Y5920" s="18"/>
    </row>
    <row r="5921" spans="25:25" x14ac:dyDescent="0.2">
      <c r="Y5921" s="18"/>
    </row>
    <row r="5922" spans="25:25" x14ac:dyDescent="0.2">
      <c r="Y5922" s="18"/>
    </row>
    <row r="5923" spans="25:25" x14ac:dyDescent="0.2">
      <c r="Y5923" s="18"/>
    </row>
    <row r="5924" spans="25:25" x14ac:dyDescent="0.2">
      <c r="Y5924" s="18"/>
    </row>
    <row r="5925" spans="25:25" x14ac:dyDescent="0.2">
      <c r="Y5925" s="18"/>
    </row>
    <row r="5926" spans="25:25" x14ac:dyDescent="0.2">
      <c r="Y5926" s="18"/>
    </row>
    <row r="5927" spans="25:25" x14ac:dyDescent="0.2">
      <c r="Y5927" s="18"/>
    </row>
    <row r="5928" spans="25:25" x14ac:dyDescent="0.2">
      <c r="Y5928" s="18"/>
    </row>
    <row r="5929" spans="25:25" x14ac:dyDescent="0.2">
      <c r="Y5929" s="18"/>
    </row>
    <row r="5930" spans="25:25" x14ac:dyDescent="0.2">
      <c r="Y5930" s="18"/>
    </row>
    <row r="5931" spans="25:25" x14ac:dyDescent="0.2">
      <c r="Y5931" s="18"/>
    </row>
    <row r="5932" spans="25:25" x14ac:dyDescent="0.2">
      <c r="Y5932" s="18"/>
    </row>
    <row r="5933" spans="25:25" x14ac:dyDescent="0.2">
      <c r="Y5933" s="18"/>
    </row>
    <row r="5934" spans="25:25" x14ac:dyDescent="0.2">
      <c r="Y5934" s="18"/>
    </row>
    <row r="5935" spans="25:25" x14ac:dyDescent="0.2">
      <c r="Y5935" s="18"/>
    </row>
    <row r="5936" spans="25:25" x14ac:dyDescent="0.2">
      <c r="Y5936" s="18"/>
    </row>
    <row r="5937" spans="25:25" x14ac:dyDescent="0.2">
      <c r="Y5937" s="18"/>
    </row>
    <row r="5938" spans="25:25" x14ac:dyDescent="0.2">
      <c r="Y5938" s="18"/>
    </row>
    <row r="5939" spans="25:25" x14ac:dyDescent="0.2">
      <c r="Y5939" s="18"/>
    </row>
    <row r="5940" spans="25:25" x14ac:dyDescent="0.2">
      <c r="Y5940" s="18"/>
    </row>
    <row r="5941" spans="25:25" x14ac:dyDescent="0.2">
      <c r="Y5941" s="18"/>
    </row>
    <row r="5942" spans="25:25" x14ac:dyDescent="0.2">
      <c r="Y5942" s="18"/>
    </row>
    <row r="5943" spans="25:25" x14ac:dyDescent="0.2">
      <c r="Y5943" s="18"/>
    </row>
    <row r="5944" spans="25:25" x14ac:dyDescent="0.2">
      <c r="Y5944" s="18"/>
    </row>
    <row r="5945" spans="25:25" x14ac:dyDescent="0.2">
      <c r="Y5945" s="18"/>
    </row>
    <row r="5946" spans="25:25" x14ac:dyDescent="0.2">
      <c r="Y5946" s="18"/>
    </row>
    <row r="5947" spans="25:25" x14ac:dyDescent="0.2">
      <c r="Y5947" s="18"/>
    </row>
    <row r="5948" spans="25:25" x14ac:dyDescent="0.2">
      <c r="Y5948" s="18"/>
    </row>
    <row r="5949" spans="25:25" x14ac:dyDescent="0.2">
      <c r="Y5949" s="18"/>
    </row>
    <row r="5950" spans="25:25" x14ac:dyDescent="0.2">
      <c r="Y5950" s="18"/>
    </row>
    <row r="5951" spans="25:25" x14ac:dyDescent="0.2">
      <c r="Y5951" s="18"/>
    </row>
    <row r="5952" spans="25:25" x14ac:dyDescent="0.2">
      <c r="Y5952" s="18"/>
    </row>
    <row r="5953" spans="25:25" x14ac:dyDescent="0.2">
      <c r="Y5953" s="18"/>
    </row>
    <row r="5954" spans="25:25" x14ac:dyDescent="0.2">
      <c r="Y5954" s="18"/>
    </row>
    <row r="5955" spans="25:25" x14ac:dyDescent="0.2">
      <c r="Y5955" s="18"/>
    </row>
    <row r="5956" spans="25:25" x14ac:dyDescent="0.2">
      <c r="Y5956" s="18"/>
    </row>
    <row r="5957" spans="25:25" x14ac:dyDescent="0.2">
      <c r="Y5957" s="18"/>
    </row>
    <row r="5958" spans="25:25" x14ac:dyDescent="0.2">
      <c r="Y5958" s="18"/>
    </row>
    <row r="5959" spans="25:25" x14ac:dyDescent="0.2">
      <c r="Y5959" s="18"/>
    </row>
    <row r="5960" spans="25:25" x14ac:dyDescent="0.2">
      <c r="Y5960" s="18"/>
    </row>
    <row r="5961" spans="25:25" x14ac:dyDescent="0.2">
      <c r="Y5961" s="18"/>
    </row>
    <row r="5962" spans="25:25" x14ac:dyDescent="0.2">
      <c r="Y5962" s="18"/>
    </row>
    <row r="5963" spans="25:25" x14ac:dyDescent="0.2">
      <c r="Y5963" s="18"/>
    </row>
    <row r="5964" spans="25:25" x14ac:dyDescent="0.2">
      <c r="Y5964" s="18"/>
    </row>
    <row r="5965" spans="25:25" x14ac:dyDescent="0.2">
      <c r="Y5965" s="18"/>
    </row>
    <row r="5966" spans="25:25" x14ac:dyDescent="0.2">
      <c r="Y5966" s="18"/>
    </row>
    <row r="5967" spans="25:25" x14ac:dyDescent="0.2">
      <c r="Y5967" s="18"/>
    </row>
    <row r="5968" spans="25:25" x14ac:dyDescent="0.2">
      <c r="Y5968" s="18"/>
    </row>
    <row r="5969" spans="25:25" x14ac:dyDescent="0.2">
      <c r="Y5969" s="18"/>
    </row>
    <row r="5970" spans="25:25" x14ac:dyDescent="0.2">
      <c r="Y5970" s="18"/>
    </row>
    <row r="5971" spans="25:25" x14ac:dyDescent="0.2">
      <c r="Y5971" s="18"/>
    </row>
    <row r="5972" spans="25:25" x14ac:dyDescent="0.2">
      <c r="Y5972" s="18"/>
    </row>
    <row r="5973" spans="25:25" x14ac:dyDescent="0.2">
      <c r="Y5973" s="18"/>
    </row>
    <row r="5974" spans="25:25" x14ac:dyDescent="0.2">
      <c r="Y5974" s="18"/>
    </row>
    <row r="5975" spans="25:25" x14ac:dyDescent="0.2">
      <c r="Y5975" s="18"/>
    </row>
    <row r="5976" spans="25:25" x14ac:dyDescent="0.2">
      <c r="Y5976" s="18"/>
    </row>
    <row r="5977" spans="25:25" x14ac:dyDescent="0.2">
      <c r="Y5977" s="18"/>
    </row>
    <row r="5978" spans="25:25" x14ac:dyDescent="0.2">
      <c r="Y5978" s="18"/>
    </row>
    <row r="5979" spans="25:25" x14ac:dyDescent="0.2">
      <c r="Y5979" s="18"/>
    </row>
    <row r="5980" spans="25:25" x14ac:dyDescent="0.2">
      <c r="Y5980" s="18"/>
    </row>
    <row r="5981" spans="25:25" x14ac:dyDescent="0.2">
      <c r="Y5981" s="18"/>
    </row>
    <row r="5982" spans="25:25" x14ac:dyDescent="0.2">
      <c r="Y5982" s="18"/>
    </row>
    <row r="5983" spans="25:25" x14ac:dyDescent="0.2">
      <c r="Y5983" s="18"/>
    </row>
    <row r="5984" spans="25:25" x14ac:dyDescent="0.2">
      <c r="Y5984" s="18"/>
    </row>
    <row r="5985" spans="25:25" x14ac:dyDescent="0.2">
      <c r="Y5985" s="18"/>
    </row>
    <row r="5986" spans="25:25" x14ac:dyDescent="0.2">
      <c r="Y5986" s="18"/>
    </row>
    <row r="5987" spans="25:25" x14ac:dyDescent="0.2">
      <c r="Y5987" s="18"/>
    </row>
    <row r="5988" spans="25:25" x14ac:dyDescent="0.2">
      <c r="Y5988" s="18"/>
    </row>
    <row r="5989" spans="25:25" x14ac:dyDescent="0.2">
      <c r="Y5989" s="18"/>
    </row>
    <row r="5990" spans="25:25" x14ac:dyDescent="0.2">
      <c r="Y5990" s="18"/>
    </row>
    <row r="5991" spans="25:25" x14ac:dyDescent="0.2">
      <c r="Y5991" s="18"/>
    </row>
    <row r="5992" spans="25:25" x14ac:dyDescent="0.2">
      <c r="Y5992" s="18"/>
    </row>
    <row r="5993" spans="25:25" x14ac:dyDescent="0.2">
      <c r="Y5993" s="18"/>
    </row>
    <row r="5994" spans="25:25" x14ac:dyDescent="0.2">
      <c r="Y5994" s="18"/>
    </row>
    <row r="5995" spans="25:25" x14ac:dyDescent="0.2">
      <c r="Y5995" s="18"/>
    </row>
    <row r="5996" spans="25:25" x14ac:dyDescent="0.2">
      <c r="Y5996" s="18"/>
    </row>
    <row r="5997" spans="25:25" x14ac:dyDescent="0.2">
      <c r="Y5997" s="18"/>
    </row>
    <row r="5998" spans="25:25" x14ac:dyDescent="0.2">
      <c r="Y5998" s="18"/>
    </row>
    <row r="5999" spans="25:25" x14ac:dyDescent="0.2">
      <c r="Y5999" s="18"/>
    </row>
    <row r="6000" spans="25:25" x14ac:dyDescent="0.2">
      <c r="Y6000" s="18"/>
    </row>
    <row r="6001" spans="25:25" x14ac:dyDescent="0.2">
      <c r="Y6001" s="18"/>
    </row>
    <row r="6002" spans="25:25" x14ac:dyDescent="0.2">
      <c r="Y6002" s="18"/>
    </row>
    <row r="6003" spans="25:25" x14ac:dyDescent="0.2">
      <c r="Y6003" s="18"/>
    </row>
    <row r="6004" spans="25:25" x14ac:dyDescent="0.2">
      <c r="Y6004" s="18"/>
    </row>
    <row r="6005" spans="25:25" x14ac:dyDescent="0.2">
      <c r="Y6005" s="18"/>
    </row>
    <row r="6006" spans="25:25" x14ac:dyDescent="0.2">
      <c r="Y6006" s="18"/>
    </row>
    <row r="6007" spans="25:25" x14ac:dyDescent="0.2">
      <c r="Y6007" s="18"/>
    </row>
    <row r="6008" spans="25:25" x14ac:dyDescent="0.2">
      <c r="Y6008" s="18"/>
    </row>
    <row r="6009" spans="25:25" x14ac:dyDescent="0.2">
      <c r="Y6009" s="18"/>
    </row>
    <row r="6010" spans="25:25" x14ac:dyDescent="0.2">
      <c r="Y6010" s="18"/>
    </row>
    <row r="6011" spans="25:25" x14ac:dyDescent="0.2">
      <c r="Y6011" s="18"/>
    </row>
    <row r="6012" spans="25:25" x14ac:dyDescent="0.2">
      <c r="Y6012" s="18"/>
    </row>
    <row r="6013" spans="25:25" x14ac:dyDescent="0.2">
      <c r="Y6013" s="18"/>
    </row>
    <row r="6014" spans="25:25" x14ac:dyDescent="0.2">
      <c r="Y6014" s="18"/>
    </row>
    <row r="6015" spans="25:25" x14ac:dyDescent="0.2">
      <c r="Y6015" s="18"/>
    </row>
    <row r="6016" spans="25:25" x14ac:dyDescent="0.2">
      <c r="Y6016" s="18"/>
    </row>
    <row r="6017" spans="25:25" x14ac:dyDescent="0.2">
      <c r="Y6017" s="18"/>
    </row>
    <row r="6018" spans="25:25" x14ac:dyDescent="0.2">
      <c r="Y6018" s="18"/>
    </row>
    <row r="6019" spans="25:25" x14ac:dyDescent="0.2">
      <c r="Y6019" s="18"/>
    </row>
    <row r="6020" spans="25:25" x14ac:dyDescent="0.2">
      <c r="Y6020" s="18"/>
    </row>
    <row r="6021" spans="25:25" x14ac:dyDescent="0.2">
      <c r="Y6021" s="18"/>
    </row>
    <row r="6022" spans="25:25" x14ac:dyDescent="0.2">
      <c r="Y6022" s="18"/>
    </row>
    <row r="6023" spans="25:25" x14ac:dyDescent="0.2">
      <c r="Y6023" s="18"/>
    </row>
    <row r="6024" spans="25:25" x14ac:dyDescent="0.2">
      <c r="Y6024" s="18"/>
    </row>
    <row r="6025" spans="25:25" x14ac:dyDescent="0.2">
      <c r="Y6025" s="18"/>
    </row>
    <row r="6026" spans="25:25" x14ac:dyDescent="0.2">
      <c r="Y6026" s="18"/>
    </row>
    <row r="6027" spans="25:25" x14ac:dyDescent="0.2">
      <c r="Y6027" s="18"/>
    </row>
    <row r="6028" spans="25:25" x14ac:dyDescent="0.2">
      <c r="Y6028" s="18"/>
    </row>
    <row r="6029" spans="25:25" x14ac:dyDescent="0.2">
      <c r="Y6029" s="18"/>
    </row>
    <row r="6030" spans="25:25" x14ac:dyDescent="0.2">
      <c r="Y6030" s="18"/>
    </row>
    <row r="6031" spans="25:25" x14ac:dyDescent="0.2">
      <c r="Y6031" s="18"/>
    </row>
    <row r="6032" spans="25:25" x14ac:dyDescent="0.2">
      <c r="Y6032" s="18"/>
    </row>
    <row r="6033" spans="25:25" x14ac:dyDescent="0.2">
      <c r="Y6033" s="18"/>
    </row>
    <row r="6034" spans="25:25" x14ac:dyDescent="0.2">
      <c r="Y6034" s="18"/>
    </row>
    <row r="6035" spans="25:25" x14ac:dyDescent="0.2">
      <c r="Y6035" s="18"/>
    </row>
    <row r="6036" spans="25:25" x14ac:dyDescent="0.2">
      <c r="Y6036" s="18"/>
    </row>
    <row r="6037" spans="25:25" x14ac:dyDescent="0.2">
      <c r="Y6037" s="18"/>
    </row>
    <row r="6038" spans="25:25" x14ac:dyDescent="0.2">
      <c r="Y6038" s="18"/>
    </row>
    <row r="6039" spans="25:25" x14ac:dyDescent="0.2">
      <c r="Y6039" s="18"/>
    </row>
    <row r="6040" spans="25:25" x14ac:dyDescent="0.2">
      <c r="Y6040" s="18"/>
    </row>
    <row r="6041" spans="25:25" x14ac:dyDescent="0.2">
      <c r="Y6041" s="18"/>
    </row>
    <row r="6042" spans="25:25" x14ac:dyDescent="0.2">
      <c r="Y6042" s="18"/>
    </row>
    <row r="6043" spans="25:25" x14ac:dyDescent="0.2">
      <c r="Y6043" s="18"/>
    </row>
    <row r="6044" spans="25:25" x14ac:dyDescent="0.2">
      <c r="Y6044" s="18"/>
    </row>
    <row r="6045" spans="25:25" x14ac:dyDescent="0.2">
      <c r="Y6045" s="18"/>
    </row>
    <row r="6046" spans="25:25" x14ac:dyDescent="0.2">
      <c r="Y6046" s="18"/>
    </row>
    <row r="6047" spans="25:25" x14ac:dyDescent="0.2">
      <c r="Y6047" s="18"/>
    </row>
    <row r="6048" spans="25:25" x14ac:dyDescent="0.2">
      <c r="Y6048" s="18"/>
    </row>
    <row r="6049" spans="25:25" x14ac:dyDescent="0.2">
      <c r="Y6049" s="18"/>
    </row>
    <row r="6050" spans="25:25" x14ac:dyDescent="0.2">
      <c r="Y6050" s="18"/>
    </row>
    <row r="6051" spans="25:25" x14ac:dyDescent="0.2">
      <c r="Y6051" s="18"/>
    </row>
    <row r="6052" spans="25:25" x14ac:dyDescent="0.2">
      <c r="Y6052" s="18"/>
    </row>
    <row r="6053" spans="25:25" x14ac:dyDescent="0.2">
      <c r="Y6053" s="18"/>
    </row>
    <row r="6054" spans="25:25" x14ac:dyDescent="0.2">
      <c r="Y6054" s="18"/>
    </row>
    <row r="6055" spans="25:25" x14ac:dyDescent="0.2">
      <c r="Y6055" s="18"/>
    </row>
    <row r="6056" spans="25:25" x14ac:dyDescent="0.2">
      <c r="Y6056" s="18"/>
    </row>
    <row r="6057" spans="25:25" x14ac:dyDescent="0.2">
      <c r="Y6057" s="18"/>
    </row>
    <row r="6058" spans="25:25" x14ac:dyDescent="0.2">
      <c r="Y6058" s="18"/>
    </row>
    <row r="6059" spans="25:25" x14ac:dyDescent="0.2">
      <c r="Y6059" s="18"/>
    </row>
    <row r="6060" spans="25:25" x14ac:dyDescent="0.2">
      <c r="Y6060" s="18"/>
    </row>
    <row r="6061" spans="25:25" x14ac:dyDescent="0.2">
      <c r="Y6061" s="18"/>
    </row>
    <row r="6062" spans="25:25" x14ac:dyDescent="0.2">
      <c r="Y6062" s="18"/>
    </row>
    <row r="6063" spans="25:25" x14ac:dyDescent="0.2">
      <c r="Y6063" s="18"/>
    </row>
    <row r="6064" spans="25:25" x14ac:dyDescent="0.2">
      <c r="Y6064" s="18"/>
    </row>
    <row r="6065" spans="25:25" x14ac:dyDescent="0.2">
      <c r="Y6065" s="18"/>
    </row>
    <row r="6066" spans="25:25" x14ac:dyDescent="0.2">
      <c r="Y6066" s="18"/>
    </row>
    <row r="6067" spans="25:25" x14ac:dyDescent="0.2">
      <c r="Y6067" s="18"/>
    </row>
    <row r="6068" spans="25:25" x14ac:dyDescent="0.2">
      <c r="Y6068" s="18"/>
    </row>
    <row r="6069" spans="25:25" x14ac:dyDescent="0.2">
      <c r="Y6069" s="18"/>
    </row>
    <row r="6070" spans="25:25" x14ac:dyDescent="0.2">
      <c r="Y6070" s="18"/>
    </row>
    <row r="6071" spans="25:25" x14ac:dyDescent="0.2">
      <c r="Y6071" s="18"/>
    </row>
    <row r="6072" spans="25:25" x14ac:dyDescent="0.2">
      <c r="Y6072" s="18"/>
    </row>
    <row r="6073" spans="25:25" x14ac:dyDescent="0.2">
      <c r="Y6073" s="18"/>
    </row>
    <row r="6074" spans="25:25" x14ac:dyDescent="0.2">
      <c r="Y6074" s="18"/>
    </row>
    <row r="6075" spans="25:25" x14ac:dyDescent="0.2">
      <c r="Y6075" s="18"/>
    </row>
    <row r="6076" spans="25:25" x14ac:dyDescent="0.2">
      <c r="Y6076" s="18"/>
    </row>
    <row r="6077" spans="25:25" x14ac:dyDescent="0.2">
      <c r="Y6077" s="18"/>
    </row>
    <row r="6078" spans="25:25" x14ac:dyDescent="0.2">
      <c r="Y6078" s="18"/>
    </row>
    <row r="6079" spans="25:25" x14ac:dyDescent="0.2">
      <c r="Y6079" s="18"/>
    </row>
    <row r="6080" spans="25:25" x14ac:dyDescent="0.2">
      <c r="Y6080" s="18"/>
    </row>
    <row r="6081" spans="25:25" x14ac:dyDescent="0.2">
      <c r="Y6081" s="18"/>
    </row>
    <row r="6082" spans="25:25" x14ac:dyDescent="0.2">
      <c r="Y6082" s="18"/>
    </row>
    <row r="6083" spans="25:25" x14ac:dyDescent="0.2">
      <c r="Y6083" s="18"/>
    </row>
    <row r="6084" spans="25:25" x14ac:dyDescent="0.2">
      <c r="Y6084" s="18"/>
    </row>
    <row r="6085" spans="25:25" x14ac:dyDescent="0.2">
      <c r="Y6085" s="18"/>
    </row>
    <row r="6086" spans="25:25" x14ac:dyDescent="0.2">
      <c r="Y6086" s="18"/>
    </row>
    <row r="6087" spans="25:25" x14ac:dyDescent="0.2">
      <c r="Y6087" s="18"/>
    </row>
    <row r="6088" spans="25:25" x14ac:dyDescent="0.2">
      <c r="Y6088" s="18"/>
    </row>
    <row r="6089" spans="25:25" x14ac:dyDescent="0.2">
      <c r="Y6089" s="18"/>
    </row>
    <row r="6090" spans="25:25" x14ac:dyDescent="0.2">
      <c r="Y6090" s="18"/>
    </row>
    <row r="6091" spans="25:25" x14ac:dyDescent="0.2">
      <c r="Y6091" s="18"/>
    </row>
    <row r="6092" spans="25:25" x14ac:dyDescent="0.2">
      <c r="Y6092" s="18"/>
    </row>
    <row r="6093" spans="25:25" x14ac:dyDescent="0.2">
      <c r="Y6093" s="18"/>
    </row>
    <row r="6094" spans="25:25" x14ac:dyDescent="0.2">
      <c r="Y6094" s="18"/>
    </row>
    <row r="6095" spans="25:25" x14ac:dyDescent="0.2">
      <c r="Y6095" s="18"/>
    </row>
    <row r="6096" spans="25:25" x14ac:dyDescent="0.2">
      <c r="Y6096" s="18"/>
    </row>
    <row r="6097" spans="25:25" x14ac:dyDescent="0.2">
      <c r="Y6097" s="18"/>
    </row>
    <row r="6098" spans="25:25" x14ac:dyDescent="0.2">
      <c r="Y6098" s="18"/>
    </row>
    <row r="6099" spans="25:25" x14ac:dyDescent="0.2">
      <c r="Y6099" s="18"/>
    </row>
    <row r="6100" spans="25:25" x14ac:dyDescent="0.2">
      <c r="Y6100" s="18"/>
    </row>
    <row r="6101" spans="25:25" x14ac:dyDescent="0.2">
      <c r="Y6101" s="18"/>
    </row>
    <row r="6102" spans="25:25" x14ac:dyDescent="0.2">
      <c r="Y6102" s="18"/>
    </row>
    <row r="6103" spans="25:25" x14ac:dyDescent="0.2">
      <c r="Y6103" s="18"/>
    </row>
    <row r="6104" spans="25:25" x14ac:dyDescent="0.2">
      <c r="Y6104" s="18"/>
    </row>
    <row r="6105" spans="25:25" x14ac:dyDescent="0.2">
      <c r="Y6105" s="18"/>
    </row>
    <row r="6106" spans="25:25" x14ac:dyDescent="0.2">
      <c r="Y6106" s="18"/>
    </row>
    <row r="6107" spans="25:25" x14ac:dyDescent="0.2">
      <c r="Y6107" s="18"/>
    </row>
    <row r="6108" spans="25:25" x14ac:dyDescent="0.2">
      <c r="Y6108" s="18"/>
    </row>
    <row r="6109" spans="25:25" x14ac:dyDescent="0.2">
      <c r="Y6109" s="18"/>
    </row>
    <row r="6110" spans="25:25" x14ac:dyDescent="0.2">
      <c r="Y6110" s="18"/>
    </row>
    <row r="6111" spans="25:25" x14ac:dyDescent="0.2">
      <c r="Y6111" s="18"/>
    </row>
    <row r="6112" spans="25:25" x14ac:dyDescent="0.2">
      <c r="Y6112" s="18"/>
    </row>
    <row r="6113" spans="25:25" x14ac:dyDescent="0.2">
      <c r="Y6113" s="18"/>
    </row>
    <row r="6114" spans="25:25" x14ac:dyDescent="0.2">
      <c r="Y6114" s="18"/>
    </row>
    <row r="6115" spans="25:25" x14ac:dyDescent="0.2">
      <c r="Y6115" s="18"/>
    </row>
    <row r="6116" spans="25:25" x14ac:dyDescent="0.2">
      <c r="Y6116" s="18"/>
    </row>
    <row r="6117" spans="25:25" x14ac:dyDescent="0.2">
      <c r="Y6117" s="18"/>
    </row>
    <row r="6118" spans="25:25" x14ac:dyDescent="0.2">
      <c r="Y6118" s="18"/>
    </row>
    <row r="6119" spans="25:25" x14ac:dyDescent="0.2">
      <c r="Y6119" s="18"/>
    </row>
    <row r="6120" spans="25:25" x14ac:dyDescent="0.2">
      <c r="Y6120" s="18"/>
    </row>
    <row r="6121" spans="25:25" x14ac:dyDescent="0.2">
      <c r="Y6121" s="18"/>
    </row>
    <row r="6122" spans="25:25" x14ac:dyDescent="0.2">
      <c r="Y6122" s="18"/>
    </row>
    <row r="6123" spans="25:25" x14ac:dyDescent="0.2">
      <c r="Y6123" s="18"/>
    </row>
    <row r="6124" spans="25:25" x14ac:dyDescent="0.2">
      <c r="Y6124" s="18"/>
    </row>
    <row r="6125" spans="25:25" x14ac:dyDescent="0.2">
      <c r="Y6125" s="18"/>
    </row>
    <row r="6126" spans="25:25" x14ac:dyDescent="0.2">
      <c r="Y6126" s="18"/>
    </row>
    <row r="6127" spans="25:25" x14ac:dyDescent="0.2">
      <c r="Y6127" s="18"/>
    </row>
    <row r="6128" spans="25:25" x14ac:dyDescent="0.2">
      <c r="Y6128" s="18"/>
    </row>
    <row r="6129" spans="25:25" x14ac:dyDescent="0.2">
      <c r="Y6129" s="18"/>
    </row>
    <row r="6130" spans="25:25" x14ac:dyDescent="0.2">
      <c r="Y6130" s="18"/>
    </row>
    <row r="6131" spans="25:25" x14ac:dyDescent="0.2">
      <c r="Y6131" s="18"/>
    </row>
    <row r="6132" spans="25:25" x14ac:dyDescent="0.2">
      <c r="Y6132" s="18"/>
    </row>
    <row r="6133" spans="25:25" x14ac:dyDescent="0.2">
      <c r="Y6133" s="18"/>
    </row>
    <row r="6134" spans="25:25" x14ac:dyDescent="0.2">
      <c r="Y6134" s="18"/>
    </row>
    <row r="6135" spans="25:25" x14ac:dyDescent="0.2">
      <c r="Y6135" s="18"/>
    </row>
    <row r="6136" spans="25:25" x14ac:dyDescent="0.2">
      <c r="Y6136" s="18"/>
    </row>
    <row r="6137" spans="25:25" x14ac:dyDescent="0.2">
      <c r="Y6137" s="18"/>
    </row>
    <row r="6138" spans="25:25" x14ac:dyDescent="0.2">
      <c r="Y6138" s="18"/>
    </row>
    <row r="6139" spans="25:25" x14ac:dyDescent="0.2">
      <c r="Y6139" s="18"/>
    </row>
    <row r="6140" spans="25:25" x14ac:dyDescent="0.2">
      <c r="Y6140" s="18"/>
    </row>
    <row r="6141" spans="25:25" x14ac:dyDescent="0.2">
      <c r="Y6141" s="18"/>
    </row>
    <row r="6142" spans="25:25" x14ac:dyDescent="0.2">
      <c r="Y6142" s="18"/>
    </row>
    <row r="6143" spans="25:25" x14ac:dyDescent="0.2">
      <c r="Y6143" s="18"/>
    </row>
    <row r="6144" spans="25:25" x14ac:dyDescent="0.2">
      <c r="Y6144" s="18"/>
    </row>
    <row r="6145" spans="25:25" x14ac:dyDescent="0.2">
      <c r="Y6145" s="18"/>
    </row>
    <row r="6146" spans="25:25" x14ac:dyDescent="0.2">
      <c r="Y6146" s="18"/>
    </row>
    <row r="6147" spans="25:25" x14ac:dyDescent="0.2">
      <c r="Y6147" s="18"/>
    </row>
    <row r="6148" spans="25:25" x14ac:dyDescent="0.2">
      <c r="Y6148" s="18"/>
    </row>
    <row r="6149" spans="25:25" x14ac:dyDescent="0.2">
      <c r="Y6149" s="18"/>
    </row>
    <row r="6150" spans="25:25" x14ac:dyDescent="0.2">
      <c r="Y6150" s="18"/>
    </row>
    <row r="6151" spans="25:25" x14ac:dyDescent="0.2">
      <c r="Y6151" s="18"/>
    </row>
    <row r="6152" spans="25:25" x14ac:dyDescent="0.2">
      <c r="Y6152" s="18"/>
    </row>
    <row r="6153" spans="25:25" x14ac:dyDescent="0.2">
      <c r="Y6153" s="18"/>
    </row>
    <row r="6154" spans="25:25" x14ac:dyDescent="0.2">
      <c r="Y6154" s="18"/>
    </row>
    <row r="6155" spans="25:25" x14ac:dyDescent="0.2">
      <c r="Y6155" s="18"/>
    </row>
    <row r="6156" spans="25:25" x14ac:dyDescent="0.2">
      <c r="Y6156" s="18"/>
    </row>
    <row r="6157" spans="25:25" x14ac:dyDescent="0.2">
      <c r="Y6157" s="18"/>
    </row>
    <row r="6158" spans="25:25" x14ac:dyDescent="0.2">
      <c r="Y6158" s="18"/>
    </row>
    <row r="6159" spans="25:25" x14ac:dyDescent="0.2">
      <c r="Y6159" s="18"/>
    </row>
    <row r="6160" spans="25:25" x14ac:dyDescent="0.2">
      <c r="Y6160" s="18"/>
    </row>
    <row r="6161" spans="25:25" x14ac:dyDescent="0.2">
      <c r="Y6161" s="18"/>
    </row>
    <row r="6162" spans="25:25" x14ac:dyDescent="0.2">
      <c r="Y6162" s="18"/>
    </row>
    <row r="6163" spans="25:25" x14ac:dyDescent="0.2">
      <c r="Y6163" s="18"/>
    </row>
    <row r="6164" spans="25:25" x14ac:dyDescent="0.2">
      <c r="Y6164" s="18"/>
    </row>
    <row r="6165" spans="25:25" x14ac:dyDescent="0.2">
      <c r="Y6165" s="18"/>
    </row>
    <row r="6166" spans="25:25" x14ac:dyDescent="0.2">
      <c r="Y6166" s="18"/>
    </row>
    <row r="6167" spans="25:25" x14ac:dyDescent="0.2">
      <c r="Y6167" s="18"/>
    </row>
    <row r="6168" spans="25:25" x14ac:dyDescent="0.2">
      <c r="Y6168" s="18"/>
    </row>
    <row r="6169" spans="25:25" x14ac:dyDescent="0.2">
      <c r="Y6169" s="18"/>
    </row>
    <row r="6170" spans="25:25" x14ac:dyDescent="0.2">
      <c r="Y6170" s="18"/>
    </row>
    <row r="6171" spans="25:25" x14ac:dyDescent="0.2">
      <c r="Y6171" s="18"/>
    </row>
    <row r="6172" spans="25:25" x14ac:dyDescent="0.2">
      <c r="Y6172" s="18"/>
    </row>
    <row r="6173" spans="25:25" x14ac:dyDescent="0.2">
      <c r="Y6173" s="18"/>
    </row>
    <row r="6174" spans="25:25" x14ac:dyDescent="0.2">
      <c r="Y6174" s="18"/>
    </row>
    <row r="6175" spans="25:25" x14ac:dyDescent="0.2">
      <c r="Y6175" s="18"/>
    </row>
    <row r="6176" spans="25:25" x14ac:dyDescent="0.2">
      <c r="Y6176" s="18"/>
    </row>
    <row r="6177" spans="25:25" x14ac:dyDescent="0.2">
      <c r="Y6177" s="18"/>
    </row>
    <row r="6178" spans="25:25" x14ac:dyDescent="0.2">
      <c r="Y6178" s="18"/>
    </row>
    <row r="6179" spans="25:25" x14ac:dyDescent="0.2">
      <c r="Y6179" s="18"/>
    </row>
    <row r="6180" spans="25:25" x14ac:dyDescent="0.2">
      <c r="Y6180" s="18"/>
    </row>
    <row r="6181" spans="25:25" x14ac:dyDescent="0.2">
      <c r="Y6181" s="18"/>
    </row>
    <row r="6182" spans="25:25" x14ac:dyDescent="0.2">
      <c r="Y6182" s="18"/>
    </row>
    <row r="6183" spans="25:25" x14ac:dyDescent="0.2">
      <c r="Y6183" s="18"/>
    </row>
    <row r="6184" spans="25:25" x14ac:dyDescent="0.2">
      <c r="Y6184" s="18"/>
    </row>
    <row r="6185" spans="25:25" x14ac:dyDescent="0.2">
      <c r="Y6185" s="18"/>
    </row>
    <row r="6186" spans="25:25" x14ac:dyDescent="0.2">
      <c r="Y6186" s="18"/>
    </row>
    <row r="6187" spans="25:25" x14ac:dyDescent="0.2">
      <c r="Y6187" s="18"/>
    </row>
    <row r="6188" spans="25:25" x14ac:dyDescent="0.2">
      <c r="Y6188" s="18"/>
    </row>
    <row r="6189" spans="25:25" x14ac:dyDescent="0.2">
      <c r="Y6189" s="18"/>
    </row>
    <row r="6190" spans="25:25" x14ac:dyDescent="0.2">
      <c r="Y6190" s="18"/>
    </row>
    <row r="6191" spans="25:25" x14ac:dyDescent="0.2">
      <c r="Y6191" s="18"/>
    </row>
    <row r="6192" spans="25:25" x14ac:dyDescent="0.2">
      <c r="Y6192" s="18"/>
    </row>
    <row r="6193" spans="25:25" x14ac:dyDescent="0.2">
      <c r="Y6193" s="18"/>
    </row>
    <row r="6194" spans="25:25" x14ac:dyDescent="0.2">
      <c r="Y6194" s="18"/>
    </row>
    <row r="6195" spans="25:25" x14ac:dyDescent="0.2">
      <c r="Y6195" s="18"/>
    </row>
    <row r="6196" spans="25:25" x14ac:dyDescent="0.2">
      <c r="Y6196" s="18"/>
    </row>
    <row r="6197" spans="25:25" x14ac:dyDescent="0.2">
      <c r="Y6197" s="18"/>
    </row>
    <row r="6198" spans="25:25" x14ac:dyDescent="0.2">
      <c r="Y6198" s="18"/>
    </row>
    <row r="6199" spans="25:25" x14ac:dyDescent="0.2">
      <c r="Y6199" s="18"/>
    </row>
    <row r="6200" spans="25:25" x14ac:dyDescent="0.2">
      <c r="Y6200" s="18"/>
    </row>
    <row r="6201" spans="25:25" x14ac:dyDescent="0.2">
      <c r="Y6201" s="18"/>
    </row>
    <row r="6202" spans="25:25" x14ac:dyDescent="0.2">
      <c r="Y6202" s="18"/>
    </row>
    <row r="6203" spans="25:25" x14ac:dyDescent="0.2">
      <c r="Y6203" s="18"/>
    </row>
    <row r="6204" spans="25:25" x14ac:dyDescent="0.2">
      <c r="Y6204" s="18"/>
    </row>
    <row r="6205" spans="25:25" x14ac:dyDescent="0.2">
      <c r="Y6205" s="18"/>
    </row>
    <row r="6206" spans="25:25" x14ac:dyDescent="0.2">
      <c r="Y6206" s="18"/>
    </row>
    <row r="6207" spans="25:25" x14ac:dyDescent="0.2">
      <c r="Y6207" s="18"/>
    </row>
    <row r="6208" spans="25:25" x14ac:dyDescent="0.2">
      <c r="Y6208" s="18"/>
    </row>
    <row r="6209" spans="25:25" x14ac:dyDescent="0.2">
      <c r="Y6209" s="18"/>
    </row>
    <row r="6210" spans="25:25" x14ac:dyDescent="0.2">
      <c r="Y6210" s="18"/>
    </row>
    <row r="6211" spans="25:25" x14ac:dyDescent="0.2">
      <c r="Y6211" s="18"/>
    </row>
    <row r="6212" spans="25:25" x14ac:dyDescent="0.2">
      <c r="Y6212" s="18"/>
    </row>
    <row r="6213" spans="25:25" x14ac:dyDescent="0.2">
      <c r="Y6213" s="18"/>
    </row>
    <row r="6214" spans="25:25" x14ac:dyDescent="0.2">
      <c r="Y6214" s="18"/>
    </row>
    <row r="6215" spans="25:25" x14ac:dyDescent="0.2">
      <c r="Y6215" s="18"/>
    </row>
    <row r="6216" spans="25:25" x14ac:dyDescent="0.2">
      <c r="Y6216" s="18"/>
    </row>
    <row r="6217" spans="25:25" x14ac:dyDescent="0.2">
      <c r="Y6217" s="18"/>
    </row>
    <row r="6218" spans="25:25" x14ac:dyDescent="0.2">
      <c r="Y6218" s="18"/>
    </row>
    <row r="6219" spans="25:25" x14ac:dyDescent="0.2">
      <c r="Y6219" s="18"/>
    </row>
    <row r="6220" spans="25:25" x14ac:dyDescent="0.2">
      <c r="Y6220" s="18"/>
    </row>
    <row r="6221" spans="25:25" x14ac:dyDescent="0.2">
      <c r="Y6221" s="18"/>
    </row>
    <row r="6222" spans="25:25" x14ac:dyDescent="0.2">
      <c r="Y6222" s="18"/>
    </row>
    <row r="6223" spans="25:25" x14ac:dyDescent="0.2">
      <c r="Y6223" s="18"/>
    </row>
    <row r="6224" spans="25:25" x14ac:dyDescent="0.2">
      <c r="Y6224" s="18"/>
    </row>
    <row r="6225" spans="25:25" x14ac:dyDescent="0.2">
      <c r="Y6225" s="18"/>
    </row>
    <row r="6226" spans="25:25" x14ac:dyDescent="0.2">
      <c r="Y6226" s="18"/>
    </row>
    <row r="6227" spans="25:25" x14ac:dyDescent="0.2">
      <c r="Y6227" s="18"/>
    </row>
    <row r="6228" spans="25:25" x14ac:dyDescent="0.2">
      <c r="Y6228" s="18"/>
    </row>
    <row r="6229" spans="25:25" x14ac:dyDescent="0.2">
      <c r="Y6229" s="18"/>
    </row>
    <row r="6230" spans="25:25" x14ac:dyDescent="0.2">
      <c r="Y6230" s="18"/>
    </row>
    <row r="6231" spans="25:25" x14ac:dyDescent="0.2">
      <c r="Y6231" s="18"/>
    </row>
    <row r="6232" spans="25:25" x14ac:dyDescent="0.2">
      <c r="Y6232" s="18"/>
    </row>
    <row r="6233" spans="25:25" x14ac:dyDescent="0.2">
      <c r="Y6233" s="18"/>
    </row>
    <row r="6234" spans="25:25" x14ac:dyDescent="0.2">
      <c r="Y6234" s="18"/>
    </row>
    <row r="6235" spans="25:25" x14ac:dyDescent="0.2">
      <c r="Y6235" s="18"/>
    </row>
    <row r="6236" spans="25:25" x14ac:dyDescent="0.2">
      <c r="Y6236" s="18"/>
    </row>
    <row r="6237" spans="25:25" x14ac:dyDescent="0.2">
      <c r="Y6237" s="18"/>
    </row>
    <row r="6238" spans="25:25" x14ac:dyDescent="0.2">
      <c r="Y6238" s="18"/>
    </row>
    <row r="6239" spans="25:25" x14ac:dyDescent="0.2">
      <c r="Y6239" s="18"/>
    </row>
    <row r="6240" spans="25:25" x14ac:dyDescent="0.2">
      <c r="Y6240" s="18"/>
    </row>
    <row r="6241" spans="25:25" x14ac:dyDescent="0.2">
      <c r="Y6241" s="18"/>
    </row>
    <row r="6242" spans="25:25" x14ac:dyDescent="0.2">
      <c r="Y6242" s="18"/>
    </row>
    <row r="6243" spans="25:25" x14ac:dyDescent="0.2">
      <c r="Y6243" s="18"/>
    </row>
    <row r="6244" spans="25:25" x14ac:dyDescent="0.2">
      <c r="Y6244" s="18"/>
    </row>
    <row r="6245" spans="25:25" x14ac:dyDescent="0.2">
      <c r="Y6245" s="18"/>
    </row>
    <row r="6246" spans="25:25" x14ac:dyDescent="0.2">
      <c r="Y6246" s="18"/>
    </row>
    <row r="6247" spans="25:25" x14ac:dyDescent="0.2">
      <c r="Y6247" s="18"/>
    </row>
    <row r="6248" spans="25:25" x14ac:dyDescent="0.2">
      <c r="Y6248" s="18"/>
    </row>
    <row r="6249" spans="25:25" x14ac:dyDescent="0.2">
      <c r="Y6249" s="18"/>
    </row>
    <row r="6250" spans="25:25" x14ac:dyDescent="0.2">
      <c r="Y6250" s="18"/>
    </row>
    <row r="6251" spans="25:25" x14ac:dyDescent="0.2">
      <c r="Y6251" s="18"/>
    </row>
    <row r="6252" spans="25:25" x14ac:dyDescent="0.2">
      <c r="Y6252" s="18"/>
    </row>
    <row r="6253" spans="25:25" x14ac:dyDescent="0.2">
      <c r="Y6253" s="18"/>
    </row>
    <row r="6254" spans="25:25" x14ac:dyDescent="0.2">
      <c r="Y6254" s="18"/>
    </row>
    <row r="6255" spans="25:25" x14ac:dyDescent="0.2">
      <c r="Y6255" s="18"/>
    </row>
    <row r="6256" spans="25:25" x14ac:dyDescent="0.2">
      <c r="Y6256" s="18"/>
    </row>
    <row r="6257" spans="25:25" x14ac:dyDescent="0.2">
      <c r="Y6257" s="18"/>
    </row>
    <row r="6258" spans="25:25" x14ac:dyDescent="0.2">
      <c r="Y6258" s="18"/>
    </row>
    <row r="6259" spans="25:25" x14ac:dyDescent="0.2">
      <c r="Y6259" s="18"/>
    </row>
    <row r="6260" spans="25:25" x14ac:dyDescent="0.2">
      <c r="Y6260" s="18"/>
    </row>
    <row r="6261" spans="25:25" x14ac:dyDescent="0.2">
      <c r="Y6261" s="18"/>
    </row>
    <row r="6262" spans="25:25" x14ac:dyDescent="0.2">
      <c r="Y6262" s="18"/>
    </row>
    <row r="6263" spans="25:25" x14ac:dyDescent="0.2">
      <c r="Y6263" s="18"/>
    </row>
    <row r="6264" spans="25:25" x14ac:dyDescent="0.2">
      <c r="Y6264" s="18"/>
    </row>
    <row r="6265" spans="25:25" x14ac:dyDescent="0.2">
      <c r="Y6265" s="18"/>
    </row>
    <row r="6266" spans="25:25" x14ac:dyDescent="0.2">
      <c r="Y6266" s="18"/>
    </row>
    <row r="6267" spans="25:25" x14ac:dyDescent="0.2">
      <c r="Y6267" s="18"/>
    </row>
    <row r="6268" spans="25:25" x14ac:dyDescent="0.2">
      <c r="Y6268" s="18"/>
    </row>
    <row r="6269" spans="25:25" x14ac:dyDescent="0.2">
      <c r="Y6269" s="18"/>
    </row>
    <row r="6270" spans="25:25" x14ac:dyDescent="0.2">
      <c r="Y6270" s="18"/>
    </row>
    <row r="6271" spans="25:25" x14ac:dyDescent="0.2">
      <c r="Y6271" s="18"/>
    </row>
    <row r="6272" spans="25:25" x14ac:dyDescent="0.2">
      <c r="Y6272" s="18"/>
    </row>
    <row r="6273" spans="25:25" x14ac:dyDescent="0.2">
      <c r="Y6273" s="18"/>
    </row>
    <row r="6274" spans="25:25" x14ac:dyDescent="0.2">
      <c r="Y6274" s="18"/>
    </row>
    <row r="6275" spans="25:25" x14ac:dyDescent="0.2">
      <c r="Y6275" s="18"/>
    </row>
    <row r="6276" spans="25:25" x14ac:dyDescent="0.2">
      <c r="Y6276" s="18"/>
    </row>
    <row r="6277" spans="25:25" x14ac:dyDescent="0.2">
      <c r="Y6277" s="18"/>
    </row>
    <row r="6278" spans="25:25" x14ac:dyDescent="0.2">
      <c r="Y6278" s="18"/>
    </row>
    <row r="6279" spans="25:25" x14ac:dyDescent="0.2">
      <c r="Y6279" s="18"/>
    </row>
    <row r="6280" spans="25:25" x14ac:dyDescent="0.2">
      <c r="Y6280" s="18"/>
    </row>
    <row r="6281" spans="25:25" x14ac:dyDescent="0.2">
      <c r="Y6281" s="18"/>
    </row>
    <row r="6282" spans="25:25" x14ac:dyDescent="0.2">
      <c r="Y6282" s="18"/>
    </row>
    <row r="6283" spans="25:25" x14ac:dyDescent="0.2">
      <c r="Y6283" s="18"/>
    </row>
    <row r="6284" spans="25:25" x14ac:dyDescent="0.2">
      <c r="Y6284" s="18"/>
    </row>
    <row r="6285" spans="25:25" x14ac:dyDescent="0.2">
      <c r="Y6285" s="18"/>
    </row>
    <row r="6286" spans="25:25" x14ac:dyDescent="0.2">
      <c r="Y6286" s="18"/>
    </row>
    <row r="6287" spans="25:25" x14ac:dyDescent="0.2">
      <c r="Y6287" s="18"/>
    </row>
    <row r="6288" spans="25:25" x14ac:dyDescent="0.2">
      <c r="Y6288" s="18"/>
    </row>
    <row r="6289" spans="25:25" x14ac:dyDescent="0.2">
      <c r="Y6289" s="18"/>
    </row>
    <row r="6290" spans="25:25" x14ac:dyDescent="0.2">
      <c r="Y6290" s="18"/>
    </row>
    <row r="6291" spans="25:25" x14ac:dyDescent="0.2">
      <c r="Y6291" s="18"/>
    </row>
    <row r="6292" spans="25:25" x14ac:dyDescent="0.2">
      <c r="Y6292" s="18"/>
    </row>
    <row r="6293" spans="25:25" x14ac:dyDescent="0.2">
      <c r="Y6293" s="18"/>
    </row>
    <row r="6294" spans="25:25" x14ac:dyDescent="0.2">
      <c r="Y6294" s="18"/>
    </row>
    <row r="6295" spans="25:25" x14ac:dyDescent="0.2">
      <c r="Y6295" s="18"/>
    </row>
    <row r="6296" spans="25:25" x14ac:dyDescent="0.2">
      <c r="Y6296" s="18"/>
    </row>
    <row r="6297" spans="25:25" x14ac:dyDescent="0.2">
      <c r="Y6297" s="18"/>
    </row>
    <row r="6298" spans="25:25" x14ac:dyDescent="0.2">
      <c r="Y6298" s="18"/>
    </row>
    <row r="6299" spans="25:25" x14ac:dyDescent="0.2">
      <c r="Y6299" s="18"/>
    </row>
    <row r="6300" spans="25:25" x14ac:dyDescent="0.2">
      <c r="Y6300" s="18"/>
    </row>
    <row r="6301" spans="25:25" x14ac:dyDescent="0.2">
      <c r="Y6301" s="18"/>
    </row>
    <row r="6302" spans="25:25" x14ac:dyDescent="0.2">
      <c r="Y6302" s="18"/>
    </row>
    <row r="6303" spans="25:25" x14ac:dyDescent="0.2">
      <c r="Y6303" s="18"/>
    </row>
    <row r="6304" spans="25:25" x14ac:dyDescent="0.2">
      <c r="Y6304" s="18"/>
    </row>
    <row r="6305" spans="25:25" x14ac:dyDescent="0.2">
      <c r="Y6305" s="18"/>
    </row>
    <row r="6306" spans="25:25" x14ac:dyDescent="0.2">
      <c r="Y6306" s="18"/>
    </row>
    <row r="6307" spans="25:25" x14ac:dyDescent="0.2">
      <c r="Y6307" s="18"/>
    </row>
    <row r="6308" spans="25:25" x14ac:dyDescent="0.2">
      <c r="Y6308" s="18"/>
    </row>
    <row r="6309" spans="25:25" x14ac:dyDescent="0.2">
      <c r="Y6309" s="18"/>
    </row>
    <row r="6310" spans="25:25" x14ac:dyDescent="0.2">
      <c r="Y6310" s="18"/>
    </row>
    <row r="6311" spans="25:25" x14ac:dyDescent="0.2">
      <c r="Y6311" s="18"/>
    </row>
    <row r="6312" spans="25:25" x14ac:dyDescent="0.2">
      <c r="Y6312" s="18"/>
    </row>
    <row r="6313" spans="25:25" x14ac:dyDescent="0.2">
      <c r="Y6313" s="18"/>
    </row>
    <row r="6314" spans="25:25" x14ac:dyDescent="0.2">
      <c r="Y6314" s="18"/>
    </row>
    <row r="6315" spans="25:25" x14ac:dyDescent="0.2">
      <c r="Y6315" s="18"/>
    </row>
    <row r="6316" spans="25:25" x14ac:dyDescent="0.2">
      <c r="Y6316" s="18"/>
    </row>
    <row r="6317" spans="25:25" x14ac:dyDescent="0.2">
      <c r="Y6317" s="18"/>
    </row>
    <row r="6318" spans="25:25" x14ac:dyDescent="0.2">
      <c r="Y6318" s="18"/>
    </row>
    <row r="6319" spans="25:25" x14ac:dyDescent="0.2">
      <c r="Y6319" s="18"/>
    </row>
    <row r="6320" spans="25:25" x14ac:dyDescent="0.2">
      <c r="Y6320" s="18"/>
    </row>
    <row r="6321" spans="25:25" x14ac:dyDescent="0.2">
      <c r="Y6321" s="18"/>
    </row>
    <row r="6322" spans="25:25" x14ac:dyDescent="0.2">
      <c r="Y6322" s="18"/>
    </row>
    <row r="6323" spans="25:25" x14ac:dyDescent="0.2">
      <c r="Y6323" s="18"/>
    </row>
    <row r="6324" spans="25:25" x14ac:dyDescent="0.2">
      <c r="Y6324" s="18"/>
    </row>
    <row r="6325" spans="25:25" x14ac:dyDescent="0.2">
      <c r="Y6325" s="18"/>
    </row>
    <row r="6326" spans="25:25" x14ac:dyDescent="0.2">
      <c r="Y6326" s="18"/>
    </row>
    <row r="6327" spans="25:25" x14ac:dyDescent="0.2">
      <c r="Y6327" s="18"/>
    </row>
    <row r="6328" spans="25:25" x14ac:dyDescent="0.2">
      <c r="Y6328" s="18"/>
    </row>
    <row r="6329" spans="25:25" x14ac:dyDescent="0.2">
      <c r="Y6329" s="18"/>
    </row>
    <row r="6330" spans="25:25" x14ac:dyDescent="0.2">
      <c r="Y6330" s="18"/>
    </row>
    <row r="6331" spans="25:25" x14ac:dyDescent="0.2">
      <c r="Y6331" s="18"/>
    </row>
    <row r="6332" spans="25:25" x14ac:dyDescent="0.2">
      <c r="Y6332" s="18"/>
    </row>
    <row r="6333" spans="25:25" x14ac:dyDescent="0.2">
      <c r="Y6333" s="18"/>
    </row>
    <row r="6334" spans="25:25" x14ac:dyDescent="0.2">
      <c r="Y6334" s="18"/>
    </row>
    <row r="6335" spans="25:25" x14ac:dyDescent="0.2">
      <c r="Y6335" s="18"/>
    </row>
    <row r="6336" spans="25:25" x14ac:dyDescent="0.2">
      <c r="Y6336" s="18"/>
    </row>
    <row r="6337" spans="25:25" x14ac:dyDescent="0.2">
      <c r="Y6337" s="18"/>
    </row>
    <row r="6338" spans="25:25" x14ac:dyDescent="0.2">
      <c r="Y6338" s="18"/>
    </row>
    <row r="6339" spans="25:25" x14ac:dyDescent="0.2">
      <c r="Y6339" s="18"/>
    </row>
    <row r="6340" spans="25:25" x14ac:dyDescent="0.2">
      <c r="Y6340" s="18"/>
    </row>
    <row r="6341" spans="25:25" x14ac:dyDescent="0.2">
      <c r="Y6341" s="18"/>
    </row>
    <row r="6342" spans="25:25" x14ac:dyDescent="0.2">
      <c r="Y6342" s="18"/>
    </row>
    <row r="6343" spans="25:25" x14ac:dyDescent="0.2">
      <c r="Y6343" s="18"/>
    </row>
    <row r="6344" spans="25:25" x14ac:dyDescent="0.2">
      <c r="Y6344" s="18"/>
    </row>
    <row r="6345" spans="25:25" x14ac:dyDescent="0.2">
      <c r="Y6345" s="18"/>
    </row>
    <row r="6346" spans="25:25" x14ac:dyDescent="0.2">
      <c r="Y6346" s="18"/>
    </row>
    <row r="6347" spans="25:25" x14ac:dyDescent="0.2">
      <c r="Y6347" s="18"/>
    </row>
    <row r="6348" spans="25:25" x14ac:dyDescent="0.2">
      <c r="Y6348" s="18"/>
    </row>
    <row r="6349" spans="25:25" x14ac:dyDescent="0.2">
      <c r="Y6349" s="18"/>
    </row>
    <row r="6350" spans="25:25" x14ac:dyDescent="0.2">
      <c r="Y6350" s="18"/>
    </row>
    <row r="6351" spans="25:25" x14ac:dyDescent="0.2">
      <c r="Y6351" s="18"/>
    </row>
    <row r="6352" spans="25:25" x14ac:dyDescent="0.2">
      <c r="Y6352" s="18"/>
    </row>
    <row r="6353" spans="25:25" x14ac:dyDescent="0.2">
      <c r="Y6353" s="18"/>
    </row>
    <row r="6354" spans="25:25" x14ac:dyDescent="0.2">
      <c r="Y6354" s="18"/>
    </row>
    <row r="6355" spans="25:25" x14ac:dyDescent="0.2">
      <c r="Y6355" s="18"/>
    </row>
    <row r="6356" spans="25:25" x14ac:dyDescent="0.2">
      <c r="Y6356" s="18"/>
    </row>
    <row r="6357" spans="25:25" x14ac:dyDescent="0.2">
      <c r="Y6357" s="18"/>
    </row>
    <row r="6358" spans="25:25" x14ac:dyDescent="0.2">
      <c r="Y6358" s="18"/>
    </row>
    <row r="6359" spans="25:25" x14ac:dyDescent="0.2">
      <c r="Y6359" s="18"/>
    </row>
    <row r="6360" spans="25:25" x14ac:dyDescent="0.2">
      <c r="Y6360" s="18"/>
    </row>
    <row r="6361" spans="25:25" x14ac:dyDescent="0.2">
      <c r="Y6361" s="18"/>
    </row>
    <row r="6362" spans="25:25" x14ac:dyDescent="0.2">
      <c r="Y6362" s="18"/>
    </row>
    <row r="6363" spans="25:25" x14ac:dyDescent="0.2">
      <c r="Y6363" s="18"/>
    </row>
    <row r="6364" spans="25:25" x14ac:dyDescent="0.2">
      <c r="Y6364" s="18"/>
    </row>
    <row r="6365" spans="25:25" x14ac:dyDescent="0.2">
      <c r="Y6365" s="18"/>
    </row>
    <row r="6366" spans="25:25" x14ac:dyDescent="0.2">
      <c r="Y6366" s="18"/>
    </row>
    <row r="6367" spans="25:25" x14ac:dyDescent="0.2">
      <c r="Y6367" s="18"/>
    </row>
    <row r="6368" spans="25:25" x14ac:dyDescent="0.2">
      <c r="Y6368" s="18"/>
    </row>
    <row r="6369" spans="25:25" x14ac:dyDescent="0.2">
      <c r="Y6369" s="18"/>
    </row>
    <row r="6370" spans="25:25" x14ac:dyDescent="0.2">
      <c r="Y6370" s="18"/>
    </row>
    <row r="6371" spans="25:25" x14ac:dyDescent="0.2">
      <c r="Y6371" s="18"/>
    </row>
    <row r="6372" spans="25:25" x14ac:dyDescent="0.2">
      <c r="Y6372" s="18"/>
    </row>
    <row r="6373" spans="25:25" x14ac:dyDescent="0.2">
      <c r="Y6373" s="18"/>
    </row>
    <row r="6374" spans="25:25" x14ac:dyDescent="0.2">
      <c r="Y6374" s="18"/>
    </row>
    <row r="6375" spans="25:25" x14ac:dyDescent="0.2">
      <c r="Y6375" s="18"/>
    </row>
    <row r="6376" spans="25:25" x14ac:dyDescent="0.2">
      <c r="Y6376" s="18"/>
    </row>
    <row r="6377" spans="25:25" x14ac:dyDescent="0.2">
      <c r="Y6377" s="18"/>
    </row>
    <row r="6378" spans="25:25" x14ac:dyDescent="0.2">
      <c r="Y6378" s="18"/>
    </row>
    <row r="6379" spans="25:25" x14ac:dyDescent="0.2">
      <c r="Y6379" s="18"/>
    </row>
    <row r="6380" spans="25:25" x14ac:dyDescent="0.2">
      <c r="Y6380" s="18"/>
    </row>
    <row r="6381" spans="25:25" x14ac:dyDescent="0.2">
      <c r="Y6381" s="18"/>
    </row>
    <row r="6382" spans="25:25" x14ac:dyDescent="0.2">
      <c r="Y6382" s="18"/>
    </row>
    <row r="6383" spans="25:25" x14ac:dyDescent="0.2">
      <c r="Y6383" s="18"/>
    </row>
    <row r="6384" spans="25:25" x14ac:dyDescent="0.2">
      <c r="Y6384" s="18"/>
    </row>
    <row r="6385" spans="25:25" x14ac:dyDescent="0.2">
      <c r="Y6385" s="18"/>
    </row>
    <row r="6386" spans="25:25" x14ac:dyDescent="0.2">
      <c r="Y6386" s="18"/>
    </row>
    <row r="6387" spans="25:25" x14ac:dyDescent="0.2">
      <c r="Y6387" s="18"/>
    </row>
    <row r="6388" spans="25:25" x14ac:dyDescent="0.2">
      <c r="Y6388" s="18"/>
    </row>
    <row r="6389" spans="25:25" x14ac:dyDescent="0.2">
      <c r="Y6389" s="18"/>
    </row>
    <row r="6390" spans="25:25" x14ac:dyDescent="0.2">
      <c r="Y6390" s="18"/>
    </row>
    <row r="6391" spans="25:25" x14ac:dyDescent="0.2">
      <c r="Y6391" s="18"/>
    </row>
    <row r="6392" spans="25:25" x14ac:dyDescent="0.2">
      <c r="Y6392" s="18"/>
    </row>
    <row r="6393" spans="25:25" x14ac:dyDescent="0.2">
      <c r="Y6393" s="18"/>
    </row>
    <row r="6394" spans="25:25" x14ac:dyDescent="0.2">
      <c r="Y6394" s="18"/>
    </row>
    <row r="6395" spans="25:25" x14ac:dyDescent="0.2">
      <c r="Y6395" s="18"/>
    </row>
    <row r="6396" spans="25:25" x14ac:dyDescent="0.2">
      <c r="Y6396" s="18"/>
    </row>
    <row r="6397" spans="25:25" x14ac:dyDescent="0.2">
      <c r="Y6397" s="18"/>
    </row>
    <row r="6398" spans="25:25" x14ac:dyDescent="0.2">
      <c r="Y6398" s="18"/>
    </row>
    <row r="6399" spans="25:25" x14ac:dyDescent="0.2">
      <c r="Y6399" s="18"/>
    </row>
    <row r="6400" spans="25:25" x14ac:dyDescent="0.2">
      <c r="Y6400" s="18"/>
    </row>
    <row r="6401" spans="25:25" x14ac:dyDescent="0.2">
      <c r="Y6401" s="18"/>
    </row>
    <row r="6402" spans="25:25" x14ac:dyDescent="0.2">
      <c r="Y6402" s="18"/>
    </row>
    <row r="6403" spans="25:25" x14ac:dyDescent="0.2">
      <c r="Y6403" s="18"/>
    </row>
    <row r="6404" spans="25:25" x14ac:dyDescent="0.2">
      <c r="Y6404" s="18"/>
    </row>
    <row r="6405" spans="25:25" x14ac:dyDescent="0.2">
      <c r="Y6405" s="18"/>
    </row>
    <row r="6406" spans="25:25" x14ac:dyDescent="0.2">
      <c r="Y6406" s="18"/>
    </row>
    <row r="6407" spans="25:25" x14ac:dyDescent="0.2">
      <c r="Y6407" s="18"/>
    </row>
    <row r="6408" spans="25:25" x14ac:dyDescent="0.2">
      <c r="Y6408" s="18"/>
    </row>
    <row r="6409" spans="25:25" x14ac:dyDescent="0.2">
      <c r="Y6409" s="18"/>
    </row>
    <row r="6410" spans="25:25" x14ac:dyDescent="0.2">
      <c r="Y6410" s="18"/>
    </row>
    <row r="6411" spans="25:25" x14ac:dyDescent="0.2">
      <c r="Y6411" s="18"/>
    </row>
    <row r="6412" spans="25:25" x14ac:dyDescent="0.2">
      <c r="Y6412" s="18"/>
    </row>
    <row r="6413" spans="25:25" x14ac:dyDescent="0.2">
      <c r="Y6413" s="18"/>
    </row>
    <row r="6414" spans="25:25" x14ac:dyDescent="0.2">
      <c r="Y6414" s="18"/>
    </row>
    <row r="6415" spans="25:25" x14ac:dyDescent="0.2">
      <c r="Y6415" s="18"/>
    </row>
    <row r="6416" spans="25:25" x14ac:dyDescent="0.2">
      <c r="Y6416" s="18"/>
    </row>
    <row r="6417" spans="25:25" x14ac:dyDescent="0.2">
      <c r="Y6417" s="18"/>
    </row>
    <row r="6418" spans="25:25" x14ac:dyDescent="0.2">
      <c r="Y6418" s="18"/>
    </row>
    <row r="6419" spans="25:25" x14ac:dyDescent="0.2">
      <c r="Y6419" s="18"/>
    </row>
    <row r="6420" spans="25:25" x14ac:dyDescent="0.2">
      <c r="Y6420" s="18"/>
    </row>
    <row r="6421" spans="25:25" x14ac:dyDescent="0.2">
      <c r="Y6421" s="18"/>
    </row>
    <row r="6422" spans="25:25" x14ac:dyDescent="0.2">
      <c r="Y6422" s="18"/>
    </row>
    <row r="6423" spans="25:25" x14ac:dyDescent="0.2">
      <c r="Y6423" s="18"/>
    </row>
    <row r="6424" spans="25:25" x14ac:dyDescent="0.2">
      <c r="Y6424" s="18"/>
    </row>
    <row r="6425" spans="25:25" x14ac:dyDescent="0.2">
      <c r="Y6425" s="18"/>
    </row>
    <row r="6426" spans="25:25" x14ac:dyDescent="0.2">
      <c r="Y6426" s="18"/>
    </row>
    <row r="6427" spans="25:25" x14ac:dyDescent="0.2">
      <c r="Y6427" s="18"/>
    </row>
    <row r="6428" spans="25:25" x14ac:dyDescent="0.2">
      <c r="Y6428" s="18"/>
    </row>
    <row r="6429" spans="25:25" x14ac:dyDescent="0.2">
      <c r="Y6429" s="18"/>
    </row>
    <row r="6430" spans="25:25" x14ac:dyDescent="0.2">
      <c r="Y6430" s="18"/>
    </row>
    <row r="6431" spans="25:25" x14ac:dyDescent="0.2">
      <c r="Y6431" s="18"/>
    </row>
    <row r="6432" spans="25:25" x14ac:dyDescent="0.2">
      <c r="Y6432" s="18"/>
    </row>
    <row r="6433" spans="25:25" x14ac:dyDescent="0.2">
      <c r="Y6433" s="18"/>
    </row>
    <row r="6434" spans="25:25" x14ac:dyDescent="0.2">
      <c r="Y6434" s="18"/>
    </row>
    <row r="6435" spans="25:25" x14ac:dyDescent="0.2">
      <c r="Y6435" s="18"/>
    </row>
    <row r="6436" spans="25:25" x14ac:dyDescent="0.2">
      <c r="Y6436" s="18"/>
    </row>
    <row r="6437" spans="25:25" x14ac:dyDescent="0.2">
      <c r="Y6437" s="18"/>
    </row>
    <row r="6438" spans="25:25" x14ac:dyDescent="0.2">
      <c r="Y6438" s="18"/>
    </row>
    <row r="6439" spans="25:25" x14ac:dyDescent="0.2">
      <c r="Y6439" s="18"/>
    </row>
    <row r="6440" spans="25:25" x14ac:dyDescent="0.2">
      <c r="Y6440" s="18"/>
    </row>
    <row r="6441" spans="25:25" x14ac:dyDescent="0.2">
      <c r="Y6441" s="18"/>
    </row>
    <row r="6442" spans="25:25" x14ac:dyDescent="0.2">
      <c r="Y6442" s="18"/>
    </row>
    <row r="6443" spans="25:25" x14ac:dyDescent="0.2">
      <c r="Y6443" s="18"/>
    </row>
    <row r="6444" spans="25:25" x14ac:dyDescent="0.2">
      <c r="Y6444" s="18"/>
    </row>
    <row r="6445" spans="25:25" x14ac:dyDescent="0.2">
      <c r="Y6445" s="18"/>
    </row>
    <row r="6446" spans="25:25" x14ac:dyDescent="0.2">
      <c r="Y6446" s="18"/>
    </row>
    <row r="6447" spans="25:25" x14ac:dyDescent="0.2">
      <c r="Y6447" s="18"/>
    </row>
    <row r="6448" spans="25:25" x14ac:dyDescent="0.2">
      <c r="Y6448" s="18"/>
    </row>
    <row r="6449" spans="25:25" x14ac:dyDescent="0.2">
      <c r="Y6449" s="18"/>
    </row>
    <row r="6450" spans="25:25" x14ac:dyDescent="0.2">
      <c r="Y6450" s="18"/>
    </row>
    <row r="6451" spans="25:25" x14ac:dyDescent="0.2">
      <c r="Y6451" s="18"/>
    </row>
    <row r="6452" spans="25:25" x14ac:dyDescent="0.2">
      <c r="Y6452" s="18"/>
    </row>
    <row r="6453" spans="25:25" x14ac:dyDescent="0.2">
      <c r="Y6453" s="18"/>
    </row>
    <row r="6454" spans="25:25" x14ac:dyDescent="0.2">
      <c r="Y6454" s="18"/>
    </row>
    <row r="6455" spans="25:25" x14ac:dyDescent="0.2">
      <c r="Y6455" s="18"/>
    </row>
    <row r="6456" spans="25:25" x14ac:dyDescent="0.2">
      <c r="Y6456" s="18"/>
    </row>
    <row r="6457" spans="25:25" x14ac:dyDescent="0.2">
      <c r="Y6457" s="18"/>
    </row>
    <row r="6458" spans="25:25" x14ac:dyDescent="0.2">
      <c r="Y6458" s="18"/>
    </row>
    <row r="6459" spans="25:25" x14ac:dyDescent="0.2">
      <c r="Y6459" s="18"/>
    </row>
    <row r="6460" spans="25:25" x14ac:dyDescent="0.2">
      <c r="Y6460" s="18"/>
    </row>
    <row r="6461" spans="25:25" x14ac:dyDescent="0.2">
      <c r="Y6461" s="18"/>
    </row>
    <row r="6462" spans="25:25" x14ac:dyDescent="0.2">
      <c r="Y6462" s="18"/>
    </row>
    <row r="6463" spans="25:25" x14ac:dyDescent="0.2">
      <c r="Y6463" s="18"/>
    </row>
    <row r="6464" spans="25:25" x14ac:dyDescent="0.2">
      <c r="Y6464" s="18"/>
    </row>
    <row r="6465" spans="25:25" x14ac:dyDescent="0.2">
      <c r="Y6465" s="18"/>
    </row>
    <row r="6466" spans="25:25" x14ac:dyDescent="0.2">
      <c r="Y6466" s="18"/>
    </row>
    <row r="6467" spans="25:25" x14ac:dyDescent="0.2">
      <c r="Y6467" s="18"/>
    </row>
    <row r="6468" spans="25:25" x14ac:dyDescent="0.2">
      <c r="Y6468" s="18"/>
    </row>
    <row r="6469" spans="25:25" x14ac:dyDescent="0.2">
      <c r="Y6469" s="18"/>
    </row>
    <row r="6470" spans="25:25" x14ac:dyDescent="0.2">
      <c r="Y6470" s="18"/>
    </row>
    <row r="6471" spans="25:25" x14ac:dyDescent="0.2">
      <c r="Y6471" s="18"/>
    </row>
    <row r="6472" spans="25:25" x14ac:dyDescent="0.2">
      <c r="Y6472" s="18"/>
    </row>
    <row r="6473" spans="25:25" x14ac:dyDescent="0.2">
      <c r="Y6473" s="18"/>
    </row>
    <row r="6474" spans="25:25" x14ac:dyDescent="0.2">
      <c r="Y6474" s="18"/>
    </row>
    <row r="6475" spans="25:25" x14ac:dyDescent="0.2">
      <c r="Y6475" s="18"/>
    </row>
    <row r="6476" spans="25:25" x14ac:dyDescent="0.2">
      <c r="Y6476" s="18"/>
    </row>
    <row r="6477" spans="25:25" x14ac:dyDescent="0.2">
      <c r="Y6477" s="18"/>
    </row>
    <row r="6478" spans="25:25" x14ac:dyDescent="0.2">
      <c r="Y6478" s="18"/>
    </row>
    <row r="6479" spans="25:25" x14ac:dyDescent="0.2">
      <c r="Y6479" s="18"/>
    </row>
    <row r="6480" spans="25:25" x14ac:dyDescent="0.2">
      <c r="Y6480" s="18"/>
    </row>
    <row r="6481" spans="25:25" x14ac:dyDescent="0.2">
      <c r="Y6481" s="18"/>
    </row>
    <row r="6482" spans="25:25" x14ac:dyDescent="0.2">
      <c r="Y6482" s="18"/>
    </row>
    <row r="6483" spans="25:25" x14ac:dyDescent="0.2">
      <c r="Y6483" s="18"/>
    </row>
    <row r="6484" spans="25:25" x14ac:dyDescent="0.2">
      <c r="Y6484" s="18"/>
    </row>
    <row r="6485" spans="25:25" x14ac:dyDescent="0.2">
      <c r="Y6485" s="18"/>
    </row>
    <row r="6486" spans="25:25" x14ac:dyDescent="0.2">
      <c r="Y6486" s="18"/>
    </row>
    <row r="6487" spans="25:25" x14ac:dyDescent="0.2">
      <c r="Y6487" s="18"/>
    </row>
    <row r="6488" spans="25:25" x14ac:dyDescent="0.2">
      <c r="Y6488" s="18"/>
    </row>
    <row r="6489" spans="25:25" x14ac:dyDescent="0.2">
      <c r="Y6489" s="18"/>
    </row>
    <row r="6490" spans="25:25" x14ac:dyDescent="0.2">
      <c r="Y6490" s="18"/>
    </row>
    <row r="6491" spans="25:25" x14ac:dyDescent="0.2">
      <c r="Y6491" s="18"/>
    </row>
    <row r="6492" spans="25:25" x14ac:dyDescent="0.2">
      <c r="Y6492" s="18"/>
    </row>
    <row r="6493" spans="25:25" x14ac:dyDescent="0.2">
      <c r="Y6493" s="18"/>
    </row>
    <row r="6494" spans="25:25" x14ac:dyDescent="0.2">
      <c r="Y6494" s="18"/>
    </row>
    <row r="6495" spans="25:25" x14ac:dyDescent="0.2">
      <c r="Y6495" s="18"/>
    </row>
    <row r="6496" spans="25:25" x14ac:dyDescent="0.2">
      <c r="Y6496" s="18"/>
    </row>
    <row r="6497" spans="25:25" x14ac:dyDescent="0.2">
      <c r="Y6497" s="18"/>
    </row>
    <row r="6498" spans="25:25" x14ac:dyDescent="0.2">
      <c r="Y6498" s="18"/>
    </row>
    <row r="6499" spans="25:25" x14ac:dyDescent="0.2">
      <c r="Y6499" s="18"/>
    </row>
    <row r="6500" spans="25:25" x14ac:dyDescent="0.2">
      <c r="Y6500" s="18"/>
    </row>
    <row r="6501" spans="25:25" x14ac:dyDescent="0.2">
      <c r="Y6501" s="18"/>
    </row>
    <row r="6502" spans="25:25" x14ac:dyDescent="0.2">
      <c r="Y6502" s="18"/>
    </row>
    <row r="6503" spans="25:25" x14ac:dyDescent="0.2">
      <c r="Y6503" s="18"/>
    </row>
    <row r="6504" spans="25:25" x14ac:dyDescent="0.2">
      <c r="Y6504" s="18"/>
    </row>
    <row r="6505" spans="25:25" x14ac:dyDescent="0.2">
      <c r="Y6505" s="18"/>
    </row>
    <row r="6506" spans="25:25" x14ac:dyDescent="0.2">
      <c r="Y6506" s="18"/>
    </row>
    <row r="6507" spans="25:25" x14ac:dyDescent="0.2">
      <c r="Y6507" s="18"/>
    </row>
    <row r="6508" spans="25:25" x14ac:dyDescent="0.2">
      <c r="Y6508" s="18"/>
    </row>
    <row r="6509" spans="25:25" x14ac:dyDescent="0.2">
      <c r="Y6509" s="18"/>
    </row>
    <row r="6510" spans="25:25" x14ac:dyDescent="0.2">
      <c r="Y6510" s="18"/>
    </row>
    <row r="6511" spans="25:25" x14ac:dyDescent="0.2">
      <c r="Y6511" s="18"/>
    </row>
    <row r="6512" spans="25:25" x14ac:dyDescent="0.2">
      <c r="Y6512" s="18"/>
    </row>
    <row r="6513" spans="25:25" x14ac:dyDescent="0.2">
      <c r="Y6513" s="18"/>
    </row>
    <row r="6514" spans="25:25" x14ac:dyDescent="0.2">
      <c r="Y6514" s="18"/>
    </row>
    <row r="6515" spans="25:25" x14ac:dyDescent="0.2">
      <c r="Y6515" s="18"/>
    </row>
    <row r="6516" spans="25:25" x14ac:dyDescent="0.2">
      <c r="Y6516" s="18"/>
    </row>
    <row r="6517" spans="25:25" x14ac:dyDescent="0.2">
      <c r="Y6517" s="18"/>
    </row>
    <row r="6518" spans="25:25" x14ac:dyDescent="0.2">
      <c r="Y6518" s="18"/>
    </row>
    <row r="6519" spans="25:25" x14ac:dyDescent="0.2">
      <c r="Y6519" s="18"/>
    </row>
    <row r="6520" spans="25:25" x14ac:dyDescent="0.2">
      <c r="Y6520" s="18"/>
    </row>
    <row r="6521" spans="25:25" x14ac:dyDescent="0.2">
      <c r="Y6521" s="18"/>
    </row>
    <row r="6522" spans="25:25" x14ac:dyDescent="0.2">
      <c r="Y6522" s="18"/>
    </row>
    <row r="6523" spans="25:25" x14ac:dyDescent="0.2">
      <c r="Y6523" s="18"/>
    </row>
    <row r="6524" spans="25:25" x14ac:dyDescent="0.2">
      <c r="Y6524" s="18"/>
    </row>
    <row r="6525" spans="25:25" x14ac:dyDescent="0.2">
      <c r="Y6525" s="18"/>
    </row>
    <row r="6526" spans="25:25" x14ac:dyDescent="0.2">
      <c r="Y6526" s="18"/>
    </row>
    <row r="6527" spans="25:25" x14ac:dyDescent="0.2">
      <c r="Y6527" s="18"/>
    </row>
    <row r="6528" spans="25:25" x14ac:dyDescent="0.2">
      <c r="Y6528" s="18"/>
    </row>
    <row r="6529" spans="25:25" x14ac:dyDescent="0.2">
      <c r="Y6529" s="18"/>
    </row>
    <row r="6530" spans="25:25" x14ac:dyDescent="0.2">
      <c r="Y6530" s="18"/>
    </row>
    <row r="6531" spans="25:25" x14ac:dyDescent="0.2">
      <c r="Y6531" s="18"/>
    </row>
    <row r="6532" spans="25:25" x14ac:dyDescent="0.2">
      <c r="Y6532" s="18"/>
    </row>
    <row r="6533" spans="25:25" x14ac:dyDescent="0.2">
      <c r="Y6533" s="18"/>
    </row>
    <row r="6534" spans="25:25" x14ac:dyDescent="0.2">
      <c r="Y6534" s="18"/>
    </row>
    <row r="6535" spans="25:25" x14ac:dyDescent="0.2">
      <c r="Y6535" s="18"/>
    </row>
    <row r="6536" spans="25:25" x14ac:dyDescent="0.2">
      <c r="Y6536" s="18"/>
    </row>
    <row r="6537" spans="25:25" x14ac:dyDescent="0.2">
      <c r="Y6537" s="18"/>
    </row>
    <row r="6538" spans="25:25" x14ac:dyDescent="0.2">
      <c r="Y6538" s="18"/>
    </row>
    <row r="6539" spans="25:25" x14ac:dyDescent="0.2">
      <c r="Y6539" s="18"/>
    </row>
    <row r="6540" spans="25:25" x14ac:dyDescent="0.2">
      <c r="Y6540" s="18"/>
    </row>
    <row r="6541" spans="25:25" x14ac:dyDescent="0.2">
      <c r="Y6541" s="18"/>
    </row>
    <row r="6542" spans="25:25" x14ac:dyDescent="0.2">
      <c r="Y6542" s="18"/>
    </row>
    <row r="6543" spans="25:25" x14ac:dyDescent="0.2">
      <c r="Y6543" s="18"/>
    </row>
    <row r="6544" spans="25:25" x14ac:dyDescent="0.2">
      <c r="Y6544" s="18"/>
    </row>
    <row r="6545" spans="25:25" x14ac:dyDescent="0.2">
      <c r="Y6545" s="18"/>
    </row>
    <row r="6546" spans="25:25" x14ac:dyDescent="0.2">
      <c r="Y6546" s="18"/>
    </row>
    <row r="6547" spans="25:25" x14ac:dyDescent="0.2">
      <c r="Y6547" s="18"/>
    </row>
    <row r="6548" spans="25:25" x14ac:dyDescent="0.2">
      <c r="Y6548" s="18"/>
    </row>
    <row r="6549" spans="25:25" x14ac:dyDescent="0.2">
      <c r="Y6549" s="18"/>
    </row>
    <row r="6550" spans="25:25" x14ac:dyDescent="0.2">
      <c r="Y6550" s="18"/>
    </row>
    <row r="6551" spans="25:25" x14ac:dyDescent="0.2">
      <c r="Y6551" s="18"/>
    </row>
    <row r="6552" spans="25:25" x14ac:dyDescent="0.2">
      <c r="Y6552" s="18"/>
    </row>
    <row r="6553" spans="25:25" x14ac:dyDescent="0.2">
      <c r="Y6553" s="18"/>
    </row>
    <row r="6554" spans="25:25" x14ac:dyDescent="0.2">
      <c r="Y6554" s="18"/>
    </row>
    <row r="6555" spans="25:25" x14ac:dyDescent="0.2">
      <c r="Y6555" s="18"/>
    </row>
    <row r="6556" spans="25:25" x14ac:dyDescent="0.2">
      <c r="Y6556" s="18"/>
    </row>
    <row r="6557" spans="25:25" x14ac:dyDescent="0.2">
      <c r="Y6557" s="18"/>
    </row>
    <row r="6558" spans="25:25" x14ac:dyDescent="0.2">
      <c r="Y6558" s="18"/>
    </row>
    <row r="6559" spans="25:25" x14ac:dyDescent="0.2">
      <c r="Y6559" s="18"/>
    </row>
    <row r="6560" spans="25:25" x14ac:dyDescent="0.2">
      <c r="Y6560" s="18"/>
    </row>
    <row r="6561" spans="25:25" x14ac:dyDescent="0.2">
      <c r="Y6561" s="18"/>
    </row>
    <row r="6562" spans="25:25" x14ac:dyDescent="0.2">
      <c r="Y6562" s="18"/>
    </row>
    <row r="6563" spans="25:25" x14ac:dyDescent="0.2">
      <c r="Y6563" s="18"/>
    </row>
    <row r="6564" spans="25:25" x14ac:dyDescent="0.2">
      <c r="Y6564" s="18"/>
    </row>
    <row r="6565" spans="25:25" x14ac:dyDescent="0.2">
      <c r="Y6565" s="18"/>
    </row>
    <row r="6566" spans="25:25" x14ac:dyDescent="0.2">
      <c r="Y6566" s="18"/>
    </row>
    <row r="6567" spans="25:25" x14ac:dyDescent="0.2">
      <c r="Y6567" s="18"/>
    </row>
    <row r="6568" spans="25:25" x14ac:dyDescent="0.2">
      <c r="Y6568" s="18"/>
    </row>
    <row r="6569" spans="25:25" x14ac:dyDescent="0.2">
      <c r="Y6569" s="18"/>
    </row>
    <row r="6570" spans="25:25" x14ac:dyDescent="0.2">
      <c r="Y6570" s="18"/>
    </row>
    <row r="6571" spans="25:25" x14ac:dyDescent="0.2">
      <c r="Y6571" s="18"/>
    </row>
    <row r="6572" spans="25:25" x14ac:dyDescent="0.2">
      <c r="Y6572" s="18"/>
    </row>
    <row r="6573" spans="25:25" x14ac:dyDescent="0.2">
      <c r="Y6573" s="18"/>
    </row>
    <row r="6574" spans="25:25" x14ac:dyDescent="0.2">
      <c r="Y6574" s="18"/>
    </row>
    <row r="6575" spans="25:25" x14ac:dyDescent="0.2">
      <c r="Y6575" s="18"/>
    </row>
    <row r="6576" spans="25:25" x14ac:dyDescent="0.2">
      <c r="Y6576" s="18"/>
    </row>
    <row r="6577" spans="25:25" x14ac:dyDescent="0.2">
      <c r="Y6577" s="18"/>
    </row>
    <row r="6578" spans="25:25" x14ac:dyDescent="0.2">
      <c r="Y6578" s="18"/>
    </row>
    <row r="6579" spans="25:25" x14ac:dyDescent="0.2">
      <c r="Y6579" s="18"/>
    </row>
    <row r="6580" spans="25:25" x14ac:dyDescent="0.2">
      <c r="Y6580" s="18"/>
    </row>
    <row r="6581" spans="25:25" x14ac:dyDescent="0.2">
      <c r="Y6581" s="18"/>
    </row>
    <row r="6582" spans="25:25" x14ac:dyDescent="0.2">
      <c r="Y6582" s="18"/>
    </row>
    <row r="6583" spans="25:25" x14ac:dyDescent="0.2">
      <c r="Y6583" s="18"/>
    </row>
    <row r="6584" spans="25:25" x14ac:dyDescent="0.2">
      <c r="Y6584" s="18"/>
    </row>
    <row r="6585" spans="25:25" x14ac:dyDescent="0.2">
      <c r="Y6585" s="18"/>
    </row>
    <row r="6586" spans="25:25" x14ac:dyDescent="0.2">
      <c r="Y6586" s="18"/>
    </row>
    <row r="6587" spans="25:25" x14ac:dyDescent="0.2">
      <c r="Y6587" s="18"/>
    </row>
    <row r="6588" spans="25:25" x14ac:dyDescent="0.2">
      <c r="Y6588" s="18"/>
    </row>
    <row r="6589" spans="25:25" x14ac:dyDescent="0.2">
      <c r="Y6589" s="18"/>
    </row>
    <row r="6590" spans="25:25" x14ac:dyDescent="0.2">
      <c r="Y6590" s="18"/>
    </row>
    <row r="6591" spans="25:25" x14ac:dyDescent="0.2">
      <c r="Y6591" s="18"/>
    </row>
    <row r="6592" spans="25:25" x14ac:dyDescent="0.2">
      <c r="Y6592" s="18"/>
    </row>
    <row r="6593" spans="25:25" x14ac:dyDescent="0.2">
      <c r="Y6593" s="18"/>
    </row>
    <row r="6594" spans="25:25" x14ac:dyDescent="0.2">
      <c r="Y6594" s="18"/>
    </row>
    <row r="6595" spans="25:25" x14ac:dyDescent="0.2">
      <c r="Y6595" s="18"/>
    </row>
    <row r="6596" spans="25:25" x14ac:dyDescent="0.2">
      <c r="Y6596" s="18"/>
    </row>
    <row r="6597" spans="25:25" x14ac:dyDescent="0.2">
      <c r="Y6597" s="18"/>
    </row>
    <row r="6598" spans="25:25" x14ac:dyDescent="0.2">
      <c r="Y6598" s="18"/>
    </row>
    <row r="6599" spans="25:25" x14ac:dyDescent="0.2">
      <c r="Y6599" s="18"/>
    </row>
    <row r="6600" spans="25:25" x14ac:dyDescent="0.2">
      <c r="Y6600" s="18"/>
    </row>
    <row r="6601" spans="25:25" x14ac:dyDescent="0.2">
      <c r="Y6601" s="18"/>
    </row>
    <row r="6602" spans="25:25" x14ac:dyDescent="0.2">
      <c r="Y6602" s="18"/>
    </row>
    <row r="6603" spans="25:25" x14ac:dyDescent="0.2">
      <c r="Y6603" s="18"/>
    </row>
    <row r="6604" spans="25:25" x14ac:dyDescent="0.2">
      <c r="Y6604" s="18"/>
    </row>
    <row r="6605" spans="25:25" x14ac:dyDescent="0.2">
      <c r="Y6605" s="18"/>
    </row>
    <row r="6606" spans="25:25" x14ac:dyDescent="0.2">
      <c r="Y6606" s="18"/>
    </row>
    <row r="6607" spans="25:25" x14ac:dyDescent="0.2">
      <c r="Y6607" s="18"/>
    </row>
    <row r="6608" spans="25:25" x14ac:dyDescent="0.2">
      <c r="Y6608" s="18"/>
    </row>
    <row r="6609" spans="25:25" x14ac:dyDescent="0.2">
      <c r="Y6609" s="18"/>
    </row>
    <row r="6610" spans="25:25" x14ac:dyDescent="0.2">
      <c r="Y6610" s="18"/>
    </row>
    <row r="6611" spans="25:25" x14ac:dyDescent="0.2">
      <c r="Y6611" s="18"/>
    </row>
    <row r="6612" spans="25:25" x14ac:dyDescent="0.2">
      <c r="Y6612" s="18"/>
    </row>
    <row r="6613" spans="25:25" x14ac:dyDescent="0.2">
      <c r="Y6613" s="18"/>
    </row>
    <row r="6614" spans="25:25" x14ac:dyDescent="0.2">
      <c r="Y6614" s="18"/>
    </row>
    <row r="6615" spans="25:25" x14ac:dyDescent="0.2">
      <c r="Y6615" s="18"/>
    </row>
    <row r="6616" spans="25:25" x14ac:dyDescent="0.2">
      <c r="Y6616" s="18"/>
    </row>
    <row r="6617" spans="25:25" x14ac:dyDescent="0.2">
      <c r="Y6617" s="18"/>
    </row>
    <row r="6618" spans="25:25" x14ac:dyDescent="0.2">
      <c r="Y6618" s="18"/>
    </row>
    <row r="6619" spans="25:25" x14ac:dyDescent="0.2">
      <c r="Y6619" s="18"/>
    </row>
    <row r="6620" spans="25:25" x14ac:dyDescent="0.2">
      <c r="Y6620" s="18"/>
    </row>
    <row r="6621" spans="25:25" x14ac:dyDescent="0.2">
      <c r="Y6621" s="18"/>
    </row>
    <row r="6622" spans="25:25" x14ac:dyDescent="0.2">
      <c r="Y6622" s="18"/>
    </row>
    <row r="6623" spans="25:25" x14ac:dyDescent="0.2">
      <c r="Y6623" s="18"/>
    </row>
    <row r="6624" spans="25:25" x14ac:dyDescent="0.2">
      <c r="Y6624" s="18"/>
    </row>
    <row r="6625" spans="25:25" x14ac:dyDescent="0.2">
      <c r="Y6625" s="18"/>
    </row>
    <row r="6626" spans="25:25" x14ac:dyDescent="0.2">
      <c r="Y6626" s="18"/>
    </row>
    <row r="6627" spans="25:25" x14ac:dyDescent="0.2">
      <c r="Y6627" s="18"/>
    </row>
    <row r="6628" spans="25:25" x14ac:dyDescent="0.2">
      <c r="Y6628" s="18"/>
    </row>
    <row r="6629" spans="25:25" x14ac:dyDescent="0.2">
      <c r="Y6629" s="18"/>
    </row>
    <row r="6630" spans="25:25" x14ac:dyDescent="0.2">
      <c r="Y6630" s="18"/>
    </row>
    <row r="6631" spans="25:25" x14ac:dyDescent="0.2">
      <c r="Y6631" s="18"/>
    </row>
    <row r="6632" spans="25:25" x14ac:dyDescent="0.2">
      <c r="Y6632" s="18"/>
    </row>
    <row r="6633" spans="25:25" x14ac:dyDescent="0.2">
      <c r="Y6633" s="18"/>
    </row>
    <row r="6634" spans="25:25" x14ac:dyDescent="0.2">
      <c r="Y6634" s="18"/>
    </row>
    <row r="6635" spans="25:25" x14ac:dyDescent="0.2">
      <c r="Y6635" s="18"/>
    </row>
    <row r="6636" spans="25:25" x14ac:dyDescent="0.2">
      <c r="Y6636" s="18"/>
    </row>
    <row r="6637" spans="25:25" x14ac:dyDescent="0.2">
      <c r="Y6637" s="18"/>
    </row>
    <row r="6638" spans="25:25" x14ac:dyDescent="0.2">
      <c r="Y6638" s="18"/>
    </row>
    <row r="6639" spans="25:25" x14ac:dyDescent="0.2">
      <c r="Y6639" s="18"/>
    </row>
    <row r="6640" spans="25:25" x14ac:dyDescent="0.2">
      <c r="Y6640" s="18"/>
    </row>
    <row r="6641" spans="25:25" x14ac:dyDescent="0.2">
      <c r="Y6641" s="18"/>
    </row>
    <row r="6642" spans="25:25" x14ac:dyDescent="0.2">
      <c r="Y6642" s="18"/>
    </row>
    <row r="6643" spans="25:25" x14ac:dyDescent="0.2">
      <c r="Y6643" s="18"/>
    </row>
    <row r="6644" spans="25:25" x14ac:dyDescent="0.2">
      <c r="Y6644" s="18"/>
    </row>
    <row r="6645" spans="25:25" x14ac:dyDescent="0.2">
      <c r="Y6645" s="18"/>
    </row>
    <row r="6646" spans="25:25" x14ac:dyDescent="0.2">
      <c r="Y6646" s="18"/>
    </row>
    <row r="6647" spans="25:25" x14ac:dyDescent="0.2">
      <c r="Y6647" s="18"/>
    </row>
    <row r="6648" spans="25:25" x14ac:dyDescent="0.2">
      <c r="Y6648" s="18"/>
    </row>
    <row r="6649" spans="25:25" x14ac:dyDescent="0.2">
      <c r="Y6649" s="18"/>
    </row>
    <row r="6650" spans="25:25" x14ac:dyDescent="0.2">
      <c r="Y6650" s="18"/>
    </row>
    <row r="6651" spans="25:25" x14ac:dyDescent="0.2">
      <c r="Y6651" s="18"/>
    </row>
    <row r="6652" spans="25:25" x14ac:dyDescent="0.2">
      <c r="Y6652" s="18"/>
    </row>
    <row r="6653" spans="25:25" x14ac:dyDescent="0.2">
      <c r="Y6653" s="18"/>
    </row>
    <row r="6654" spans="25:25" x14ac:dyDescent="0.2">
      <c r="Y6654" s="18"/>
    </row>
    <row r="6655" spans="25:25" x14ac:dyDescent="0.2">
      <c r="Y6655" s="18"/>
    </row>
    <row r="6656" spans="25:25" x14ac:dyDescent="0.2">
      <c r="Y6656" s="18"/>
    </row>
    <row r="6657" spans="25:25" x14ac:dyDescent="0.2">
      <c r="Y6657" s="18"/>
    </row>
    <row r="6658" spans="25:25" x14ac:dyDescent="0.2">
      <c r="Y6658" s="18"/>
    </row>
    <row r="6659" spans="25:25" x14ac:dyDescent="0.2">
      <c r="Y6659" s="18"/>
    </row>
    <row r="6660" spans="25:25" x14ac:dyDescent="0.2">
      <c r="Y6660" s="18"/>
    </row>
    <row r="6661" spans="25:25" x14ac:dyDescent="0.2">
      <c r="Y6661" s="18"/>
    </row>
    <row r="6662" spans="25:25" x14ac:dyDescent="0.2">
      <c r="Y6662" s="18"/>
    </row>
    <row r="6663" spans="25:25" x14ac:dyDescent="0.2">
      <c r="Y6663" s="18"/>
    </row>
    <row r="6664" spans="25:25" x14ac:dyDescent="0.2">
      <c r="Y6664" s="18"/>
    </row>
    <row r="6665" spans="25:25" x14ac:dyDescent="0.2">
      <c r="Y6665" s="18"/>
    </row>
    <row r="6666" spans="25:25" x14ac:dyDescent="0.2">
      <c r="Y6666" s="18"/>
    </row>
    <row r="6667" spans="25:25" x14ac:dyDescent="0.2">
      <c r="Y6667" s="18"/>
    </row>
    <row r="6668" spans="25:25" x14ac:dyDescent="0.2">
      <c r="Y6668" s="18"/>
    </row>
    <row r="6669" spans="25:25" x14ac:dyDescent="0.2">
      <c r="Y6669" s="18"/>
    </row>
    <row r="6670" spans="25:25" x14ac:dyDescent="0.2">
      <c r="Y6670" s="18"/>
    </row>
    <row r="6671" spans="25:25" x14ac:dyDescent="0.2">
      <c r="Y6671" s="18"/>
    </row>
    <row r="6672" spans="25:25" x14ac:dyDescent="0.2">
      <c r="Y6672" s="18"/>
    </row>
    <row r="6673" spans="25:25" x14ac:dyDescent="0.2">
      <c r="Y6673" s="18"/>
    </row>
    <row r="6674" spans="25:25" x14ac:dyDescent="0.2">
      <c r="Y6674" s="18"/>
    </row>
    <row r="6675" spans="25:25" x14ac:dyDescent="0.2">
      <c r="Y6675" s="18"/>
    </row>
    <row r="6676" spans="25:25" x14ac:dyDescent="0.2">
      <c r="Y6676" s="18"/>
    </row>
    <row r="6677" spans="25:25" x14ac:dyDescent="0.2">
      <c r="Y6677" s="18"/>
    </row>
    <row r="6678" spans="25:25" x14ac:dyDescent="0.2">
      <c r="Y6678" s="18"/>
    </row>
    <row r="6679" spans="25:25" x14ac:dyDescent="0.2">
      <c r="Y6679" s="18"/>
    </row>
    <row r="6680" spans="25:25" x14ac:dyDescent="0.2">
      <c r="Y6680" s="18"/>
    </row>
    <row r="6681" spans="25:25" x14ac:dyDescent="0.2">
      <c r="Y6681" s="18"/>
    </row>
    <row r="6682" spans="25:25" x14ac:dyDescent="0.2">
      <c r="Y6682" s="18"/>
    </row>
    <row r="6683" spans="25:25" x14ac:dyDescent="0.2">
      <c r="Y6683" s="18"/>
    </row>
    <row r="6684" spans="25:25" x14ac:dyDescent="0.2">
      <c r="Y6684" s="18"/>
    </row>
    <row r="6685" spans="25:25" x14ac:dyDescent="0.2">
      <c r="Y6685" s="18"/>
    </row>
    <row r="6686" spans="25:25" x14ac:dyDescent="0.2">
      <c r="Y6686" s="18"/>
    </row>
    <row r="6687" spans="25:25" x14ac:dyDescent="0.2">
      <c r="Y6687" s="18"/>
    </row>
    <row r="6688" spans="25:25" x14ac:dyDescent="0.2">
      <c r="Y6688" s="18"/>
    </row>
    <row r="6689" spans="25:25" x14ac:dyDescent="0.2">
      <c r="Y6689" s="18"/>
    </row>
    <row r="6690" spans="25:25" x14ac:dyDescent="0.2">
      <c r="Y6690" s="18"/>
    </row>
    <row r="6691" spans="25:25" x14ac:dyDescent="0.2">
      <c r="Y6691" s="18"/>
    </row>
    <row r="6692" spans="25:25" x14ac:dyDescent="0.2">
      <c r="Y6692" s="18"/>
    </row>
    <row r="6693" spans="25:25" x14ac:dyDescent="0.2">
      <c r="Y6693" s="18"/>
    </row>
    <row r="6694" spans="25:25" x14ac:dyDescent="0.2">
      <c r="Y6694" s="18"/>
    </row>
    <row r="6695" spans="25:25" x14ac:dyDescent="0.2">
      <c r="Y6695" s="18"/>
    </row>
    <row r="6696" spans="25:25" x14ac:dyDescent="0.2">
      <c r="Y6696" s="18"/>
    </row>
    <row r="6697" spans="25:25" x14ac:dyDescent="0.2">
      <c r="Y6697" s="18"/>
    </row>
    <row r="6698" spans="25:25" x14ac:dyDescent="0.2">
      <c r="Y6698" s="18"/>
    </row>
    <row r="6699" spans="25:25" x14ac:dyDescent="0.2">
      <c r="Y6699" s="18"/>
    </row>
    <row r="6700" spans="25:25" x14ac:dyDescent="0.2">
      <c r="Y6700" s="18"/>
    </row>
    <row r="6701" spans="25:25" x14ac:dyDescent="0.2">
      <c r="Y6701" s="18"/>
    </row>
    <row r="6702" spans="25:25" x14ac:dyDescent="0.2">
      <c r="Y6702" s="18"/>
    </row>
    <row r="6703" spans="25:25" x14ac:dyDescent="0.2">
      <c r="Y6703" s="18"/>
    </row>
    <row r="6704" spans="25:25" x14ac:dyDescent="0.2">
      <c r="Y6704" s="18"/>
    </row>
    <row r="6705" spans="25:25" x14ac:dyDescent="0.2">
      <c r="Y6705" s="18"/>
    </row>
    <row r="6706" spans="25:25" x14ac:dyDescent="0.2">
      <c r="Y6706" s="18"/>
    </row>
    <row r="6707" spans="25:25" x14ac:dyDescent="0.2">
      <c r="Y6707" s="18"/>
    </row>
    <row r="6708" spans="25:25" x14ac:dyDescent="0.2">
      <c r="Y6708" s="18"/>
    </row>
    <row r="6709" spans="25:25" x14ac:dyDescent="0.2">
      <c r="Y6709" s="18"/>
    </row>
    <row r="6710" spans="25:25" x14ac:dyDescent="0.2">
      <c r="Y6710" s="18"/>
    </row>
    <row r="6711" spans="25:25" x14ac:dyDescent="0.2">
      <c r="Y6711" s="18"/>
    </row>
    <row r="6712" spans="25:25" x14ac:dyDescent="0.2">
      <c r="Y6712" s="18"/>
    </row>
    <row r="6713" spans="25:25" x14ac:dyDescent="0.2">
      <c r="Y6713" s="18"/>
    </row>
    <row r="6714" spans="25:25" x14ac:dyDescent="0.2">
      <c r="Y6714" s="18"/>
    </row>
    <row r="6715" spans="25:25" x14ac:dyDescent="0.2">
      <c r="Y6715" s="18"/>
    </row>
    <row r="6716" spans="25:25" x14ac:dyDescent="0.2">
      <c r="Y6716" s="18"/>
    </row>
    <row r="6717" spans="25:25" x14ac:dyDescent="0.2">
      <c r="Y6717" s="18"/>
    </row>
    <row r="6718" spans="25:25" x14ac:dyDescent="0.2">
      <c r="Y6718" s="18"/>
    </row>
    <row r="6719" spans="25:25" x14ac:dyDescent="0.2">
      <c r="Y6719" s="18"/>
    </row>
    <row r="6720" spans="25:25" x14ac:dyDescent="0.2">
      <c r="Y6720" s="18"/>
    </row>
    <row r="6721" spans="25:25" x14ac:dyDescent="0.2">
      <c r="Y6721" s="18"/>
    </row>
    <row r="6722" spans="25:25" x14ac:dyDescent="0.2">
      <c r="Y6722" s="18"/>
    </row>
    <row r="6723" spans="25:25" x14ac:dyDescent="0.2">
      <c r="Y6723" s="18"/>
    </row>
    <row r="6724" spans="25:25" x14ac:dyDescent="0.2">
      <c r="Y6724" s="18"/>
    </row>
    <row r="6725" spans="25:25" x14ac:dyDescent="0.2">
      <c r="Y6725" s="18"/>
    </row>
    <row r="6726" spans="25:25" x14ac:dyDescent="0.2">
      <c r="Y6726" s="18"/>
    </row>
    <row r="6727" spans="25:25" x14ac:dyDescent="0.2">
      <c r="Y6727" s="18"/>
    </row>
    <row r="6728" spans="25:25" x14ac:dyDescent="0.2">
      <c r="Y6728" s="18"/>
    </row>
    <row r="6729" spans="25:25" x14ac:dyDescent="0.2">
      <c r="Y6729" s="18"/>
    </row>
    <row r="6730" spans="25:25" x14ac:dyDescent="0.2">
      <c r="Y6730" s="18"/>
    </row>
    <row r="6731" spans="25:25" x14ac:dyDescent="0.2">
      <c r="Y6731" s="18"/>
    </row>
    <row r="6732" spans="25:25" x14ac:dyDescent="0.2">
      <c r="Y6732" s="18"/>
    </row>
    <row r="6733" spans="25:25" x14ac:dyDescent="0.2">
      <c r="Y6733" s="18"/>
    </row>
    <row r="6734" spans="25:25" x14ac:dyDescent="0.2">
      <c r="Y6734" s="18"/>
    </row>
    <row r="6735" spans="25:25" x14ac:dyDescent="0.2">
      <c r="Y6735" s="18"/>
    </row>
    <row r="6736" spans="25:25" x14ac:dyDescent="0.2">
      <c r="Y6736" s="18"/>
    </row>
    <row r="6737" spans="25:25" x14ac:dyDescent="0.2">
      <c r="Y6737" s="18"/>
    </row>
    <row r="6738" spans="25:25" x14ac:dyDescent="0.2">
      <c r="Y6738" s="18"/>
    </row>
    <row r="6739" spans="25:25" x14ac:dyDescent="0.2">
      <c r="Y6739" s="18"/>
    </row>
    <row r="6740" spans="25:25" x14ac:dyDescent="0.2">
      <c r="Y6740" s="18"/>
    </row>
    <row r="6741" spans="25:25" x14ac:dyDescent="0.2">
      <c r="Y6741" s="18"/>
    </row>
    <row r="6742" spans="25:25" x14ac:dyDescent="0.2">
      <c r="Y6742" s="18"/>
    </row>
    <row r="6743" spans="25:25" x14ac:dyDescent="0.2">
      <c r="Y6743" s="18"/>
    </row>
    <row r="6744" spans="25:25" x14ac:dyDescent="0.2">
      <c r="Y6744" s="18"/>
    </row>
    <row r="6745" spans="25:25" x14ac:dyDescent="0.2">
      <c r="Y6745" s="18"/>
    </row>
    <row r="6746" spans="25:25" x14ac:dyDescent="0.2">
      <c r="Y6746" s="18"/>
    </row>
    <row r="6747" spans="25:25" x14ac:dyDescent="0.2">
      <c r="Y6747" s="18"/>
    </row>
    <row r="6748" spans="25:25" x14ac:dyDescent="0.2">
      <c r="Y6748" s="18"/>
    </row>
    <row r="6749" spans="25:25" x14ac:dyDescent="0.2">
      <c r="Y6749" s="18"/>
    </row>
    <row r="6750" spans="25:25" x14ac:dyDescent="0.2">
      <c r="Y6750" s="18"/>
    </row>
    <row r="6751" spans="25:25" x14ac:dyDescent="0.2">
      <c r="Y6751" s="18"/>
    </row>
    <row r="6752" spans="25:25" x14ac:dyDescent="0.2">
      <c r="Y6752" s="18"/>
    </row>
    <row r="6753" spans="25:25" x14ac:dyDescent="0.2">
      <c r="Y6753" s="18"/>
    </row>
    <row r="6754" spans="25:25" x14ac:dyDescent="0.2">
      <c r="Y6754" s="18"/>
    </row>
    <row r="6755" spans="25:25" x14ac:dyDescent="0.2">
      <c r="Y6755" s="18"/>
    </row>
    <row r="6756" spans="25:25" x14ac:dyDescent="0.2">
      <c r="Y6756" s="18"/>
    </row>
    <row r="6757" spans="25:25" x14ac:dyDescent="0.2">
      <c r="Y6757" s="18"/>
    </row>
    <row r="6758" spans="25:25" x14ac:dyDescent="0.2">
      <c r="Y6758" s="18"/>
    </row>
    <row r="6759" spans="25:25" x14ac:dyDescent="0.2">
      <c r="Y6759" s="18"/>
    </row>
    <row r="6760" spans="25:25" x14ac:dyDescent="0.2">
      <c r="Y6760" s="18"/>
    </row>
    <row r="6761" spans="25:25" x14ac:dyDescent="0.2">
      <c r="Y6761" s="18"/>
    </row>
    <row r="6762" spans="25:25" x14ac:dyDescent="0.2">
      <c r="Y6762" s="18"/>
    </row>
    <row r="6763" spans="25:25" x14ac:dyDescent="0.2">
      <c r="Y6763" s="18"/>
    </row>
    <row r="6764" spans="25:25" x14ac:dyDescent="0.2">
      <c r="Y6764" s="18"/>
    </row>
    <row r="6765" spans="25:25" x14ac:dyDescent="0.2">
      <c r="Y6765" s="18"/>
    </row>
    <row r="6766" spans="25:25" x14ac:dyDescent="0.2">
      <c r="Y6766" s="18"/>
    </row>
    <row r="6767" spans="25:25" x14ac:dyDescent="0.2">
      <c r="Y6767" s="18"/>
    </row>
    <row r="6768" spans="25:25" x14ac:dyDescent="0.2">
      <c r="Y6768" s="18"/>
    </row>
    <row r="6769" spans="25:25" x14ac:dyDescent="0.2">
      <c r="Y6769" s="18"/>
    </row>
    <row r="6770" spans="25:25" x14ac:dyDescent="0.2">
      <c r="Y6770" s="18"/>
    </row>
    <row r="6771" spans="25:25" x14ac:dyDescent="0.2">
      <c r="Y6771" s="18"/>
    </row>
    <row r="6772" spans="25:25" x14ac:dyDescent="0.2">
      <c r="Y6772" s="18"/>
    </row>
    <row r="6773" spans="25:25" x14ac:dyDescent="0.2">
      <c r="Y6773" s="18"/>
    </row>
    <row r="6774" spans="25:25" x14ac:dyDescent="0.2">
      <c r="Y6774" s="18"/>
    </row>
    <row r="6775" spans="25:25" x14ac:dyDescent="0.2">
      <c r="Y6775" s="18"/>
    </row>
    <row r="6776" spans="25:25" x14ac:dyDescent="0.2">
      <c r="Y6776" s="18"/>
    </row>
    <row r="6777" spans="25:25" x14ac:dyDescent="0.2">
      <c r="Y6777" s="18"/>
    </row>
    <row r="6778" spans="25:25" x14ac:dyDescent="0.2">
      <c r="Y6778" s="18"/>
    </row>
    <row r="6779" spans="25:25" x14ac:dyDescent="0.2">
      <c r="Y6779" s="18"/>
    </row>
    <row r="6780" spans="25:25" x14ac:dyDescent="0.2">
      <c r="Y6780" s="18"/>
    </row>
    <row r="6781" spans="25:25" x14ac:dyDescent="0.2">
      <c r="Y6781" s="18"/>
    </row>
    <row r="6782" spans="25:25" x14ac:dyDescent="0.2">
      <c r="Y6782" s="18"/>
    </row>
    <row r="6783" spans="25:25" x14ac:dyDescent="0.2">
      <c r="Y6783" s="18"/>
    </row>
    <row r="6784" spans="25:25" x14ac:dyDescent="0.2">
      <c r="Y6784" s="18"/>
    </row>
    <row r="6785" spans="25:25" x14ac:dyDescent="0.2">
      <c r="Y6785" s="18"/>
    </row>
    <row r="6786" spans="25:25" x14ac:dyDescent="0.2">
      <c r="Y6786" s="18"/>
    </row>
    <row r="6787" spans="25:25" x14ac:dyDescent="0.2">
      <c r="Y6787" s="18"/>
    </row>
    <row r="6788" spans="25:25" x14ac:dyDescent="0.2">
      <c r="Y6788" s="18"/>
    </row>
    <row r="6789" spans="25:25" x14ac:dyDescent="0.2">
      <c r="Y6789" s="18"/>
    </row>
    <row r="6790" spans="25:25" x14ac:dyDescent="0.2">
      <c r="Y6790" s="18"/>
    </row>
    <row r="6791" spans="25:25" x14ac:dyDescent="0.2">
      <c r="Y6791" s="18"/>
    </row>
    <row r="6792" spans="25:25" x14ac:dyDescent="0.2">
      <c r="Y6792" s="18"/>
    </row>
    <row r="6793" spans="25:25" x14ac:dyDescent="0.2">
      <c r="Y6793" s="18"/>
    </row>
    <row r="6794" spans="25:25" x14ac:dyDescent="0.2">
      <c r="Y6794" s="18"/>
    </row>
    <row r="6795" spans="25:25" x14ac:dyDescent="0.2">
      <c r="Y6795" s="18"/>
    </row>
    <row r="6796" spans="25:25" x14ac:dyDescent="0.2">
      <c r="Y6796" s="18"/>
    </row>
    <row r="6797" spans="25:25" x14ac:dyDescent="0.2">
      <c r="Y6797" s="18"/>
    </row>
    <row r="6798" spans="25:25" x14ac:dyDescent="0.2">
      <c r="Y6798" s="18"/>
    </row>
    <row r="6799" spans="25:25" x14ac:dyDescent="0.2">
      <c r="Y6799" s="18"/>
    </row>
    <row r="6800" spans="25:25" x14ac:dyDescent="0.2">
      <c r="Y6800" s="18"/>
    </row>
    <row r="6801" spans="25:25" x14ac:dyDescent="0.2">
      <c r="Y6801" s="18"/>
    </row>
    <row r="6802" spans="25:25" x14ac:dyDescent="0.2">
      <c r="Y6802" s="18"/>
    </row>
    <row r="6803" spans="25:25" x14ac:dyDescent="0.2">
      <c r="Y6803" s="18"/>
    </row>
    <row r="6804" spans="25:25" x14ac:dyDescent="0.2">
      <c r="Y6804" s="18"/>
    </row>
    <row r="6805" spans="25:25" x14ac:dyDescent="0.2">
      <c r="Y6805" s="18"/>
    </row>
    <row r="6806" spans="25:25" x14ac:dyDescent="0.2">
      <c r="Y6806" s="18"/>
    </row>
    <row r="6807" spans="25:25" x14ac:dyDescent="0.2">
      <c r="Y6807" s="18"/>
    </row>
    <row r="6808" spans="25:25" x14ac:dyDescent="0.2">
      <c r="Y6808" s="18"/>
    </row>
    <row r="6809" spans="25:25" x14ac:dyDescent="0.2">
      <c r="Y6809" s="18"/>
    </row>
    <row r="6810" spans="25:25" x14ac:dyDescent="0.2">
      <c r="Y6810" s="18"/>
    </row>
    <row r="6811" spans="25:25" x14ac:dyDescent="0.2">
      <c r="Y6811" s="18"/>
    </row>
    <row r="6812" spans="25:25" x14ac:dyDescent="0.2">
      <c r="Y6812" s="18"/>
    </row>
    <row r="6813" spans="25:25" x14ac:dyDescent="0.2">
      <c r="Y6813" s="18"/>
    </row>
    <row r="6814" spans="25:25" x14ac:dyDescent="0.2">
      <c r="Y6814" s="18"/>
    </row>
    <row r="6815" spans="25:25" x14ac:dyDescent="0.2">
      <c r="Y6815" s="18"/>
    </row>
    <row r="6816" spans="25:25" x14ac:dyDescent="0.2">
      <c r="Y6816" s="18"/>
    </row>
    <row r="6817" spans="25:25" x14ac:dyDescent="0.2">
      <c r="Y6817" s="18"/>
    </row>
    <row r="6818" spans="25:25" x14ac:dyDescent="0.2">
      <c r="Y6818" s="18"/>
    </row>
    <row r="6819" spans="25:25" x14ac:dyDescent="0.2">
      <c r="Y6819" s="18"/>
    </row>
    <row r="6820" spans="25:25" x14ac:dyDescent="0.2">
      <c r="Y6820" s="18"/>
    </row>
    <row r="6821" spans="25:25" x14ac:dyDescent="0.2">
      <c r="Y6821" s="18"/>
    </row>
    <row r="6822" spans="25:25" x14ac:dyDescent="0.2">
      <c r="Y6822" s="18"/>
    </row>
    <row r="6823" spans="25:25" x14ac:dyDescent="0.2">
      <c r="Y6823" s="18"/>
    </row>
    <row r="6824" spans="25:25" x14ac:dyDescent="0.2">
      <c r="Y6824" s="18"/>
    </row>
    <row r="6825" spans="25:25" x14ac:dyDescent="0.2">
      <c r="Y6825" s="18"/>
    </row>
    <row r="6826" spans="25:25" x14ac:dyDescent="0.2">
      <c r="Y6826" s="18"/>
    </row>
    <row r="6827" spans="25:25" x14ac:dyDescent="0.2">
      <c r="Y6827" s="18"/>
    </row>
    <row r="6828" spans="25:25" x14ac:dyDescent="0.2">
      <c r="Y6828" s="18"/>
    </row>
    <row r="6829" spans="25:25" x14ac:dyDescent="0.2">
      <c r="Y6829" s="18"/>
    </row>
    <row r="6830" spans="25:25" x14ac:dyDescent="0.2">
      <c r="Y6830" s="18"/>
    </row>
    <row r="6831" spans="25:25" x14ac:dyDescent="0.2">
      <c r="Y6831" s="18"/>
    </row>
    <row r="6832" spans="25:25" x14ac:dyDescent="0.2">
      <c r="Y6832" s="18"/>
    </row>
    <row r="6833" spans="25:25" x14ac:dyDescent="0.2">
      <c r="Y6833" s="18"/>
    </row>
    <row r="6834" spans="25:25" x14ac:dyDescent="0.2">
      <c r="Y6834" s="18"/>
    </row>
    <row r="6835" spans="25:25" x14ac:dyDescent="0.2">
      <c r="Y6835" s="18"/>
    </row>
    <row r="6836" spans="25:25" x14ac:dyDescent="0.2">
      <c r="Y6836" s="18"/>
    </row>
    <row r="6837" spans="25:25" x14ac:dyDescent="0.2">
      <c r="Y6837" s="18"/>
    </row>
    <row r="6838" spans="25:25" x14ac:dyDescent="0.2">
      <c r="Y6838" s="18"/>
    </row>
    <row r="6839" spans="25:25" x14ac:dyDescent="0.2">
      <c r="Y6839" s="18"/>
    </row>
    <row r="6840" spans="25:25" x14ac:dyDescent="0.2">
      <c r="Y6840" s="18"/>
    </row>
    <row r="6841" spans="25:25" x14ac:dyDescent="0.2">
      <c r="Y6841" s="18"/>
    </row>
    <row r="6842" spans="25:25" x14ac:dyDescent="0.2">
      <c r="Y6842" s="18"/>
    </row>
    <row r="6843" spans="25:25" x14ac:dyDescent="0.2">
      <c r="Y6843" s="18"/>
    </row>
    <row r="6844" spans="25:25" x14ac:dyDescent="0.2">
      <c r="Y6844" s="18"/>
    </row>
    <row r="6845" spans="25:25" x14ac:dyDescent="0.2">
      <c r="Y6845" s="18"/>
    </row>
    <row r="6846" spans="25:25" x14ac:dyDescent="0.2">
      <c r="Y6846" s="18"/>
    </row>
    <row r="6847" spans="25:25" x14ac:dyDescent="0.2">
      <c r="Y6847" s="18"/>
    </row>
    <row r="6848" spans="25:25" x14ac:dyDescent="0.2">
      <c r="Y6848" s="18"/>
    </row>
    <row r="6849" spans="25:25" x14ac:dyDescent="0.2">
      <c r="Y6849" s="18"/>
    </row>
    <row r="6850" spans="25:25" x14ac:dyDescent="0.2">
      <c r="Y6850" s="18"/>
    </row>
    <row r="6851" spans="25:25" x14ac:dyDescent="0.2">
      <c r="Y6851" s="18"/>
    </row>
    <row r="6852" spans="25:25" x14ac:dyDescent="0.2">
      <c r="Y6852" s="18"/>
    </row>
    <row r="6853" spans="25:25" x14ac:dyDescent="0.2">
      <c r="Y6853" s="18"/>
    </row>
    <row r="6854" spans="25:25" x14ac:dyDescent="0.2">
      <c r="Y6854" s="18"/>
    </row>
    <row r="6855" spans="25:25" x14ac:dyDescent="0.2">
      <c r="Y6855" s="18"/>
    </row>
    <row r="6856" spans="25:25" x14ac:dyDescent="0.2">
      <c r="Y6856" s="18"/>
    </row>
    <row r="6857" spans="25:25" x14ac:dyDescent="0.2">
      <c r="Y6857" s="18"/>
    </row>
    <row r="6858" spans="25:25" x14ac:dyDescent="0.2">
      <c r="Y6858" s="18"/>
    </row>
    <row r="6859" spans="25:25" x14ac:dyDescent="0.2">
      <c r="Y6859" s="18"/>
    </row>
    <row r="6860" spans="25:25" x14ac:dyDescent="0.2">
      <c r="Y6860" s="18"/>
    </row>
    <row r="6861" spans="25:25" x14ac:dyDescent="0.2">
      <c r="Y6861" s="18"/>
    </row>
    <row r="6862" spans="25:25" x14ac:dyDescent="0.2">
      <c r="Y6862" s="18"/>
    </row>
    <row r="6863" spans="25:25" x14ac:dyDescent="0.2">
      <c r="Y6863" s="18"/>
    </row>
    <row r="6864" spans="25:25" x14ac:dyDescent="0.2">
      <c r="Y6864" s="18"/>
    </row>
    <row r="6865" spans="25:25" x14ac:dyDescent="0.2">
      <c r="Y6865" s="18"/>
    </row>
    <row r="6866" spans="25:25" x14ac:dyDescent="0.2">
      <c r="Y6866" s="18"/>
    </row>
    <row r="6867" spans="25:25" x14ac:dyDescent="0.2">
      <c r="Y6867" s="18"/>
    </row>
    <row r="6868" spans="25:25" x14ac:dyDescent="0.2">
      <c r="Y6868" s="18"/>
    </row>
    <row r="6869" spans="25:25" x14ac:dyDescent="0.2">
      <c r="Y6869" s="18"/>
    </row>
    <row r="6870" spans="25:25" x14ac:dyDescent="0.2">
      <c r="Y6870" s="18"/>
    </row>
    <row r="6871" spans="25:25" x14ac:dyDescent="0.2">
      <c r="Y6871" s="18"/>
    </row>
    <row r="6872" spans="25:25" x14ac:dyDescent="0.2">
      <c r="Y6872" s="18"/>
    </row>
    <row r="6873" spans="25:25" x14ac:dyDescent="0.2">
      <c r="Y6873" s="18"/>
    </row>
    <row r="6874" spans="25:25" x14ac:dyDescent="0.2">
      <c r="Y6874" s="18"/>
    </row>
    <row r="6875" spans="25:25" x14ac:dyDescent="0.2">
      <c r="Y6875" s="18"/>
    </row>
    <row r="6876" spans="25:25" x14ac:dyDescent="0.2">
      <c r="Y6876" s="18"/>
    </row>
    <row r="6877" spans="25:25" x14ac:dyDescent="0.2">
      <c r="Y6877" s="18"/>
    </row>
    <row r="6878" spans="25:25" x14ac:dyDescent="0.2">
      <c r="Y6878" s="18"/>
    </row>
    <row r="6879" spans="25:25" x14ac:dyDescent="0.2">
      <c r="Y6879" s="18"/>
    </row>
    <row r="6880" spans="25:25" x14ac:dyDescent="0.2">
      <c r="Y6880" s="18"/>
    </row>
    <row r="6881" spans="25:25" x14ac:dyDescent="0.2">
      <c r="Y6881" s="18"/>
    </row>
    <row r="6882" spans="25:25" x14ac:dyDescent="0.2">
      <c r="Y6882" s="18"/>
    </row>
    <row r="6883" spans="25:25" x14ac:dyDescent="0.2">
      <c r="Y6883" s="18"/>
    </row>
    <row r="6884" spans="25:25" x14ac:dyDescent="0.2">
      <c r="Y6884" s="18"/>
    </row>
    <row r="6885" spans="25:25" x14ac:dyDescent="0.2">
      <c r="Y6885" s="18"/>
    </row>
    <row r="6886" spans="25:25" x14ac:dyDescent="0.2">
      <c r="Y6886" s="18"/>
    </row>
    <row r="6887" spans="25:25" x14ac:dyDescent="0.2">
      <c r="Y6887" s="18"/>
    </row>
    <row r="6888" spans="25:25" x14ac:dyDescent="0.2">
      <c r="Y6888" s="18"/>
    </row>
    <row r="6889" spans="25:25" x14ac:dyDescent="0.2">
      <c r="Y6889" s="18"/>
    </row>
    <row r="6890" spans="25:25" x14ac:dyDescent="0.2">
      <c r="Y6890" s="18"/>
    </row>
    <row r="6891" spans="25:25" x14ac:dyDescent="0.2">
      <c r="Y6891" s="18"/>
    </row>
    <row r="6892" spans="25:25" x14ac:dyDescent="0.2">
      <c r="Y6892" s="18"/>
    </row>
    <row r="6893" spans="25:25" x14ac:dyDescent="0.2">
      <c r="Y6893" s="18"/>
    </row>
    <row r="6894" spans="25:25" x14ac:dyDescent="0.2">
      <c r="Y6894" s="18"/>
    </row>
    <row r="6895" spans="25:25" x14ac:dyDescent="0.2">
      <c r="Y6895" s="18"/>
    </row>
    <row r="6896" spans="25:25" x14ac:dyDescent="0.2">
      <c r="Y6896" s="18"/>
    </row>
    <row r="6897" spans="25:25" x14ac:dyDescent="0.2">
      <c r="Y6897" s="18"/>
    </row>
    <row r="6898" spans="25:25" x14ac:dyDescent="0.2">
      <c r="Y6898" s="18"/>
    </row>
    <row r="6899" spans="25:25" x14ac:dyDescent="0.2">
      <c r="Y6899" s="18"/>
    </row>
    <row r="6900" spans="25:25" x14ac:dyDescent="0.2">
      <c r="Y6900" s="18"/>
    </row>
    <row r="6901" spans="25:25" x14ac:dyDescent="0.2">
      <c r="Y6901" s="18"/>
    </row>
    <row r="6902" spans="25:25" x14ac:dyDescent="0.2">
      <c r="Y6902" s="18"/>
    </row>
    <row r="6903" spans="25:25" x14ac:dyDescent="0.2">
      <c r="Y6903" s="18"/>
    </row>
    <row r="6904" spans="25:25" x14ac:dyDescent="0.2">
      <c r="Y6904" s="18"/>
    </row>
    <row r="6905" spans="25:25" x14ac:dyDescent="0.2">
      <c r="Y6905" s="18"/>
    </row>
    <row r="6906" spans="25:25" x14ac:dyDescent="0.2">
      <c r="Y6906" s="18"/>
    </row>
    <row r="6907" spans="25:25" x14ac:dyDescent="0.2">
      <c r="Y6907" s="18"/>
    </row>
    <row r="6908" spans="25:25" x14ac:dyDescent="0.2">
      <c r="Y6908" s="18"/>
    </row>
    <row r="6909" spans="25:25" x14ac:dyDescent="0.2">
      <c r="Y6909" s="18"/>
    </row>
    <row r="6910" spans="25:25" x14ac:dyDescent="0.2">
      <c r="Y6910" s="18"/>
    </row>
    <row r="6911" spans="25:25" x14ac:dyDescent="0.2">
      <c r="Y6911" s="18"/>
    </row>
    <row r="6912" spans="25:25" x14ac:dyDescent="0.2">
      <c r="Y6912" s="18"/>
    </row>
    <row r="6913" spans="25:25" x14ac:dyDescent="0.2">
      <c r="Y6913" s="18"/>
    </row>
    <row r="6914" spans="25:25" x14ac:dyDescent="0.2">
      <c r="Y6914" s="18"/>
    </row>
    <row r="6915" spans="25:25" x14ac:dyDescent="0.2">
      <c r="Y6915" s="18"/>
    </row>
    <row r="6916" spans="25:25" x14ac:dyDescent="0.2">
      <c r="Y6916" s="18"/>
    </row>
    <row r="6917" spans="25:25" x14ac:dyDescent="0.2">
      <c r="Y6917" s="18"/>
    </row>
    <row r="6918" spans="25:25" x14ac:dyDescent="0.2">
      <c r="Y6918" s="18"/>
    </row>
    <row r="6919" spans="25:25" x14ac:dyDescent="0.2">
      <c r="Y6919" s="18"/>
    </row>
    <row r="6920" spans="25:25" x14ac:dyDescent="0.2">
      <c r="Y6920" s="18"/>
    </row>
    <row r="6921" spans="25:25" x14ac:dyDescent="0.2">
      <c r="Y6921" s="18"/>
    </row>
    <row r="6922" spans="25:25" x14ac:dyDescent="0.2">
      <c r="Y6922" s="18"/>
    </row>
    <row r="6923" spans="25:25" x14ac:dyDescent="0.2">
      <c r="Y6923" s="18"/>
    </row>
    <row r="6924" spans="25:25" x14ac:dyDescent="0.2">
      <c r="Y6924" s="18"/>
    </row>
    <row r="6925" spans="25:25" x14ac:dyDescent="0.2">
      <c r="Y6925" s="18"/>
    </row>
    <row r="6926" spans="25:25" x14ac:dyDescent="0.2">
      <c r="Y6926" s="18"/>
    </row>
    <row r="6927" spans="25:25" x14ac:dyDescent="0.2">
      <c r="Y6927" s="18"/>
    </row>
    <row r="6928" spans="25:25" x14ac:dyDescent="0.2">
      <c r="Y6928" s="18"/>
    </row>
    <row r="6929" spans="25:25" x14ac:dyDescent="0.2">
      <c r="Y6929" s="18"/>
    </row>
    <row r="6930" spans="25:25" x14ac:dyDescent="0.2">
      <c r="Y6930" s="18"/>
    </row>
    <row r="6931" spans="25:25" x14ac:dyDescent="0.2">
      <c r="Y6931" s="18"/>
    </row>
    <row r="6932" spans="25:25" x14ac:dyDescent="0.2">
      <c r="Y6932" s="18"/>
    </row>
    <row r="6933" spans="25:25" x14ac:dyDescent="0.2">
      <c r="Y6933" s="18"/>
    </row>
    <row r="6934" spans="25:25" x14ac:dyDescent="0.2">
      <c r="Y6934" s="18"/>
    </row>
    <row r="6935" spans="25:25" x14ac:dyDescent="0.2">
      <c r="Y6935" s="18"/>
    </row>
    <row r="6936" spans="25:25" x14ac:dyDescent="0.2">
      <c r="Y6936" s="18"/>
    </row>
    <row r="6937" spans="25:25" x14ac:dyDescent="0.2">
      <c r="Y6937" s="18"/>
    </row>
    <row r="6938" spans="25:25" x14ac:dyDescent="0.2">
      <c r="Y6938" s="18"/>
    </row>
    <row r="6939" spans="25:25" x14ac:dyDescent="0.2">
      <c r="Y6939" s="18"/>
    </row>
    <row r="6940" spans="25:25" x14ac:dyDescent="0.2">
      <c r="Y6940" s="18"/>
    </row>
    <row r="6941" spans="25:25" x14ac:dyDescent="0.2">
      <c r="Y6941" s="18"/>
    </row>
    <row r="6942" spans="25:25" x14ac:dyDescent="0.2">
      <c r="Y6942" s="18"/>
    </row>
    <row r="6943" spans="25:25" x14ac:dyDescent="0.2">
      <c r="Y6943" s="18"/>
    </row>
    <row r="6944" spans="25:25" x14ac:dyDescent="0.2">
      <c r="Y6944" s="18"/>
    </row>
    <row r="6945" spans="25:25" x14ac:dyDescent="0.2">
      <c r="Y6945" s="18"/>
    </row>
    <row r="6946" spans="25:25" x14ac:dyDescent="0.2">
      <c r="Y6946" s="18"/>
    </row>
    <row r="6947" spans="25:25" x14ac:dyDescent="0.2">
      <c r="Y6947" s="18"/>
    </row>
    <row r="6948" spans="25:25" x14ac:dyDescent="0.2">
      <c r="Y6948" s="18"/>
    </row>
    <row r="6949" spans="25:25" x14ac:dyDescent="0.2">
      <c r="Y6949" s="18"/>
    </row>
    <row r="6950" spans="25:25" x14ac:dyDescent="0.2">
      <c r="Y6950" s="18"/>
    </row>
    <row r="6951" spans="25:25" x14ac:dyDescent="0.2">
      <c r="Y6951" s="18"/>
    </row>
    <row r="6952" spans="25:25" x14ac:dyDescent="0.2">
      <c r="Y6952" s="18"/>
    </row>
    <row r="6953" spans="25:25" x14ac:dyDescent="0.2">
      <c r="Y6953" s="18"/>
    </row>
    <row r="6954" spans="25:25" x14ac:dyDescent="0.2">
      <c r="Y6954" s="18"/>
    </row>
    <row r="6955" spans="25:25" x14ac:dyDescent="0.2">
      <c r="Y6955" s="18"/>
    </row>
    <row r="6956" spans="25:25" x14ac:dyDescent="0.2">
      <c r="Y6956" s="18"/>
    </row>
    <row r="6957" spans="25:25" x14ac:dyDescent="0.2">
      <c r="Y6957" s="18"/>
    </row>
    <row r="6958" spans="25:25" x14ac:dyDescent="0.2">
      <c r="Y6958" s="18"/>
    </row>
    <row r="6959" spans="25:25" x14ac:dyDescent="0.2">
      <c r="Y6959" s="18"/>
    </row>
    <row r="6960" spans="25:25" x14ac:dyDescent="0.2">
      <c r="Y6960" s="18"/>
    </row>
    <row r="6961" spans="25:25" x14ac:dyDescent="0.2">
      <c r="Y6961" s="18"/>
    </row>
    <row r="6962" spans="25:25" x14ac:dyDescent="0.2">
      <c r="Y6962" s="18"/>
    </row>
    <row r="6963" spans="25:25" x14ac:dyDescent="0.2">
      <c r="Y6963" s="18"/>
    </row>
    <row r="6964" spans="25:25" x14ac:dyDescent="0.2">
      <c r="Y6964" s="18"/>
    </row>
    <row r="6965" spans="25:25" x14ac:dyDescent="0.2">
      <c r="Y6965" s="18"/>
    </row>
    <row r="6966" spans="25:25" x14ac:dyDescent="0.2">
      <c r="Y6966" s="18"/>
    </row>
    <row r="6967" spans="25:25" x14ac:dyDescent="0.2">
      <c r="Y6967" s="18"/>
    </row>
    <row r="6968" spans="25:25" x14ac:dyDescent="0.2">
      <c r="Y6968" s="18"/>
    </row>
    <row r="6969" spans="25:25" x14ac:dyDescent="0.2">
      <c r="Y6969" s="18"/>
    </row>
    <row r="6970" spans="25:25" x14ac:dyDescent="0.2">
      <c r="Y6970" s="18"/>
    </row>
    <row r="6971" spans="25:25" x14ac:dyDescent="0.2">
      <c r="Y6971" s="18"/>
    </row>
    <row r="6972" spans="25:25" x14ac:dyDescent="0.2">
      <c r="Y6972" s="18"/>
    </row>
    <row r="6973" spans="25:25" x14ac:dyDescent="0.2">
      <c r="Y6973" s="18"/>
    </row>
    <row r="6974" spans="25:25" x14ac:dyDescent="0.2">
      <c r="Y6974" s="18"/>
    </row>
    <row r="6975" spans="25:25" x14ac:dyDescent="0.2">
      <c r="Y6975" s="18"/>
    </row>
    <row r="6976" spans="25:25" x14ac:dyDescent="0.2">
      <c r="Y6976" s="18"/>
    </row>
    <row r="6977" spans="25:25" x14ac:dyDescent="0.2">
      <c r="Y6977" s="18"/>
    </row>
    <row r="6978" spans="25:25" x14ac:dyDescent="0.2">
      <c r="Y6978" s="18"/>
    </row>
    <row r="6979" spans="25:25" x14ac:dyDescent="0.2">
      <c r="Y6979" s="18"/>
    </row>
    <row r="6980" spans="25:25" x14ac:dyDescent="0.2">
      <c r="Y6980" s="18"/>
    </row>
    <row r="6981" spans="25:25" x14ac:dyDescent="0.2">
      <c r="Y6981" s="18"/>
    </row>
    <row r="6982" spans="25:25" x14ac:dyDescent="0.2">
      <c r="Y6982" s="18"/>
    </row>
    <row r="6983" spans="25:25" x14ac:dyDescent="0.2">
      <c r="Y6983" s="18"/>
    </row>
    <row r="6984" spans="25:25" x14ac:dyDescent="0.2">
      <c r="Y6984" s="18"/>
    </row>
    <row r="6985" spans="25:25" x14ac:dyDescent="0.2">
      <c r="Y6985" s="18"/>
    </row>
    <row r="6986" spans="25:25" x14ac:dyDescent="0.2">
      <c r="Y6986" s="18"/>
    </row>
    <row r="6987" spans="25:25" x14ac:dyDescent="0.2">
      <c r="Y6987" s="18"/>
    </row>
    <row r="6988" spans="25:25" x14ac:dyDescent="0.2">
      <c r="Y6988" s="18"/>
    </row>
    <row r="6989" spans="25:25" x14ac:dyDescent="0.2">
      <c r="Y6989" s="18"/>
    </row>
    <row r="6990" spans="25:25" x14ac:dyDescent="0.2">
      <c r="Y6990" s="18"/>
    </row>
    <row r="6991" spans="25:25" x14ac:dyDescent="0.2">
      <c r="Y6991" s="18"/>
    </row>
    <row r="6992" spans="25:25" x14ac:dyDescent="0.2">
      <c r="Y6992" s="18"/>
    </row>
    <row r="6993" spans="25:25" x14ac:dyDescent="0.2">
      <c r="Y6993" s="18"/>
    </row>
    <row r="6994" spans="25:25" x14ac:dyDescent="0.2">
      <c r="Y6994" s="18"/>
    </row>
    <row r="6995" spans="25:25" x14ac:dyDescent="0.2">
      <c r="Y6995" s="18"/>
    </row>
    <row r="6996" spans="25:25" x14ac:dyDescent="0.2">
      <c r="Y6996" s="18"/>
    </row>
    <row r="6997" spans="25:25" x14ac:dyDescent="0.2">
      <c r="Y6997" s="18"/>
    </row>
    <row r="6998" spans="25:25" x14ac:dyDescent="0.2">
      <c r="Y6998" s="18"/>
    </row>
    <row r="6999" spans="25:25" x14ac:dyDescent="0.2">
      <c r="Y6999" s="18"/>
    </row>
    <row r="7000" spans="25:25" x14ac:dyDescent="0.2">
      <c r="Y7000" s="18"/>
    </row>
    <row r="7001" spans="25:25" x14ac:dyDescent="0.2">
      <c r="Y7001" s="18"/>
    </row>
    <row r="7002" spans="25:25" x14ac:dyDescent="0.2">
      <c r="Y7002" s="18"/>
    </row>
    <row r="7003" spans="25:25" x14ac:dyDescent="0.2">
      <c r="Y7003" s="18"/>
    </row>
    <row r="7004" spans="25:25" x14ac:dyDescent="0.2">
      <c r="Y7004" s="18"/>
    </row>
    <row r="7005" spans="25:25" x14ac:dyDescent="0.2">
      <c r="Y7005" s="18"/>
    </row>
    <row r="7006" spans="25:25" x14ac:dyDescent="0.2">
      <c r="Y7006" s="18"/>
    </row>
    <row r="7007" spans="25:25" x14ac:dyDescent="0.2">
      <c r="Y7007" s="18"/>
    </row>
    <row r="7008" spans="25:25" x14ac:dyDescent="0.2">
      <c r="Y7008" s="18"/>
    </row>
    <row r="7009" spans="25:25" x14ac:dyDescent="0.2">
      <c r="Y7009" s="18"/>
    </row>
    <row r="7010" spans="25:25" x14ac:dyDescent="0.2">
      <c r="Y7010" s="18"/>
    </row>
    <row r="7011" spans="25:25" x14ac:dyDescent="0.2">
      <c r="Y7011" s="18"/>
    </row>
    <row r="7012" spans="25:25" x14ac:dyDescent="0.2">
      <c r="Y7012" s="18"/>
    </row>
    <row r="7013" spans="25:25" x14ac:dyDescent="0.2">
      <c r="Y7013" s="18"/>
    </row>
    <row r="7014" spans="25:25" x14ac:dyDescent="0.2">
      <c r="Y7014" s="18"/>
    </row>
    <row r="7015" spans="25:25" x14ac:dyDescent="0.2">
      <c r="Y7015" s="18"/>
    </row>
    <row r="7016" spans="25:25" x14ac:dyDescent="0.2">
      <c r="Y7016" s="18"/>
    </row>
    <row r="7017" spans="25:25" x14ac:dyDescent="0.2">
      <c r="Y7017" s="18"/>
    </row>
    <row r="7018" spans="25:25" x14ac:dyDescent="0.2">
      <c r="Y7018" s="18"/>
    </row>
    <row r="7019" spans="25:25" x14ac:dyDescent="0.2">
      <c r="Y7019" s="18"/>
    </row>
    <row r="7020" spans="25:25" x14ac:dyDescent="0.2">
      <c r="Y7020" s="18"/>
    </row>
    <row r="7021" spans="25:25" x14ac:dyDescent="0.2">
      <c r="Y7021" s="18"/>
    </row>
    <row r="7022" spans="25:25" x14ac:dyDescent="0.2">
      <c r="Y7022" s="18"/>
    </row>
    <row r="7023" spans="25:25" x14ac:dyDescent="0.2">
      <c r="Y7023" s="18"/>
    </row>
    <row r="7024" spans="25:25" x14ac:dyDescent="0.2">
      <c r="Y7024" s="18"/>
    </row>
    <row r="7025" spans="25:25" x14ac:dyDescent="0.2">
      <c r="Y7025" s="18"/>
    </row>
    <row r="7026" spans="25:25" x14ac:dyDescent="0.2">
      <c r="Y7026" s="18"/>
    </row>
    <row r="7027" spans="25:25" x14ac:dyDescent="0.2">
      <c r="Y7027" s="18"/>
    </row>
    <row r="7028" spans="25:25" x14ac:dyDescent="0.2">
      <c r="Y7028" s="18"/>
    </row>
    <row r="7029" spans="25:25" x14ac:dyDescent="0.2">
      <c r="Y7029" s="18"/>
    </row>
    <row r="7030" spans="25:25" x14ac:dyDescent="0.2">
      <c r="Y7030" s="18"/>
    </row>
    <row r="7031" spans="25:25" x14ac:dyDescent="0.2">
      <c r="Y7031" s="18"/>
    </row>
    <row r="7032" spans="25:25" x14ac:dyDescent="0.2">
      <c r="Y7032" s="18"/>
    </row>
    <row r="7033" spans="25:25" x14ac:dyDescent="0.2">
      <c r="Y7033" s="18"/>
    </row>
    <row r="7034" spans="25:25" x14ac:dyDescent="0.2">
      <c r="Y7034" s="18"/>
    </row>
    <row r="7035" spans="25:25" x14ac:dyDescent="0.2">
      <c r="Y7035" s="18"/>
    </row>
    <row r="7036" spans="25:25" x14ac:dyDescent="0.2">
      <c r="Y7036" s="18"/>
    </row>
    <row r="7037" spans="25:25" x14ac:dyDescent="0.2">
      <c r="Y7037" s="18"/>
    </row>
    <row r="7038" spans="25:25" x14ac:dyDescent="0.2">
      <c r="Y7038" s="18"/>
    </row>
    <row r="7039" spans="25:25" x14ac:dyDescent="0.2">
      <c r="Y7039" s="18"/>
    </row>
    <row r="7040" spans="25:25" x14ac:dyDescent="0.2">
      <c r="Y7040" s="18"/>
    </row>
    <row r="7041" spans="25:25" x14ac:dyDescent="0.2">
      <c r="Y7041" s="18"/>
    </row>
    <row r="7042" spans="25:25" x14ac:dyDescent="0.2">
      <c r="Y7042" s="18"/>
    </row>
    <row r="7043" spans="25:25" x14ac:dyDescent="0.2">
      <c r="Y7043" s="18"/>
    </row>
    <row r="7044" spans="25:25" x14ac:dyDescent="0.2">
      <c r="Y7044" s="18"/>
    </row>
    <row r="7045" spans="25:25" x14ac:dyDescent="0.2">
      <c r="Y7045" s="18"/>
    </row>
    <row r="7046" spans="25:25" x14ac:dyDescent="0.2">
      <c r="Y7046" s="18"/>
    </row>
    <row r="7047" spans="25:25" x14ac:dyDescent="0.2">
      <c r="Y7047" s="18"/>
    </row>
    <row r="7048" spans="25:25" x14ac:dyDescent="0.2">
      <c r="Y7048" s="18"/>
    </row>
    <row r="7049" spans="25:25" x14ac:dyDescent="0.2">
      <c r="Y7049" s="18"/>
    </row>
    <row r="7050" spans="25:25" x14ac:dyDescent="0.2">
      <c r="Y7050" s="18"/>
    </row>
    <row r="7051" spans="25:25" x14ac:dyDescent="0.2">
      <c r="Y7051" s="18"/>
    </row>
    <row r="7052" spans="25:25" x14ac:dyDescent="0.2">
      <c r="Y7052" s="18"/>
    </row>
    <row r="7053" spans="25:25" x14ac:dyDescent="0.2">
      <c r="Y7053" s="18"/>
    </row>
    <row r="7054" spans="25:25" x14ac:dyDescent="0.2">
      <c r="Y7054" s="18"/>
    </row>
    <row r="7055" spans="25:25" x14ac:dyDescent="0.2">
      <c r="Y7055" s="18"/>
    </row>
    <row r="7056" spans="25:25" x14ac:dyDescent="0.2">
      <c r="Y7056" s="18"/>
    </row>
    <row r="7057" spans="25:25" x14ac:dyDescent="0.2">
      <c r="Y7057" s="18"/>
    </row>
    <row r="7058" spans="25:25" x14ac:dyDescent="0.2">
      <c r="Y7058" s="18"/>
    </row>
    <row r="7059" spans="25:25" x14ac:dyDescent="0.2">
      <c r="Y7059" s="18"/>
    </row>
    <row r="7060" spans="25:25" x14ac:dyDescent="0.2">
      <c r="Y7060" s="18"/>
    </row>
    <row r="7061" spans="25:25" x14ac:dyDescent="0.2">
      <c r="Y7061" s="18"/>
    </row>
    <row r="7062" spans="25:25" x14ac:dyDescent="0.2">
      <c r="Y7062" s="18"/>
    </row>
    <row r="7063" spans="25:25" x14ac:dyDescent="0.2">
      <c r="Y7063" s="18"/>
    </row>
    <row r="7064" spans="25:25" x14ac:dyDescent="0.2">
      <c r="Y7064" s="18"/>
    </row>
    <row r="7065" spans="25:25" x14ac:dyDescent="0.2">
      <c r="Y7065" s="18"/>
    </row>
    <row r="7066" spans="25:25" x14ac:dyDescent="0.2">
      <c r="Y7066" s="18"/>
    </row>
    <row r="7067" spans="25:25" x14ac:dyDescent="0.2">
      <c r="Y7067" s="18"/>
    </row>
    <row r="7068" spans="25:25" x14ac:dyDescent="0.2">
      <c r="Y7068" s="18"/>
    </row>
    <row r="7069" spans="25:25" x14ac:dyDescent="0.2">
      <c r="Y7069" s="18"/>
    </row>
    <row r="7070" spans="25:25" x14ac:dyDescent="0.2">
      <c r="Y7070" s="18"/>
    </row>
    <row r="7071" spans="25:25" x14ac:dyDescent="0.2">
      <c r="Y7071" s="18"/>
    </row>
    <row r="7072" spans="25:25" x14ac:dyDescent="0.2">
      <c r="Y7072" s="18"/>
    </row>
    <row r="7073" spans="25:25" x14ac:dyDescent="0.2">
      <c r="Y7073" s="18"/>
    </row>
    <row r="7074" spans="25:25" x14ac:dyDescent="0.2">
      <c r="Y7074" s="18"/>
    </row>
    <row r="7075" spans="25:25" x14ac:dyDescent="0.2">
      <c r="Y7075" s="18"/>
    </row>
    <row r="7076" spans="25:25" x14ac:dyDescent="0.2">
      <c r="Y7076" s="18"/>
    </row>
    <row r="7077" spans="25:25" x14ac:dyDescent="0.2">
      <c r="Y7077" s="18"/>
    </row>
    <row r="7078" spans="25:25" x14ac:dyDescent="0.2">
      <c r="Y7078" s="18"/>
    </row>
    <row r="7079" spans="25:25" x14ac:dyDescent="0.2">
      <c r="Y7079" s="18"/>
    </row>
    <row r="7080" spans="25:25" x14ac:dyDescent="0.2">
      <c r="Y7080" s="18"/>
    </row>
    <row r="7081" spans="25:25" x14ac:dyDescent="0.2">
      <c r="Y7081" s="18"/>
    </row>
    <row r="7082" spans="25:25" x14ac:dyDescent="0.2">
      <c r="Y7082" s="18"/>
    </row>
    <row r="7083" spans="25:25" x14ac:dyDescent="0.2">
      <c r="Y7083" s="18"/>
    </row>
    <row r="7084" spans="25:25" x14ac:dyDescent="0.2">
      <c r="Y7084" s="18"/>
    </row>
    <row r="7085" spans="25:25" x14ac:dyDescent="0.2">
      <c r="Y7085" s="18"/>
    </row>
    <row r="7086" spans="25:25" x14ac:dyDescent="0.2">
      <c r="Y7086" s="18"/>
    </row>
    <row r="7087" spans="25:25" x14ac:dyDescent="0.2">
      <c r="Y7087" s="18"/>
    </row>
    <row r="7088" spans="25:25" x14ac:dyDescent="0.2">
      <c r="Y7088" s="18"/>
    </row>
    <row r="7089" spans="25:25" x14ac:dyDescent="0.2">
      <c r="Y7089" s="18"/>
    </row>
    <row r="7090" spans="25:25" x14ac:dyDescent="0.2">
      <c r="Y7090" s="18"/>
    </row>
    <row r="7091" spans="25:25" x14ac:dyDescent="0.2">
      <c r="Y7091" s="18"/>
    </row>
    <row r="7092" spans="25:25" x14ac:dyDescent="0.2">
      <c r="Y7092" s="18"/>
    </row>
    <row r="7093" spans="25:25" x14ac:dyDescent="0.2">
      <c r="Y7093" s="18"/>
    </row>
    <row r="7094" spans="25:25" x14ac:dyDescent="0.2">
      <c r="Y7094" s="18"/>
    </row>
    <row r="7095" spans="25:25" x14ac:dyDescent="0.2">
      <c r="Y7095" s="18"/>
    </row>
    <row r="7096" spans="25:25" x14ac:dyDescent="0.2">
      <c r="Y7096" s="18"/>
    </row>
    <row r="7097" spans="25:25" x14ac:dyDescent="0.2">
      <c r="Y7097" s="18"/>
    </row>
    <row r="7098" spans="25:25" x14ac:dyDescent="0.2">
      <c r="Y7098" s="18"/>
    </row>
    <row r="7099" spans="25:25" x14ac:dyDescent="0.2">
      <c r="Y7099" s="18"/>
    </row>
    <row r="7100" spans="25:25" x14ac:dyDescent="0.2">
      <c r="Y7100" s="18"/>
    </row>
    <row r="7101" spans="25:25" x14ac:dyDescent="0.2">
      <c r="Y7101" s="18"/>
    </row>
    <row r="7102" spans="25:25" x14ac:dyDescent="0.2">
      <c r="Y7102" s="18"/>
    </row>
    <row r="7103" spans="25:25" x14ac:dyDescent="0.2">
      <c r="Y7103" s="18"/>
    </row>
    <row r="7104" spans="25:25" x14ac:dyDescent="0.2">
      <c r="Y7104" s="18"/>
    </row>
    <row r="7105" spans="25:25" x14ac:dyDescent="0.2">
      <c r="Y7105" s="18"/>
    </row>
    <row r="7106" spans="25:25" x14ac:dyDescent="0.2">
      <c r="Y7106" s="18"/>
    </row>
    <row r="7107" spans="25:25" x14ac:dyDescent="0.2">
      <c r="Y7107" s="18"/>
    </row>
    <row r="7108" spans="25:25" x14ac:dyDescent="0.2">
      <c r="Y7108" s="18"/>
    </row>
    <row r="7109" spans="25:25" x14ac:dyDescent="0.2">
      <c r="Y7109" s="18"/>
    </row>
    <row r="7110" spans="25:25" x14ac:dyDescent="0.2">
      <c r="Y7110" s="18"/>
    </row>
    <row r="7111" spans="25:25" x14ac:dyDescent="0.2">
      <c r="Y7111" s="18"/>
    </row>
    <row r="7112" spans="25:25" x14ac:dyDescent="0.2">
      <c r="Y7112" s="18"/>
    </row>
    <row r="7113" spans="25:25" x14ac:dyDescent="0.2">
      <c r="Y7113" s="18"/>
    </row>
    <row r="7114" spans="25:25" x14ac:dyDescent="0.2">
      <c r="Y7114" s="18"/>
    </row>
    <row r="7115" spans="25:25" x14ac:dyDescent="0.2">
      <c r="Y7115" s="18"/>
    </row>
    <row r="7116" spans="25:25" x14ac:dyDescent="0.2">
      <c r="Y7116" s="18"/>
    </row>
    <row r="7117" spans="25:25" x14ac:dyDescent="0.2">
      <c r="Y7117" s="18"/>
    </row>
    <row r="7118" spans="25:25" x14ac:dyDescent="0.2">
      <c r="Y7118" s="18"/>
    </row>
    <row r="7119" spans="25:25" x14ac:dyDescent="0.2">
      <c r="Y7119" s="18"/>
    </row>
    <row r="7120" spans="25:25" x14ac:dyDescent="0.2">
      <c r="Y7120" s="18"/>
    </row>
    <row r="7121" spans="25:25" x14ac:dyDescent="0.2">
      <c r="Y7121" s="18"/>
    </row>
    <row r="7122" spans="25:25" x14ac:dyDescent="0.2">
      <c r="Y7122" s="18"/>
    </row>
    <row r="7123" spans="25:25" x14ac:dyDescent="0.2">
      <c r="Y7123" s="18"/>
    </row>
    <row r="7124" spans="25:25" x14ac:dyDescent="0.2">
      <c r="Y7124" s="18"/>
    </row>
    <row r="7125" spans="25:25" x14ac:dyDescent="0.2">
      <c r="Y7125" s="18"/>
    </row>
    <row r="7126" spans="25:25" x14ac:dyDescent="0.2">
      <c r="Y7126" s="18"/>
    </row>
    <row r="7127" spans="25:25" x14ac:dyDescent="0.2">
      <c r="Y7127" s="18"/>
    </row>
    <row r="7128" spans="25:25" x14ac:dyDescent="0.2">
      <c r="Y7128" s="18"/>
    </row>
    <row r="7129" spans="25:25" x14ac:dyDescent="0.2">
      <c r="Y7129" s="18"/>
    </row>
    <row r="7130" spans="25:25" x14ac:dyDescent="0.2">
      <c r="Y7130" s="18"/>
    </row>
    <row r="7131" spans="25:25" x14ac:dyDescent="0.2">
      <c r="Y7131" s="18"/>
    </row>
    <row r="7132" spans="25:25" x14ac:dyDescent="0.2">
      <c r="Y7132" s="18"/>
    </row>
    <row r="7133" spans="25:25" x14ac:dyDescent="0.2">
      <c r="Y7133" s="18"/>
    </row>
    <row r="7134" spans="25:25" x14ac:dyDescent="0.2">
      <c r="Y7134" s="18"/>
    </row>
    <row r="7135" spans="25:25" x14ac:dyDescent="0.2">
      <c r="Y7135" s="18"/>
    </row>
    <row r="7136" spans="25:25" x14ac:dyDescent="0.2">
      <c r="Y7136" s="18"/>
    </row>
    <row r="7137" spans="25:25" x14ac:dyDescent="0.2">
      <c r="Y7137" s="18"/>
    </row>
    <row r="7138" spans="25:25" x14ac:dyDescent="0.2">
      <c r="Y7138" s="18"/>
    </row>
    <row r="7139" spans="25:25" x14ac:dyDescent="0.2">
      <c r="Y7139" s="18"/>
    </row>
    <row r="7140" spans="25:25" x14ac:dyDescent="0.2">
      <c r="Y7140" s="18"/>
    </row>
    <row r="7141" spans="25:25" x14ac:dyDescent="0.2">
      <c r="Y7141" s="18"/>
    </row>
    <row r="7142" spans="25:25" x14ac:dyDescent="0.2">
      <c r="Y7142" s="18"/>
    </row>
    <row r="7143" spans="25:25" x14ac:dyDescent="0.2">
      <c r="Y7143" s="18"/>
    </row>
    <row r="7144" spans="25:25" x14ac:dyDescent="0.2">
      <c r="Y7144" s="18"/>
    </row>
    <row r="7145" spans="25:25" x14ac:dyDescent="0.2">
      <c r="Y7145" s="18"/>
    </row>
    <row r="7146" spans="25:25" x14ac:dyDescent="0.2">
      <c r="Y7146" s="18"/>
    </row>
    <row r="7147" spans="25:25" x14ac:dyDescent="0.2">
      <c r="Y7147" s="18"/>
    </row>
    <row r="7148" spans="25:25" x14ac:dyDescent="0.2">
      <c r="Y7148" s="18"/>
    </row>
    <row r="7149" spans="25:25" x14ac:dyDescent="0.2">
      <c r="Y7149" s="18"/>
    </row>
    <row r="7150" spans="25:25" x14ac:dyDescent="0.2">
      <c r="Y7150" s="18"/>
    </row>
    <row r="7151" spans="25:25" x14ac:dyDescent="0.2">
      <c r="Y7151" s="18"/>
    </row>
    <row r="7152" spans="25:25" x14ac:dyDescent="0.2">
      <c r="Y7152" s="18"/>
    </row>
    <row r="7153" spans="25:25" x14ac:dyDescent="0.2">
      <c r="Y7153" s="18"/>
    </row>
    <row r="7154" spans="25:25" x14ac:dyDescent="0.2">
      <c r="Y7154" s="18"/>
    </row>
    <row r="7155" spans="25:25" x14ac:dyDescent="0.2">
      <c r="Y7155" s="18"/>
    </row>
    <row r="7156" spans="25:25" x14ac:dyDescent="0.2">
      <c r="Y7156" s="18"/>
    </row>
    <row r="7157" spans="25:25" x14ac:dyDescent="0.2">
      <c r="Y7157" s="18"/>
    </row>
    <row r="7158" spans="25:25" x14ac:dyDescent="0.2">
      <c r="Y7158" s="18"/>
    </row>
    <row r="7159" spans="25:25" x14ac:dyDescent="0.2">
      <c r="Y7159" s="18"/>
    </row>
    <row r="7160" spans="25:25" x14ac:dyDescent="0.2">
      <c r="Y7160" s="18"/>
    </row>
    <row r="7161" spans="25:25" x14ac:dyDescent="0.2">
      <c r="Y7161" s="18"/>
    </row>
    <row r="7162" spans="25:25" x14ac:dyDescent="0.2">
      <c r="Y7162" s="18"/>
    </row>
    <row r="7163" spans="25:25" x14ac:dyDescent="0.2">
      <c r="Y7163" s="18"/>
    </row>
    <row r="7164" spans="25:25" x14ac:dyDescent="0.2">
      <c r="Y7164" s="18"/>
    </row>
    <row r="7165" spans="25:25" x14ac:dyDescent="0.2">
      <c r="Y7165" s="18"/>
    </row>
    <row r="7166" spans="25:25" x14ac:dyDescent="0.2">
      <c r="Y7166" s="18"/>
    </row>
    <row r="7167" spans="25:25" x14ac:dyDescent="0.2">
      <c r="Y7167" s="18"/>
    </row>
    <row r="7168" spans="25:25" x14ac:dyDescent="0.2">
      <c r="Y7168" s="18"/>
    </row>
    <row r="7169" spans="25:25" x14ac:dyDescent="0.2">
      <c r="Y7169" s="18"/>
    </row>
    <row r="7170" spans="25:25" x14ac:dyDescent="0.2">
      <c r="Y7170" s="18"/>
    </row>
    <row r="7171" spans="25:25" x14ac:dyDescent="0.2">
      <c r="Y7171" s="18"/>
    </row>
    <row r="7172" spans="25:25" x14ac:dyDescent="0.2">
      <c r="Y7172" s="18"/>
    </row>
    <row r="7173" spans="25:25" x14ac:dyDescent="0.2">
      <c r="Y7173" s="18"/>
    </row>
    <row r="7174" spans="25:25" x14ac:dyDescent="0.2">
      <c r="Y7174" s="18"/>
    </row>
    <row r="7175" spans="25:25" x14ac:dyDescent="0.2">
      <c r="Y7175" s="18"/>
    </row>
    <row r="7176" spans="25:25" x14ac:dyDescent="0.2">
      <c r="Y7176" s="18"/>
    </row>
    <row r="7177" spans="25:25" x14ac:dyDescent="0.2">
      <c r="Y7177" s="18"/>
    </row>
    <row r="7178" spans="25:25" x14ac:dyDescent="0.2">
      <c r="Y7178" s="18"/>
    </row>
    <row r="7179" spans="25:25" x14ac:dyDescent="0.2">
      <c r="Y7179" s="18"/>
    </row>
    <row r="7180" spans="25:25" x14ac:dyDescent="0.2">
      <c r="Y7180" s="18"/>
    </row>
    <row r="7181" spans="25:25" x14ac:dyDescent="0.2">
      <c r="Y7181" s="18"/>
    </row>
    <row r="7182" spans="25:25" x14ac:dyDescent="0.2">
      <c r="Y7182" s="18"/>
    </row>
    <row r="7183" spans="25:25" x14ac:dyDescent="0.2">
      <c r="Y7183" s="18"/>
    </row>
    <row r="7184" spans="25:25" x14ac:dyDescent="0.2">
      <c r="Y7184" s="18"/>
    </row>
    <row r="7185" spans="25:25" x14ac:dyDescent="0.2">
      <c r="Y7185" s="18"/>
    </row>
    <row r="7186" spans="25:25" x14ac:dyDescent="0.2">
      <c r="Y7186" s="18"/>
    </row>
    <row r="7187" spans="25:25" x14ac:dyDescent="0.2">
      <c r="Y7187" s="18"/>
    </row>
    <row r="7188" spans="25:25" x14ac:dyDescent="0.2">
      <c r="Y7188" s="18"/>
    </row>
    <row r="7189" spans="25:25" x14ac:dyDescent="0.2">
      <c r="Y7189" s="18"/>
    </row>
    <row r="7190" spans="25:25" x14ac:dyDescent="0.2">
      <c r="Y7190" s="18"/>
    </row>
    <row r="7191" spans="25:25" x14ac:dyDescent="0.2">
      <c r="Y7191" s="18"/>
    </row>
    <row r="7192" spans="25:25" x14ac:dyDescent="0.2">
      <c r="Y7192" s="18"/>
    </row>
    <row r="7193" spans="25:25" x14ac:dyDescent="0.2">
      <c r="Y7193" s="18"/>
    </row>
    <row r="7194" spans="25:25" x14ac:dyDescent="0.2">
      <c r="Y7194" s="18"/>
    </row>
    <row r="7195" spans="25:25" x14ac:dyDescent="0.2">
      <c r="Y7195" s="18"/>
    </row>
    <row r="7196" spans="25:25" x14ac:dyDescent="0.2">
      <c r="Y7196" s="18"/>
    </row>
    <row r="7197" spans="25:25" x14ac:dyDescent="0.2">
      <c r="Y7197" s="18"/>
    </row>
    <row r="7198" spans="25:25" x14ac:dyDescent="0.2">
      <c r="Y7198" s="18"/>
    </row>
    <row r="7199" spans="25:25" x14ac:dyDescent="0.2">
      <c r="Y7199" s="18"/>
    </row>
    <row r="7200" spans="25:25" x14ac:dyDescent="0.2">
      <c r="Y7200" s="18"/>
    </row>
    <row r="7201" spans="25:25" x14ac:dyDescent="0.2">
      <c r="Y7201" s="18"/>
    </row>
    <row r="7202" spans="25:25" x14ac:dyDescent="0.2">
      <c r="Y7202" s="18"/>
    </row>
    <row r="7203" spans="25:25" x14ac:dyDescent="0.2">
      <c r="Y7203" s="18"/>
    </row>
    <row r="7204" spans="25:25" x14ac:dyDescent="0.2">
      <c r="Y7204" s="18"/>
    </row>
    <row r="7205" spans="25:25" x14ac:dyDescent="0.2">
      <c r="Y7205" s="18"/>
    </row>
    <row r="7206" spans="25:25" x14ac:dyDescent="0.2">
      <c r="Y7206" s="18"/>
    </row>
    <row r="7207" spans="25:25" x14ac:dyDescent="0.2">
      <c r="Y7207" s="18"/>
    </row>
    <row r="7208" spans="25:25" x14ac:dyDescent="0.2">
      <c r="Y7208" s="18"/>
    </row>
    <row r="7209" spans="25:25" x14ac:dyDescent="0.2">
      <c r="Y7209" s="18"/>
    </row>
    <row r="7210" spans="25:25" x14ac:dyDescent="0.2">
      <c r="Y7210" s="18"/>
    </row>
    <row r="7211" spans="25:25" x14ac:dyDescent="0.2">
      <c r="Y7211" s="18"/>
    </row>
    <row r="7212" spans="25:25" x14ac:dyDescent="0.2">
      <c r="Y7212" s="18"/>
    </row>
    <row r="7213" spans="25:25" x14ac:dyDescent="0.2">
      <c r="Y7213" s="18"/>
    </row>
    <row r="7214" spans="25:25" x14ac:dyDescent="0.2">
      <c r="Y7214" s="18"/>
    </row>
    <row r="7215" spans="25:25" x14ac:dyDescent="0.2">
      <c r="Y7215" s="18"/>
    </row>
    <row r="7216" spans="25:25" x14ac:dyDescent="0.2">
      <c r="Y7216" s="18"/>
    </row>
    <row r="7217" spans="25:25" x14ac:dyDescent="0.2">
      <c r="Y7217" s="18"/>
    </row>
    <row r="7218" spans="25:25" x14ac:dyDescent="0.2">
      <c r="Y7218" s="18"/>
    </row>
    <row r="7219" spans="25:25" x14ac:dyDescent="0.2">
      <c r="Y7219" s="18"/>
    </row>
    <row r="7220" spans="25:25" x14ac:dyDescent="0.2">
      <c r="Y7220" s="18"/>
    </row>
    <row r="7221" spans="25:25" x14ac:dyDescent="0.2">
      <c r="Y7221" s="18"/>
    </row>
    <row r="7222" spans="25:25" x14ac:dyDescent="0.2">
      <c r="Y7222" s="18"/>
    </row>
    <row r="7223" spans="25:25" x14ac:dyDescent="0.2">
      <c r="Y7223" s="18"/>
    </row>
    <row r="7224" spans="25:25" x14ac:dyDescent="0.2">
      <c r="Y7224" s="18"/>
    </row>
    <row r="7225" spans="25:25" x14ac:dyDescent="0.2">
      <c r="Y7225" s="18"/>
    </row>
    <row r="7226" spans="25:25" x14ac:dyDescent="0.2">
      <c r="Y7226" s="18"/>
    </row>
    <row r="7227" spans="25:25" x14ac:dyDescent="0.2">
      <c r="Y7227" s="18"/>
    </row>
    <row r="7228" spans="25:25" x14ac:dyDescent="0.2">
      <c r="Y7228" s="18"/>
    </row>
    <row r="7229" spans="25:25" x14ac:dyDescent="0.2">
      <c r="Y7229" s="18"/>
    </row>
    <row r="7230" spans="25:25" x14ac:dyDescent="0.2">
      <c r="Y7230" s="18"/>
    </row>
    <row r="7231" spans="25:25" x14ac:dyDescent="0.2">
      <c r="Y7231" s="18"/>
    </row>
    <row r="7232" spans="25:25" x14ac:dyDescent="0.2">
      <c r="Y7232" s="18"/>
    </row>
    <row r="7233" spans="25:25" x14ac:dyDescent="0.2">
      <c r="Y7233" s="18"/>
    </row>
    <row r="7234" spans="25:25" x14ac:dyDescent="0.2">
      <c r="Y7234" s="18"/>
    </row>
    <row r="7235" spans="25:25" x14ac:dyDescent="0.2">
      <c r="Y7235" s="18"/>
    </row>
    <row r="7236" spans="25:25" x14ac:dyDescent="0.2">
      <c r="Y7236" s="18"/>
    </row>
    <row r="7237" spans="25:25" x14ac:dyDescent="0.2">
      <c r="Y7237" s="18"/>
    </row>
    <row r="7238" spans="25:25" x14ac:dyDescent="0.2">
      <c r="Y7238" s="18"/>
    </row>
    <row r="7239" spans="25:25" x14ac:dyDescent="0.2">
      <c r="Y7239" s="18"/>
    </row>
    <row r="7240" spans="25:25" x14ac:dyDescent="0.2">
      <c r="Y7240" s="18"/>
    </row>
    <row r="7241" spans="25:25" x14ac:dyDescent="0.2">
      <c r="Y7241" s="18"/>
    </row>
    <row r="7242" spans="25:25" x14ac:dyDescent="0.2">
      <c r="Y7242" s="18"/>
    </row>
    <row r="7243" spans="25:25" x14ac:dyDescent="0.2">
      <c r="Y7243" s="18"/>
    </row>
    <row r="7244" spans="25:25" x14ac:dyDescent="0.2">
      <c r="Y7244" s="18"/>
    </row>
    <row r="7245" spans="25:25" x14ac:dyDescent="0.2">
      <c r="Y7245" s="18"/>
    </row>
    <row r="7246" spans="25:25" x14ac:dyDescent="0.2">
      <c r="Y7246" s="18"/>
    </row>
    <row r="7247" spans="25:25" x14ac:dyDescent="0.2">
      <c r="Y7247" s="18"/>
    </row>
    <row r="7248" spans="25:25" x14ac:dyDescent="0.2">
      <c r="Y7248" s="18"/>
    </row>
    <row r="7249" spans="25:25" x14ac:dyDescent="0.2">
      <c r="Y7249" s="18"/>
    </row>
    <row r="7250" spans="25:25" x14ac:dyDescent="0.2">
      <c r="Y7250" s="18"/>
    </row>
    <row r="7251" spans="25:25" x14ac:dyDescent="0.2">
      <c r="Y7251" s="18"/>
    </row>
    <row r="7252" spans="25:25" x14ac:dyDescent="0.2">
      <c r="Y7252" s="18"/>
    </row>
    <row r="7253" spans="25:25" x14ac:dyDescent="0.2">
      <c r="Y7253" s="18"/>
    </row>
    <row r="7254" spans="25:25" x14ac:dyDescent="0.2">
      <c r="Y7254" s="18"/>
    </row>
    <row r="7255" spans="25:25" x14ac:dyDescent="0.2">
      <c r="Y7255" s="18"/>
    </row>
    <row r="7256" spans="25:25" x14ac:dyDescent="0.2">
      <c r="Y7256" s="18"/>
    </row>
    <row r="7257" spans="25:25" x14ac:dyDescent="0.2">
      <c r="Y7257" s="18"/>
    </row>
    <row r="7258" spans="25:25" x14ac:dyDescent="0.2">
      <c r="Y7258" s="18"/>
    </row>
    <row r="7259" spans="25:25" x14ac:dyDescent="0.2">
      <c r="Y7259" s="18"/>
    </row>
    <row r="7260" spans="25:25" x14ac:dyDescent="0.2">
      <c r="Y7260" s="18"/>
    </row>
    <row r="7261" spans="25:25" x14ac:dyDescent="0.2">
      <c r="Y7261" s="18"/>
    </row>
    <row r="7262" spans="25:25" x14ac:dyDescent="0.2">
      <c r="Y7262" s="18"/>
    </row>
    <row r="7263" spans="25:25" x14ac:dyDescent="0.2">
      <c r="Y7263" s="18"/>
    </row>
    <row r="7264" spans="25:25" x14ac:dyDescent="0.2">
      <c r="Y7264" s="18"/>
    </row>
    <row r="7265" spans="25:25" x14ac:dyDescent="0.2">
      <c r="Y7265" s="18"/>
    </row>
    <row r="7266" spans="25:25" x14ac:dyDescent="0.2">
      <c r="Y7266" s="18"/>
    </row>
    <row r="7267" spans="25:25" x14ac:dyDescent="0.2">
      <c r="Y7267" s="18"/>
    </row>
    <row r="7268" spans="25:25" x14ac:dyDescent="0.2">
      <c r="Y7268" s="18"/>
    </row>
    <row r="7269" spans="25:25" x14ac:dyDescent="0.2">
      <c r="Y7269" s="18"/>
    </row>
    <row r="7270" spans="25:25" x14ac:dyDescent="0.2">
      <c r="Y7270" s="18"/>
    </row>
    <row r="7271" spans="25:25" x14ac:dyDescent="0.2">
      <c r="Y7271" s="18"/>
    </row>
    <row r="7272" spans="25:25" x14ac:dyDescent="0.2">
      <c r="Y7272" s="18"/>
    </row>
    <row r="7273" spans="25:25" x14ac:dyDescent="0.2">
      <c r="Y7273" s="18"/>
    </row>
    <row r="7274" spans="25:25" x14ac:dyDescent="0.2">
      <c r="Y7274" s="18"/>
    </row>
    <row r="7275" spans="25:25" x14ac:dyDescent="0.2">
      <c r="Y7275" s="18"/>
    </row>
    <row r="7276" spans="25:25" x14ac:dyDescent="0.2">
      <c r="Y7276" s="18"/>
    </row>
    <row r="7277" spans="25:25" x14ac:dyDescent="0.2">
      <c r="Y7277" s="18"/>
    </row>
    <row r="7278" spans="25:25" x14ac:dyDescent="0.2">
      <c r="Y7278" s="18"/>
    </row>
    <row r="7279" spans="25:25" x14ac:dyDescent="0.2">
      <c r="Y7279" s="18"/>
    </row>
    <row r="7280" spans="25:25" x14ac:dyDescent="0.2">
      <c r="Y7280" s="18"/>
    </row>
    <row r="7281" spans="25:25" x14ac:dyDescent="0.2">
      <c r="Y7281" s="18"/>
    </row>
    <row r="7282" spans="25:25" x14ac:dyDescent="0.2">
      <c r="Y7282" s="18"/>
    </row>
    <row r="7283" spans="25:25" x14ac:dyDescent="0.2">
      <c r="Y7283" s="18"/>
    </row>
    <row r="7284" spans="25:25" x14ac:dyDescent="0.2">
      <c r="Y7284" s="18"/>
    </row>
    <row r="7285" spans="25:25" x14ac:dyDescent="0.2">
      <c r="Y7285" s="18"/>
    </row>
    <row r="7286" spans="25:25" x14ac:dyDescent="0.2">
      <c r="Y7286" s="18"/>
    </row>
    <row r="7287" spans="25:25" x14ac:dyDescent="0.2">
      <c r="Y7287" s="18"/>
    </row>
    <row r="7288" spans="25:25" x14ac:dyDescent="0.2">
      <c r="Y7288" s="18"/>
    </row>
    <row r="7289" spans="25:25" x14ac:dyDescent="0.2">
      <c r="Y7289" s="18"/>
    </row>
    <row r="7290" spans="25:25" x14ac:dyDescent="0.2">
      <c r="Y7290" s="18"/>
    </row>
    <row r="7291" spans="25:25" x14ac:dyDescent="0.2">
      <c r="Y7291" s="18"/>
    </row>
    <row r="7292" spans="25:25" x14ac:dyDescent="0.2">
      <c r="Y7292" s="18"/>
    </row>
    <row r="7293" spans="25:25" x14ac:dyDescent="0.2">
      <c r="Y7293" s="18"/>
    </row>
    <row r="7294" spans="25:25" x14ac:dyDescent="0.2">
      <c r="Y7294" s="18"/>
    </row>
    <row r="7295" spans="25:25" x14ac:dyDescent="0.2">
      <c r="Y7295" s="18"/>
    </row>
    <row r="7296" spans="25:25" x14ac:dyDescent="0.2">
      <c r="Y7296" s="18"/>
    </row>
    <row r="7297" spans="25:25" x14ac:dyDescent="0.2">
      <c r="Y7297" s="18"/>
    </row>
    <row r="7298" spans="25:25" x14ac:dyDescent="0.2">
      <c r="Y7298" s="18"/>
    </row>
    <row r="7299" spans="25:25" x14ac:dyDescent="0.2">
      <c r="Y7299" s="18"/>
    </row>
    <row r="7300" spans="25:25" x14ac:dyDescent="0.2">
      <c r="Y7300" s="18"/>
    </row>
    <row r="7301" spans="25:25" x14ac:dyDescent="0.2">
      <c r="Y7301" s="18"/>
    </row>
    <row r="7302" spans="25:25" x14ac:dyDescent="0.2">
      <c r="Y7302" s="18"/>
    </row>
    <row r="7303" spans="25:25" x14ac:dyDescent="0.2">
      <c r="Y7303" s="18"/>
    </row>
    <row r="7304" spans="25:25" x14ac:dyDescent="0.2">
      <c r="Y7304" s="18"/>
    </row>
    <row r="7305" spans="25:25" x14ac:dyDescent="0.2">
      <c r="Y7305" s="18"/>
    </row>
    <row r="7306" spans="25:25" x14ac:dyDescent="0.2">
      <c r="Y7306" s="18"/>
    </row>
    <row r="7307" spans="25:25" x14ac:dyDescent="0.2">
      <c r="Y7307" s="18"/>
    </row>
    <row r="7308" spans="25:25" x14ac:dyDescent="0.2">
      <c r="Y7308" s="18"/>
    </row>
    <row r="7309" spans="25:25" x14ac:dyDescent="0.2">
      <c r="Y7309" s="18"/>
    </row>
    <row r="7310" spans="25:25" x14ac:dyDescent="0.2">
      <c r="Y7310" s="18"/>
    </row>
    <row r="7311" spans="25:25" x14ac:dyDescent="0.2">
      <c r="Y7311" s="18"/>
    </row>
    <row r="7312" spans="25:25" x14ac:dyDescent="0.2">
      <c r="Y7312" s="18"/>
    </row>
    <row r="7313" spans="25:25" x14ac:dyDescent="0.2">
      <c r="Y7313" s="18"/>
    </row>
    <row r="7314" spans="25:25" x14ac:dyDescent="0.2">
      <c r="Y7314" s="18"/>
    </row>
    <row r="7315" spans="25:25" x14ac:dyDescent="0.2">
      <c r="Y7315" s="18"/>
    </row>
    <row r="7316" spans="25:25" x14ac:dyDescent="0.2">
      <c r="Y7316" s="18"/>
    </row>
    <row r="7317" spans="25:25" x14ac:dyDescent="0.2">
      <c r="Y7317" s="18"/>
    </row>
    <row r="7318" spans="25:25" x14ac:dyDescent="0.2">
      <c r="Y7318" s="18"/>
    </row>
    <row r="7319" spans="25:25" x14ac:dyDescent="0.2">
      <c r="Y7319" s="18"/>
    </row>
    <row r="7320" spans="25:25" x14ac:dyDescent="0.2">
      <c r="Y7320" s="18"/>
    </row>
    <row r="7321" spans="25:25" x14ac:dyDescent="0.2">
      <c r="Y7321" s="18"/>
    </row>
    <row r="7322" spans="25:25" x14ac:dyDescent="0.2">
      <c r="Y7322" s="18"/>
    </row>
    <row r="7323" spans="25:25" x14ac:dyDescent="0.2">
      <c r="Y7323" s="18"/>
    </row>
    <row r="7324" spans="25:25" x14ac:dyDescent="0.2">
      <c r="Y7324" s="18"/>
    </row>
    <row r="7325" spans="25:25" x14ac:dyDescent="0.2">
      <c r="Y7325" s="18"/>
    </row>
    <row r="7326" spans="25:25" x14ac:dyDescent="0.2">
      <c r="Y7326" s="18"/>
    </row>
    <row r="7327" spans="25:25" x14ac:dyDescent="0.2">
      <c r="Y7327" s="18"/>
    </row>
    <row r="7328" spans="25:25" x14ac:dyDescent="0.2">
      <c r="Y7328" s="18"/>
    </row>
    <row r="7329" spans="25:25" x14ac:dyDescent="0.2">
      <c r="Y7329" s="18"/>
    </row>
    <row r="7330" spans="25:25" x14ac:dyDescent="0.2">
      <c r="Y7330" s="18"/>
    </row>
    <row r="7331" spans="25:25" x14ac:dyDescent="0.2">
      <c r="Y7331" s="18"/>
    </row>
    <row r="7332" spans="25:25" x14ac:dyDescent="0.2">
      <c r="Y7332" s="18"/>
    </row>
    <row r="7333" spans="25:25" x14ac:dyDescent="0.2">
      <c r="Y7333" s="18"/>
    </row>
    <row r="7334" spans="25:25" x14ac:dyDescent="0.2">
      <c r="Y7334" s="18"/>
    </row>
    <row r="7335" spans="25:25" x14ac:dyDescent="0.2">
      <c r="Y7335" s="18"/>
    </row>
    <row r="7336" spans="25:25" x14ac:dyDescent="0.2">
      <c r="Y7336" s="18"/>
    </row>
    <row r="7337" spans="25:25" x14ac:dyDescent="0.2">
      <c r="Y7337" s="18"/>
    </row>
    <row r="7338" spans="25:25" x14ac:dyDescent="0.2">
      <c r="Y7338" s="18"/>
    </row>
    <row r="7339" spans="25:25" x14ac:dyDescent="0.2">
      <c r="Y7339" s="18"/>
    </row>
    <row r="7340" spans="25:25" x14ac:dyDescent="0.2">
      <c r="Y7340" s="18"/>
    </row>
    <row r="7341" spans="25:25" x14ac:dyDescent="0.2">
      <c r="Y7341" s="18"/>
    </row>
    <row r="7342" spans="25:25" x14ac:dyDescent="0.2">
      <c r="Y7342" s="18"/>
    </row>
    <row r="7343" spans="25:25" x14ac:dyDescent="0.2">
      <c r="Y7343" s="18"/>
    </row>
    <row r="7344" spans="25:25" x14ac:dyDescent="0.2">
      <c r="Y7344" s="18"/>
    </row>
    <row r="7345" spans="25:25" x14ac:dyDescent="0.2">
      <c r="Y7345" s="18"/>
    </row>
    <row r="7346" spans="25:25" x14ac:dyDescent="0.2">
      <c r="Y7346" s="18"/>
    </row>
    <row r="7347" spans="25:25" x14ac:dyDescent="0.2">
      <c r="Y7347" s="18"/>
    </row>
    <row r="7348" spans="25:25" x14ac:dyDescent="0.2">
      <c r="Y7348" s="18"/>
    </row>
    <row r="7349" spans="25:25" x14ac:dyDescent="0.2">
      <c r="Y7349" s="18"/>
    </row>
    <row r="7350" spans="25:25" x14ac:dyDescent="0.2">
      <c r="Y7350" s="18"/>
    </row>
    <row r="7351" spans="25:25" x14ac:dyDescent="0.2">
      <c r="Y7351" s="18"/>
    </row>
    <row r="7352" spans="25:25" x14ac:dyDescent="0.2">
      <c r="Y7352" s="18"/>
    </row>
    <row r="7353" spans="25:25" x14ac:dyDescent="0.2">
      <c r="Y7353" s="18"/>
    </row>
    <row r="7354" spans="25:25" x14ac:dyDescent="0.2">
      <c r="Y7354" s="18"/>
    </row>
    <row r="7355" spans="25:25" x14ac:dyDescent="0.2">
      <c r="Y7355" s="18"/>
    </row>
    <row r="7356" spans="25:25" x14ac:dyDescent="0.2">
      <c r="Y7356" s="18"/>
    </row>
    <row r="7357" spans="25:25" x14ac:dyDescent="0.2">
      <c r="Y7357" s="18"/>
    </row>
    <row r="7358" spans="25:25" x14ac:dyDescent="0.2">
      <c r="Y7358" s="18"/>
    </row>
    <row r="7359" spans="25:25" x14ac:dyDescent="0.2">
      <c r="Y7359" s="18"/>
    </row>
    <row r="7360" spans="25:25" x14ac:dyDescent="0.2">
      <c r="Y7360" s="18"/>
    </row>
    <row r="7361" spans="25:25" x14ac:dyDescent="0.2">
      <c r="Y7361" s="18"/>
    </row>
    <row r="7362" spans="25:25" x14ac:dyDescent="0.2">
      <c r="Y7362" s="18"/>
    </row>
    <row r="7363" spans="25:25" x14ac:dyDescent="0.2">
      <c r="Y7363" s="18"/>
    </row>
    <row r="7364" spans="25:25" x14ac:dyDescent="0.2">
      <c r="Y7364" s="18"/>
    </row>
    <row r="7365" spans="25:25" x14ac:dyDescent="0.2">
      <c r="Y7365" s="18"/>
    </row>
    <row r="7366" spans="25:25" x14ac:dyDescent="0.2">
      <c r="Y7366" s="18"/>
    </row>
    <row r="7367" spans="25:25" x14ac:dyDescent="0.2">
      <c r="Y7367" s="18"/>
    </row>
    <row r="7368" spans="25:25" x14ac:dyDescent="0.2">
      <c r="Y7368" s="18"/>
    </row>
    <row r="7369" spans="25:25" x14ac:dyDescent="0.2">
      <c r="Y7369" s="18"/>
    </row>
    <row r="7370" spans="25:25" x14ac:dyDescent="0.2">
      <c r="Y7370" s="18"/>
    </row>
    <row r="7371" spans="25:25" x14ac:dyDescent="0.2">
      <c r="Y7371" s="18"/>
    </row>
    <row r="7372" spans="25:25" x14ac:dyDescent="0.2">
      <c r="Y7372" s="18"/>
    </row>
    <row r="7373" spans="25:25" x14ac:dyDescent="0.2">
      <c r="Y7373" s="18"/>
    </row>
    <row r="7374" spans="25:25" x14ac:dyDescent="0.2">
      <c r="Y7374" s="18"/>
    </row>
    <row r="7375" spans="25:25" x14ac:dyDescent="0.2">
      <c r="Y7375" s="18"/>
    </row>
    <row r="7376" spans="25:25" x14ac:dyDescent="0.2">
      <c r="Y7376" s="18"/>
    </row>
    <row r="7377" spans="25:25" x14ac:dyDescent="0.2">
      <c r="Y7377" s="18"/>
    </row>
    <row r="7378" spans="25:25" x14ac:dyDescent="0.2">
      <c r="Y7378" s="18"/>
    </row>
    <row r="7379" spans="25:25" x14ac:dyDescent="0.2">
      <c r="Y7379" s="18"/>
    </row>
    <row r="7380" spans="25:25" x14ac:dyDescent="0.2">
      <c r="Y7380" s="18"/>
    </row>
    <row r="7381" spans="25:25" x14ac:dyDescent="0.2">
      <c r="Y7381" s="18"/>
    </row>
    <row r="7382" spans="25:25" x14ac:dyDescent="0.2">
      <c r="Y7382" s="18"/>
    </row>
    <row r="7383" spans="25:25" x14ac:dyDescent="0.2">
      <c r="Y7383" s="18"/>
    </row>
    <row r="7384" spans="25:25" x14ac:dyDescent="0.2">
      <c r="Y7384" s="18"/>
    </row>
    <row r="7385" spans="25:25" x14ac:dyDescent="0.2">
      <c r="Y7385" s="18"/>
    </row>
    <row r="7386" spans="25:25" x14ac:dyDescent="0.2">
      <c r="Y7386" s="18"/>
    </row>
    <row r="7387" spans="25:25" x14ac:dyDescent="0.2">
      <c r="Y7387" s="18"/>
    </row>
    <row r="7388" spans="25:25" x14ac:dyDescent="0.2">
      <c r="Y7388" s="18"/>
    </row>
    <row r="7389" spans="25:25" x14ac:dyDescent="0.2">
      <c r="Y7389" s="18"/>
    </row>
    <row r="7390" spans="25:25" x14ac:dyDescent="0.2">
      <c r="Y7390" s="18"/>
    </row>
    <row r="7391" spans="25:25" x14ac:dyDescent="0.2">
      <c r="Y7391" s="18"/>
    </row>
    <row r="7392" spans="25:25" x14ac:dyDescent="0.2">
      <c r="Y7392" s="18"/>
    </row>
    <row r="7393" spans="25:25" x14ac:dyDescent="0.2">
      <c r="Y7393" s="18"/>
    </row>
    <row r="7394" spans="25:25" x14ac:dyDescent="0.2">
      <c r="Y7394" s="18"/>
    </row>
    <row r="7395" spans="25:25" x14ac:dyDescent="0.2">
      <c r="Y7395" s="18"/>
    </row>
    <row r="7396" spans="25:25" x14ac:dyDescent="0.2">
      <c r="Y7396" s="18"/>
    </row>
    <row r="7397" spans="25:25" x14ac:dyDescent="0.2">
      <c r="Y7397" s="18"/>
    </row>
    <row r="7398" spans="25:25" x14ac:dyDescent="0.2">
      <c r="Y7398" s="18"/>
    </row>
    <row r="7399" spans="25:25" x14ac:dyDescent="0.2">
      <c r="Y7399" s="18"/>
    </row>
    <row r="7400" spans="25:25" x14ac:dyDescent="0.2">
      <c r="Y7400" s="18"/>
    </row>
    <row r="7401" spans="25:25" x14ac:dyDescent="0.2">
      <c r="Y7401" s="18"/>
    </row>
    <row r="7402" spans="25:25" x14ac:dyDescent="0.2">
      <c r="Y7402" s="18"/>
    </row>
    <row r="7403" spans="25:25" x14ac:dyDescent="0.2">
      <c r="Y7403" s="18"/>
    </row>
    <row r="7404" spans="25:25" x14ac:dyDescent="0.2">
      <c r="Y7404" s="18"/>
    </row>
    <row r="7405" spans="25:25" x14ac:dyDescent="0.2">
      <c r="Y7405" s="18"/>
    </row>
    <row r="7406" spans="25:25" x14ac:dyDescent="0.2">
      <c r="Y7406" s="18"/>
    </row>
    <row r="7407" spans="25:25" x14ac:dyDescent="0.2">
      <c r="Y7407" s="18"/>
    </row>
    <row r="7408" spans="25:25" x14ac:dyDescent="0.2">
      <c r="Y7408" s="18"/>
    </row>
    <row r="7409" spans="25:25" x14ac:dyDescent="0.2">
      <c r="Y7409" s="18"/>
    </row>
    <row r="7410" spans="25:25" x14ac:dyDescent="0.2">
      <c r="Y7410" s="18"/>
    </row>
    <row r="7411" spans="25:25" x14ac:dyDescent="0.2">
      <c r="Y7411" s="18"/>
    </row>
    <row r="7412" spans="25:25" x14ac:dyDescent="0.2">
      <c r="Y7412" s="18"/>
    </row>
    <row r="7413" spans="25:25" x14ac:dyDescent="0.2">
      <c r="Y7413" s="18"/>
    </row>
    <row r="7414" spans="25:25" x14ac:dyDescent="0.2">
      <c r="Y7414" s="18"/>
    </row>
    <row r="7415" spans="25:25" x14ac:dyDescent="0.2">
      <c r="Y7415" s="18"/>
    </row>
    <row r="7416" spans="25:25" x14ac:dyDescent="0.2">
      <c r="Y7416" s="18"/>
    </row>
    <row r="7417" spans="25:25" x14ac:dyDescent="0.2">
      <c r="Y7417" s="18"/>
    </row>
    <row r="7418" spans="25:25" x14ac:dyDescent="0.2">
      <c r="Y7418" s="18"/>
    </row>
    <row r="7419" spans="25:25" x14ac:dyDescent="0.2">
      <c r="Y7419" s="18"/>
    </row>
    <row r="7420" spans="25:25" x14ac:dyDescent="0.2">
      <c r="Y7420" s="18"/>
    </row>
    <row r="7421" spans="25:25" x14ac:dyDescent="0.2">
      <c r="Y7421" s="18"/>
    </row>
    <row r="7422" spans="25:25" x14ac:dyDescent="0.2">
      <c r="Y7422" s="18"/>
    </row>
    <row r="7423" spans="25:25" x14ac:dyDescent="0.2">
      <c r="Y7423" s="18"/>
    </row>
    <row r="7424" spans="25:25" x14ac:dyDescent="0.2">
      <c r="Y7424" s="18"/>
    </row>
    <row r="7425" spans="25:25" x14ac:dyDescent="0.2">
      <c r="Y7425" s="18"/>
    </row>
    <row r="7426" spans="25:25" x14ac:dyDescent="0.2">
      <c r="Y7426" s="18"/>
    </row>
    <row r="7427" spans="25:25" x14ac:dyDescent="0.2">
      <c r="Y7427" s="18"/>
    </row>
    <row r="7428" spans="25:25" x14ac:dyDescent="0.2">
      <c r="Y7428" s="18"/>
    </row>
    <row r="7429" spans="25:25" x14ac:dyDescent="0.2">
      <c r="Y7429" s="18"/>
    </row>
    <row r="7430" spans="25:25" x14ac:dyDescent="0.2">
      <c r="Y7430" s="18"/>
    </row>
    <row r="7431" spans="25:25" x14ac:dyDescent="0.2">
      <c r="Y7431" s="18"/>
    </row>
    <row r="7432" spans="25:25" x14ac:dyDescent="0.2">
      <c r="Y7432" s="18"/>
    </row>
    <row r="7433" spans="25:25" x14ac:dyDescent="0.2">
      <c r="Y7433" s="18"/>
    </row>
    <row r="7434" spans="25:25" x14ac:dyDescent="0.2">
      <c r="Y7434" s="18"/>
    </row>
    <row r="7435" spans="25:25" x14ac:dyDescent="0.2">
      <c r="Y7435" s="18"/>
    </row>
    <row r="7436" spans="25:25" x14ac:dyDescent="0.2">
      <c r="Y7436" s="18"/>
    </row>
    <row r="7437" spans="25:25" x14ac:dyDescent="0.2">
      <c r="Y7437" s="18"/>
    </row>
    <row r="7438" spans="25:25" x14ac:dyDescent="0.2">
      <c r="Y7438" s="18"/>
    </row>
    <row r="7439" spans="25:25" x14ac:dyDescent="0.2">
      <c r="Y7439" s="18"/>
    </row>
    <row r="7440" spans="25:25" x14ac:dyDescent="0.2">
      <c r="Y7440" s="18"/>
    </row>
    <row r="7441" spans="25:25" x14ac:dyDescent="0.2">
      <c r="Y7441" s="18"/>
    </row>
    <row r="7442" spans="25:25" x14ac:dyDescent="0.2">
      <c r="Y7442" s="18"/>
    </row>
    <row r="7443" spans="25:25" x14ac:dyDescent="0.2">
      <c r="Y7443" s="18"/>
    </row>
    <row r="7444" spans="25:25" x14ac:dyDescent="0.2">
      <c r="Y7444" s="18"/>
    </row>
    <row r="7445" spans="25:25" x14ac:dyDescent="0.2">
      <c r="Y7445" s="18"/>
    </row>
    <row r="7446" spans="25:25" x14ac:dyDescent="0.2">
      <c r="Y7446" s="18"/>
    </row>
    <row r="7447" spans="25:25" x14ac:dyDescent="0.2">
      <c r="Y7447" s="18"/>
    </row>
    <row r="7448" spans="25:25" x14ac:dyDescent="0.2">
      <c r="Y7448" s="18"/>
    </row>
    <row r="7449" spans="25:25" x14ac:dyDescent="0.2">
      <c r="Y7449" s="18"/>
    </row>
    <row r="7450" spans="25:25" x14ac:dyDescent="0.2">
      <c r="Y7450" s="18"/>
    </row>
    <row r="7451" spans="25:25" x14ac:dyDescent="0.2">
      <c r="Y7451" s="18"/>
    </row>
    <row r="7452" spans="25:25" x14ac:dyDescent="0.2">
      <c r="Y7452" s="18"/>
    </row>
    <row r="7453" spans="25:25" x14ac:dyDescent="0.2">
      <c r="Y7453" s="18"/>
    </row>
    <row r="7454" spans="25:25" x14ac:dyDescent="0.2">
      <c r="Y7454" s="18"/>
    </row>
    <row r="7455" spans="25:25" x14ac:dyDescent="0.2">
      <c r="Y7455" s="18"/>
    </row>
    <row r="7456" spans="25:25" x14ac:dyDescent="0.2">
      <c r="Y7456" s="18"/>
    </row>
    <row r="7457" spans="25:25" x14ac:dyDescent="0.2">
      <c r="Y7457" s="18"/>
    </row>
    <row r="7458" spans="25:25" x14ac:dyDescent="0.2">
      <c r="Y7458" s="18"/>
    </row>
    <row r="7459" spans="25:25" x14ac:dyDescent="0.2">
      <c r="Y7459" s="18"/>
    </row>
    <row r="7460" spans="25:25" x14ac:dyDescent="0.2">
      <c r="Y7460" s="18"/>
    </row>
    <row r="7461" spans="25:25" x14ac:dyDescent="0.2">
      <c r="Y7461" s="18"/>
    </row>
    <row r="7462" spans="25:25" x14ac:dyDescent="0.2">
      <c r="Y7462" s="18"/>
    </row>
    <row r="7463" spans="25:25" x14ac:dyDescent="0.2">
      <c r="Y7463" s="18"/>
    </row>
    <row r="7464" spans="25:25" x14ac:dyDescent="0.2">
      <c r="Y7464" s="18"/>
    </row>
    <row r="7465" spans="25:25" x14ac:dyDescent="0.2">
      <c r="Y7465" s="18"/>
    </row>
    <row r="7466" spans="25:25" x14ac:dyDescent="0.2">
      <c r="Y7466" s="18"/>
    </row>
    <row r="7467" spans="25:25" x14ac:dyDescent="0.2">
      <c r="Y7467" s="18"/>
    </row>
    <row r="7468" spans="25:25" x14ac:dyDescent="0.2">
      <c r="Y7468" s="18"/>
    </row>
    <row r="7469" spans="25:25" x14ac:dyDescent="0.2">
      <c r="Y7469" s="18"/>
    </row>
    <row r="7470" spans="25:25" x14ac:dyDescent="0.2">
      <c r="Y7470" s="18"/>
    </row>
    <row r="7471" spans="25:25" x14ac:dyDescent="0.2">
      <c r="Y7471" s="18"/>
    </row>
    <row r="7472" spans="25:25" x14ac:dyDescent="0.2">
      <c r="Y7472" s="18"/>
    </row>
    <row r="7473" spans="25:25" x14ac:dyDescent="0.2">
      <c r="Y7473" s="18"/>
    </row>
    <row r="7474" spans="25:25" x14ac:dyDescent="0.2">
      <c r="Y7474" s="18"/>
    </row>
    <row r="7475" spans="25:25" x14ac:dyDescent="0.2">
      <c r="Y7475" s="18"/>
    </row>
    <row r="7476" spans="25:25" x14ac:dyDescent="0.2">
      <c r="Y7476" s="18"/>
    </row>
    <row r="7477" spans="25:25" x14ac:dyDescent="0.2">
      <c r="Y7477" s="18"/>
    </row>
    <row r="7478" spans="25:25" x14ac:dyDescent="0.2">
      <c r="Y7478" s="18"/>
    </row>
    <row r="7479" spans="25:25" x14ac:dyDescent="0.2">
      <c r="Y7479" s="18"/>
    </row>
    <row r="7480" spans="25:25" x14ac:dyDescent="0.2">
      <c r="Y7480" s="18"/>
    </row>
    <row r="7481" spans="25:25" x14ac:dyDescent="0.2">
      <c r="Y7481" s="18"/>
    </row>
    <row r="7482" spans="25:25" x14ac:dyDescent="0.2">
      <c r="Y7482" s="18"/>
    </row>
    <row r="7483" spans="25:25" x14ac:dyDescent="0.2">
      <c r="Y7483" s="18"/>
    </row>
    <row r="7484" spans="25:25" x14ac:dyDescent="0.2">
      <c r="Y7484" s="18"/>
    </row>
    <row r="7485" spans="25:25" x14ac:dyDescent="0.2">
      <c r="Y7485" s="18"/>
    </row>
    <row r="7486" spans="25:25" x14ac:dyDescent="0.2">
      <c r="Y7486" s="18"/>
    </row>
    <row r="7487" spans="25:25" x14ac:dyDescent="0.2">
      <c r="Y7487" s="18"/>
    </row>
    <row r="7488" spans="25:25" x14ac:dyDescent="0.2">
      <c r="Y7488" s="18"/>
    </row>
    <row r="7489" spans="25:25" x14ac:dyDescent="0.2">
      <c r="Y7489" s="18"/>
    </row>
    <row r="7490" spans="25:25" x14ac:dyDescent="0.2">
      <c r="Y7490" s="18"/>
    </row>
    <row r="7491" spans="25:25" x14ac:dyDescent="0.2">
      <c r="Y7491" s="18"/>
    </row>
    <row r="7492" spans="25:25" x14ac:dyDescent="0.2">
      <c r="Y7492" s="18"/>
    </row>
    <row r="7493" spans="25:25" x14ac:dyDescent="0.2">
      <c r="Y7493" s="18"/>
    </row>
    <row r="7494" spans="25:25" x14ac:dyDescent="0.2">
      <c r="Y7494" s="18"/>
    </row>
    <row r="7495" spans="25:25" x14ac:dyDescent="0.2">
      <c r="Y7495" s="18"/>
    </row>
    <row r="7496" spans="25:25" x14ac:dyDescent="0.2">
      <c r="Y7496" s="18"/>
    </row>
    <row r="7497" spans="25:25" x14ac:dyDescent="0.2">
      <c r="Y7497" s="18"/>
    </row>
    <row r="7498" spans="25:25" x14ac:dyDescent="0.2">
      <c r="Y7498" s="18"/>
    </row>
    <row r="7499" spans="25:25" x14ac:dyDescent="0.2">
      <c r="Y7499" s="18"/>
    </row>
    <row r="7500" spans="25:25" x14ac:dyDescent="0.2">
      <c r="Y7500" s="18"/>
    </row>
    <row r="7501" spans="25:25" x14ac:dyDescent="0.2">
      <c r="Y7501" s="18"/>
    </row>
    <row r="7502" spans="25:25" x14ac:dyDescent="0.2">
      <c r="Y7502" s="18"/>
    </row>
    <row r="7503" spans="25:25" x14ac:dyDescent="0.2">
      <c r="Y7503" s="18"/>
    </row>
    <row r="7504" spans="25:25" x14ac:dyDescent="0.2">
      <c r="Y7504" s="18"/>
    </row>
    <row r="7505" spans="25:25" x14ac:dyDescent="0.2">
      <c r="Y7505" s="18"/>
    </row>
    <row r="7506" spans="25:25" x14ac:dyDescent="0.2">
      <c r="Y7506" s="18"/>
    </row>
    <row r="7507" spans="25:25" x14ac:dyDescent="0.2">
      <c r="Y7507" s="18"/>
    </row>
    <row r="7508" spans="25:25" x14ac:dyDescent="0.2">
      <c r="Y7508" s="18"/>
    </row>
    <row r="7509" spans="25:25" x14ac:dyDescent="0.2">
      <c r="Y7509" s="18"/>
    </row>
    <row r="7510" spans="25:25" x14ac:dyDescent="0.2">
      <c r="Y7510" s="18"/>
    </row>
    <row r="7511" spans="25:25" x14ac:dyDescent="0.2">
      <c r="Y7511" s="18"/>
    </row>
    <row r="7512" spans="25:25" x14ac:dyDescent="0.2">
      <c r="Y7512" s="18"/>
    </row>
    <row r="7513" spans="25:25" x14ac:dyDescent="0.2">
      <c r="Y7513" s="18"/>
    </row>
    <row r="7514" spans="25:25" x14ac:dyDescent="0.2">
      <c r="Y7514" s="18"/>
    </row>
    <row r="7515" spans="25:25" x14ac:dyDescent="0.2">
      <c r="Y7515" s="18"/>
    </row>
    <row r="7516" spans="25:25" x14ac:dyDescent="0.2">
      <c r="Y7516" s="18"/>
    </row>
    <row r="7517" spans="25:25" x14ac:dyDescent="0.2">
      <c r="Y7517" s="18"/>
    </row>
    <row r="7518" spans="25:25" x14ac:dyDescent="0.2">
      <c r="Y7518" s="18"/>
    </row>
    <row r="7519" spans="25:25" x14ac:dyDescent="0.2">
      <c r="Y7519" s="18"/>
    </row>
    <row r="7520" spans="25:25" x14ac:dyDescent="0.2">
      <c r="Y7520" s="18"/>
    </row>
    <row r="7521" spans="25:25" x14ac:dyDescent="0.2">
      <c r="Y7521" s="18"/>
    </row>
    <row r="7522" spans="25:25" x14ac:dyDescent="0.2">
      <c r="Y7522" s="18"/>
    </row>
    <row r="7523" spans="25:25" x14ac:dyDescent="0.2">
      <c r="Y7523" s="18"/>
    </row>
    <row r="7524" spans="25:25" x14ac:dyDescent="0.2">
      <c r="Y7524" s="18"/>
    </row>
    <row r="7525" spans="25:25" x14ac:dyDescent="0.2">
      <c r="Y7525" s="18"/>
    </row>
    <row r="7526" spans="25:25" x14ac:dyDescent="0.2">
      <c r="Y7526" s="18"/>
    </row>
    <row r="7527" spans="25:25" x14ac:dyDescent="0.2">
      <c r="Y7527" s="18"/>
    </row>
    <row r="7528" spans="25:25" x14ac:dyDescent="0.2">
      <c r="Y7528" s="18"/>
    </row>
    <row r="7529" spans="25:25" x14ac:dyDescent="0.2">
      <c r="Y7529" s="18"/>
    </row>
    <row r="7530" spans="25:25" x14ac:dyDescent="0.2">
      <c r="Y7530" s="18"/>
    </row>
    <row r="7531" spans="25:25" x14ac:dyDescent="0.2">
      <c r="Y7531" s="18"/>
    </row>
    <row r="7532" spans="25:25" x14ac:dyDescent="0.2">
      <c r="Y7532" s="18"/>
    </row>
    <row r="7533" spans="25:25" x14ac:dyDescent="0.2">
      <c r="Y7533" s="18"/>
    </row>
    <row r="7534" spans="25:25" x14ac:dyDescent="0.2">
      <c r="Y7534" s="18"/>
    </row>
    <row r="7535" spans="25:25" x14ac:dyDescent="0.2">
      <c r="Y7535" s="18"/>
    </row>
    <row r="7536" spans="25:25" x14ac:dyDescent="0.2">
      <c r="Y7536" s="18"/>
    </row>
    <row r="7537" spans="25:25" x14ac:dyDescent="0.2">
      <c r="Y7537" s="18"/>
    </row>
    <row r="7538" spans="25:25" x14ac:dyDescent="0.2">
      <c r="Y7538" s="18"/>
    </row>
    <row r="7539" spans="25:25" x14ac:dyDescent="0.2">
      <c r="Y7539" s="18"/>
    </row>
    <row r="7540" spans="25:25" x14ac:dyDescent="0.2">
      <c r="Y7540" s="18"/>
    </row>
    <row r="7541" spans="25:25" x14ac:dyDescent="0.2">
      <c r="Y7541" s="18"/>
    </row>
    <row r="7542" spans="25:25" x14ac:dyDescent="0.2">
      <c r="Y7542" s="18"/>
    </row>
    <row r="7543" spans="25:25" x14ac:dyDescent="0.2">
      <c r="Y7543" s="18"/>
    </row>
    <row r="7544" spans="25:25" x14ac:dyDescent="0.2">
      <c r="Y7544" s="18"/>
    </row>
    <row r="7545" spans="25:25" x14ac:dyDescent="0.2">
      <c r="Y7545" s="18"/>
    </row>
    <row r="7546" spans="25:25" x14ac:dyDescent="0.2">
      <c r="Y7546" s="18"/>
    </row>
    <row r="7547" spans="25:25" x14ac:dyDescent="0.2">
      <c r="Y7547" s="18"/>
    </row>
    <row r="7548" spans="25:25" x14ac:dyDescent="0.2">
      <c r="Y7548" s="18"/>
    </row>
    <row r="7549" spans="25:25" x14ac:dyDescent="0.2">
      <c r="Y7549" s="18"/>
    </row>
    <row r="7550" spans="25:25" x14ac:dyDescent="0.2">
      <c r="Y7550" s="18"/>
    </row>
    <row r="7551" spans="25:25" x14ac:dyDescent="0.2">
      <c r="Y7551" s="18"/>
    </row>
    <row r="7552" spans="25:25" x14ac:dyDescent="0.2">
      <c r="Y7552" s="18"/>
    </row>
    <row r="7553" spans="25:25" x14ac:dyDescent="0.2">
      <c r="Y7553" s="18"/>
    </row>
    <row r="7554" spans="25:25" x14ac:dyDescent="0.2">
      <c r="Y7554" s="18"/>
    </row>
    <row r="7555" spans="25:25" x14ac:dyDescent="0.2">
      <c r="Y7555" s="18"/>
    </row>
    <row r="7556" spans="25:25" x14ac:dyDescent="0.2">
      <c r="Y7556" s="18"/>
    </row>
    <row r="7557" spans="25:25" x14ac:dyDescent="0.2">
      <c r="Y7557" s="18"/>
    </row>
    <row r="7558" spans="25:25" x14ac:dyDescent="0.2">
      <c r="Y7558" s="18"/>
    </row>
    <row r="7559" spans="25:25" x14ac:dyDescent="0.2">
      <c r="Y7559" s="18"/>
    </row>
    <row r="7560" spans="25:25" x14ac:dyDescent="0.2">
      <c r="Y7560" s="18"/>
    </row>
    <row r="7561" spans="25:25" x14ac:dyDescent="0.2">
      <c r="Y7561" s="18"/>
    </row>
    <row r="7562" spans="25:25" x14ac:dyDescent="0.2">
      <c r="Y7562" s="18"/>
    </row>
    <row r="7563" spans="25:25" x14ac:dyDescent="0.2">
      <c r="Y7563" s="18"/>
    </row>
    <row r="7564" spans="25:25" x14ac:dyDescent="0.2">
      <c r="Y7564" s="18"/>
    </row>
    <row r="7565" spans="25:25" x14ac:dyDescent="0.2">
      <c r="Y7565" s="18"/>
    </row>
    <row r="7566" spans="25:25" x14ac:dyDescent="0.2">
      <c r="Y7566" s="18"/>
    </row>
    <row r="7567" spans="25:25" x14ac:dyDescent="0.2">
      <c r="Y7567" s="18"/>
    </row>
    <row r="7568" spans="25:25" x14ac:dyDescent="0.2">
      <c r="Y7568" s="18"/>
    </row>
    <row r="7569" spans="25:25" x14ac:dyDescent="0.2">
      <c r="Y7569" s="18"/>
    </row>
    <row r="7570" spans="25:25" x14ac:dyDescent="0.2">
      <c r="Y7570" s="18"/>
    </row>
    <row r="7571" spans="25:25" x14ac:dyDescent="0.2">
      <c r="Y7571" s="18"/>
    </row>
    <row r="7572" spans="25:25" x14ac:dyDescent="0.2">
      <c r="Y7572" s="18"/>
    </row>
    <row r="7573" spans="25:25" x14ac:dyDescent="0.2">
      <c r="Y7573" s="18"/>
    </row>
    <row r="7574" spans="25:25" x14ac:dyDescent="0.2">
      <c r="Y7574" s="18"/>
    </row>
    <row r="7575" spans="25:25" x14ac:dyDescent="0.2">
      <c r="Y7575" s="18"/>
    </row>
    <row r="7576" spans="25:25" x14ac:dyDescent="0.2">
      <c r="Y7576" s="18"/>
    </row>
    <row r="7577" spans="25:25" x14ac:dyDescent="0.2">
      <c r="Y7577" s="18"/>
    </row>
    <row r="7578" spans="25:25" x14ac:dyDescent="0.2">
      <c r="Y7578" s="18"/>
    </row>
    <row r="7579" spans="25:25" x14ac:dyDescent="0.2">
      <c r="Y7579" s="18"/>
    </row>
    <row r="7580" spans="25:25" x14ac:dyDescent="0.2">
      <c r="Y7580" s="18"/>
    </row>
    <row r="7581" spans="25:25" x14ac:dyDescent="0.2">
      <c r="Y7581" s="18"/>
    </row>
    <row r="7582" spans="25:25" x14ac:dyDescent="0.2">
      <c r="Y7582" s="18"/>
    </row>
    <row r="7583" spans="25:25" x14ac:dyDescent="0.2">
      <c r="Y7583" s="18"/>
    </row>
    <row r="7584" spans="25:25" x14ac:dyDescent="0.2">
      <c r="Y7584" s="18"/>
    </row>
    <row r="7585" spans="25:25" x14ac:dyDescent="0.2">
      <c r="Y7585" s="18"/>
    </row>
    <row r="7586" spans="25:25" x14ac:dyDescent="0.2">
      <c r="Y7586" s="18"/>
    </row>
    <row r="7587" spans="25:25" x14ac:dyDescent="0.2">
      <c r="Y7587" s="18"/>
    </row>
    <row r="7588" spans="25:25" x14ac:dyDescent="0.2">
      <c r="Y7588" s="18"/>
    </row>
    <row r="7589" spans="25:25" x14ac:dyDescent="0.2">
      <c r="Y7589" s="18"/>
    </row>
    <row r="7590" spans="25:25" x14ac:dyDescent="0.2">
      <c r="Y7590" s="18"/>
    </row>
    <row r="7591" spans="25:25" x14ac:dyDescent="0.2">
      <c r="Y7591" s="18"/>
    </row>
    <row r="7592" spans="25:25" x14ac:dyDescent="0.2">
      <c r="Y7592" s="18"/>
    </row>
    <row r="7593" spans="25:25" x14ac:dyDescent="0.2">
      <c r="Y7593" s="18"/>
    </row>
    <row r="7594" spans="25:25" x14ac:dyDescent="0.2">
      <c r="Y7594" s="18"/>
    </row>
    <row r="7595" spans="25:25" x14ac:dyDescent="0.2">
      <c r="Y7595" s="18"/>
    </row>
    <row r="7596" spans="25:25" x14ac:dyDescent="0.2">
      <c r="Y7596" s="18"/>
    </row>
    <row r="7597" spans="25:25" x14ac:dyDescent="0.2">
      <c r="Y7597" s="18"/>
    </row>
    <row r="7598" spans="25:25" x14ac:dyDescent="0.2">
      <c r="Y7598" s="18"/>
    </row>
    <row r="7599" spans="25:25" x14ac:dyDescent="0.2">
      <c r="Y7599" s="18"/>
    </row>
    <row r="7600" spans="25:25" x14ac:dyDescent="0.2">
      <c r="Y7600" s="18"/>
    </row>
    <row r="7601" spans="25:25" x14ac:dyDescent="0.2">
      <c r="Y7601" s="18"/>
    </row>
    <row r="7602" spans="25:25" x14ac:dyDescent="0.2">
      <c r="Y7602" s="18"/>
    </row>
    <row r="7603" spans="25:25" x14ac:dyDescent="0.2">
      <c r="Y7603" s="18"/>
    </row>
    <row r="7604" spans="25:25" x14ac:dyDescent="0.2">
      <c r="Y7604" s="18"/>
    </row>
    <row r="7605" spans="25:25" x14ac:dyDescent="0.2">
      <c r="Y7605" s="18"/>
    </row>
    <row r="7606" spans="25:25" x14ac:dyDescent="0.2">
      <c r="Y7606" s="18"/>
    </row>
    <row r="7607" spans="25:25" x14ac:dyDescent="0.2">
      <c r="Y7607" s="18"/>
    </row>
    <row r="7608" spans="25:25" x14ac:dyDescent="0.2">
      <c r="Y7608" s="18"/>
    </row>
    <row r="7609" spans="25:25" x14ac:dyDescent="0.2">
      <c r="Y7609" s="18"/>
    </row>
    <row r="7610" spans="25:25" x14ac:dyDescent="0.2">
      <c r="Y7610" s="18"/>
    </row>
    <row r="7611" spans="25:25" x14ac:dyDescent="0.2">
      <c r="Y7611" s="18"/>
    </row>
    <row r="7612" spans="25:25" x14ac:dyDescent="0.2">
      <c r="Y7612" s="18"/>
    </row>
    <row r="7613" spans="25:25" x14ac:dyDescent="0.2">
      <c r="Y7613" s="18"/>
    </row>
    <row r="7614" spans="25:25" x14ac:dyDescent="0.2">
      <c r="Y7614" s="18"/>
    </row>
    <row r="7615" spans="25:25" x14ac:dyDescent="0.2">
      <c r="Y7615" s="18"/>
    </row>
    <row r="7616" spans="25:25" x14ac:dyDescent="0.2">
      <c r="Y7616" s="18"/>
    </row>
    <row r="7617" spans="25:25" x14ac:dyDescent="0.2">
      <c r="Y7617" s="18"/>
    </row>
    <row r="7618" spans="25:25" x14ac:dyDescent="0.2">
      <c r="Y7618" s="18"/>
    </row>
    <row r="7619" spans="25:25" x14ac:dyDescent="0.2">
      <c r="Y7619" s="18"/>
    </row>
    <row r="7620" spans="25:25" x14ac:dyDescent="0.2">
      <c r="Y7620" s="18"/>
    </row>
    <row r="7621" spans="25:25" x14ac:dyDescent="0.2">
      <c r="Y7621" s="18"/>
    </row>
    <row r="7622" spans="25:25" x14ac:dyDescent="0.2">
      <c r="Y7622" s="18"/>
    </row>
    <row r="7623" spans="25:25" x14ac:dyDescent="0.2">
      <c r="Y7623" s="18"/>
    </row>
    <row r="7624" spans="25:25" x14ac:dyDescent="0.2">
      <c r="Y7624" s="18"/>
    </row>
    <row r="7625" spans="25:25" x14ac:dyDescent="0.2">
      <c r="Y7625" s="18"/>
    </row>
    <row r="7626" spans="25:25" x14ac:dyDescent="0.2">
      <c r="Y7626" s="18"/>
    </row>
    <row r="7627" spans="25:25" x14ac:dyDescent="0.2">
      <c r="Y7627" s="18"/>
    </row>
    <row r="7628" spans="25:25" x14ac:dyDescent="0.2">
      <c r="Y7628" s="18"/>
    </row>
    <row r="7629" spans="25:25" x14ac:dyDescent="0.2">
      <c r="Y7629" s="18"/>
    </row>
    <row r="7630" spans="25:25" x14ac:dyDescent="0.2">
      <c r="Y7630" s="18"/>
    </row>
    <row r="7631" spans="25:25" x14ac:dyDescent="0.2">
      <c r="Y7631" s="18"/>
    </row>
    <row r="7632" spans="25:25" x14ac:dyDescent="0.2">
      <c r="Y7632" s="18"/>
    </row>
    <row r="7633" spans="25:25" x14ac:dyDescent="0.2">
      <c r="Y7633" s="18"/>
    </row>
    <row r="7634" spans="25:25" x14ac:dyDescent="0.2">
      <c r="Y7634" s="18"/>
    </row>
    <row r="7635" spans="25:25" x14ac:dyDescent="0.2">
      <c r="Y7635" s="18"/>
    </row>
    <row r="7636" spans="25:25" x14ac:dyDescent="0.2">
      <c r="Y7636" s="18"/>
    </row>
    <row r="7637" spans="25:25" x14ac:dyDescent="0.2">
      <c r="Y7637" s="18"/>
    </row>
    <row r="7638" spans="25:25" x14ac:dyDescent="0.2">
      <c r="Y7638" s="18"/>
    </row>
    <row r="7639" spans="25:25" x14ac:dyDescent="0.2">
      <c r="Y7639" s="18"/>
    </row>
    <row r="7640" spans="25:25" x14ac:dyDescent="0.2">
      <c r="Y7640" s="18"/>
    </row>
    <row r="7641" spans="25:25" x14ac:dyDescent="0.2">
      <c r="Y7641" s="18"/>
    </row>
    <row r="7642" spans="25:25" x14ac:dyDescent="0.2">
      <c r="Y7642" s="18"/>
    </row>
    <row r="7643" spans="25:25" x14ac:dyDescent="0.2">
      <c r="Y7643" s="18"/>
    </row>
    <row r="7644" spans="25:25" x14ac:dyDescent="0.2">
      <c r="Y7644" s="18"/>
    </row>
    <row r="7645" spans="25:25" x14ac:dyDescent="0.2">
      <c r="Y7645" s="18"/>
    </row>
    <row r="7646" spans="25:25" x14ac:dyDescent="0.2">
      <c r="Y7646" s="18"/>
    </row>
    <row r="7647" spans="25:25" x14ac:dyDescent="0.2">
      <c r="Y7647" s="18"/>
    </row>
    <row r="7648" spans="25:25" x14ac:dyDescent="0.2">
      <c r="Y7648" s="18"/>
    </row>
    <row r="7649" spans="25:25" x14ac:dyDescent="0.2">
      <c r="Y7649" s="18"/>
    </row>
    <row r="7650" spans="25:25" x14ac:dyDescent="0.2">
      <c r="Y7650" s="18"/>
    </row>
    <row r="7651" spans="25:25" x14ac:dyDescent="0.2">
      <c r="Y7651" s="18"/>
    </row>
    <row r="7652" spans="25:25" x14ac:dyDescent="0.2">
      <c r="Y7652" s="18"/>
    </row>
    <row r="7653" spans="25:25" x14ac:dyDescent="0.2">
      <c r="Y7653" s="18"/>
    </row>
    <row r="7654" spans="25:25" x14ac:dyDescent="0.2">
      <c r="Y7654" s="18"/>
    </row>
    <row r="7655" spans="25:25" x14ac:dyDescent="0.2">
      <c r="Y7655" s="18"/>
    </row>
    <row r="7656" spans="25:25" x14ac:dyDescent="0.2">
      <c r="Y7656" s="18"/>
    </row>
    <row r="7657" spans="25:25" x14ac:dyDescent="0.2">
      <c r="Y7657" s="18"/>
    </row>
    <row r="7658" spans="25:25" x14ac:dyDescent="0.2">
      <c r="Y7658" s="18"/>
    </row>
    <row r="7659" spans="25:25" x14ac:dyDescent="0.2">
      <c r="Y7659" s="18"/>
    </row>
    <row r="7660" spans="25:25" x14ac:dyDescent="0.2">
      <c r="Y7660" s="18"/>
    </row>
    <row r="7661" spans="25:25" x14ac:dyDescent="0.2">
      <c r="Y7661" s="18"/>
    </row>
    <row r="7662" spans="25:25" x14ac:dyDescent="0.2">
      <c r="Y7662" s="18"/>
    </row>
    <row r="7663" spans="25:25" x14ac:dyDescent="0.2">
      <c r="Y7663" s="18"/>
    </row>
    <row r="7664" spans="25:25" x14ac:dyDescent="0.2">
      <c r="Y7664" s="18"/>
    </row>
    <row r="7665" spans="25:25" x14ac:dyDescent="0.2">
      <c r="Y7665" s="18"/>
    </row>
    <row r="7666" spans="25:25" x14ac:dyDescent="0.2">
      <c r="Y7666" s="18"/>
    </row>
    <row r="7667" spans="25:25" x14ac:dyDescent="0.2">
      <c r="Y7667" s="18"/>
    </row>
    <row r="7668" spans="25:25" x14ac:dyDescent="0.2">
      <c r="Y7668" s="18"/>
    </row>
    <row r="7669" spans="25:25" x14ac:dyDescent="0.2">
      <c r="Y7669" s="18"/>
    </row>
    <row r="7670" spans="25:25" x14ac:dyDescent="0.2">
      <c r="Y7670" s="18"/>
    </row>
    <row r="7671" spans="25:25" x14ac:dyDescent="0.2">
      <c r="Y7671" s="18"/>
    </row>
    <row r="7672" spans="25:25" x14ac:dyDescent="0.2">
      <c r="Y7672" s="18"/>
    </row>
    <row r="7673" spans="25:25" x14ac:dyDescent="0.2">
      <c r="Y7673" s="18"/>
    </row>
    <row r="7674" spans="25:25" x14ac:dyDescent="0.2">
      <c r="Y7674" s="18"/>
    </row>
    <row r="7675" spans="25:25" x14ac:dyDescent="0.2">
      <c r="Y7675" s="18"/>
    </row>
    <row r="7676" spans="25:25" x14ac:dyDescent="0.2">
      <c r="Y7676" s="18"/>
    </row>
    <row r="7677" spans="25:25" x14ac:dyDescent="0.2">
      <c r="Y7677" s="18"/>
    </row>
    <row r="7678" spans="25:25" x14ac:dyDescent="0.2">
      <c r="Y7678" s="18"/>
    </row>
    <row r="7679" spans="25:25" x14ac:dyDescent="0.2">
      <c r="Y7679" s="18"/>
    </row>
    <row r="7680" spans="25:25" x14ac:dyDescent="0.2">
      <c r="Y7680" s="18"/>
    </row>
    <row r="7681" spans="25:25" x14ac:dyDescent="0.2">
      <c r="Y7681" s="18"/>
    </row>
    <row r="7682" spans="25:25" x14ac:dyDescent="0.2">
      <c r="Y7682" s="18"/>
    </row>
    <row r="7683" spans="25:25" x14ac:dyDescent="0.2">
      <c r="Y7683" s="18"/>
    </row>
    <row r="7684" spans="25:25" x14ac:dyDescent="0.2">
      <c r="Y7684" s="18"/>
    </row>
    <row r="7685" spans="25:25" x14ac:dyDescent="0.2">
      <c r="Y7685" s="18"/>
    </row>
    <row r="7686" spans="25:25" x14ac:dyDescent="0.2">
      <c r="Y7686" s="18"/>
    </row>
    <row r="7687" spans="25:25" x14ac:dyDescent="0.2">
      <c r="Y7687" s="18"/>
    </row>
    <row r="7688" spans="25:25" x14ac:dyDescent="0.2">
      <c r="Y7688" s="18"/>
    </row>
    <row r="7689" spans="25:25" x14ac:dyDescent="0.2">
      <c r="Y7689" s="18"/>
    </row>
    <row r="7690" spans="25:25" x14ac:dyDescent="0.2">
      <c r="Y7690" s="18"/>
    </row>
    <row r="7691" spans="25:25" x14ac:dyDescent="0.2">
      <c r="Y7691" s="18"/>
    </row>
    <row r="7692" spans="25:25" x14ac:dyDescent="0.2">
      <c r="Y7692" s="18"/>
    </row>
    <row r="7693" spans="25:25" x14ac:dyDescent="0.2">
      <c r="Y7693" s="18"/>
    </row>
    <row r="7694" spans="25:25" x14ac:dyDescent="0.2">
      <c r="Y7694" s="18"/>
    </row>
    <row r="7695" spans="25:25" x14ac:dyDescent="0.2">
      <c r="Y7695" s="18"/>
    </row>
    <row r="7696" spans="25:25" x14ac:dyDescent="0.2">
      <c r="Y7696" s="18"/>
    </row>
    <row r="7697" spans="25:25" x14ac:dyDescent="0.2">
      <c r="Y7697" s="18"/>
    </row>
    <row r="7698" spans="25:25" x14ac:dyDescent="0.2">
      <c r="Y7698" s="18"/>
    </row>
    <row r="7699" spans="25:25" x14ac:dyDescent="0.2">
      <c r="Y7699" s="18"/>
    </row>
    <row r="7700" spans="25:25" x14ac:dyDescent="0.2">
      <c r="Y7700" s="18"/>
    </row>
    <row r="7701" spans="25:25" x14ac:dyDescent="0.2">
      <c r="Y7701" s="18"/>
    </row>
    <row r="7702" spans="25:25" x14ac:dyDescent="0.2">
      <c r="Y7702" s="18"/>
    </row>
    <row r="7703" spans="25:25" x14ac:dyDescent="0.2">
      <c r="Y7703" s="18"/>
    </row>
    <row r="7704" spans="25:25" x14ac:dyDescent="0.2">
      <c r="Y7704" s="18"/>
    </row>
    <row r="7705" spans="25:25" x14ac:dyDescent="0.2">
      <c r="Y7705" s="18"/>
    </row>
    <row r="7706" spans="25:25" x14ac:dyDescent="0.2">
      <c r="Y7706" s="18"/>
    </row>
    <row r="7707" spans="25:25" x14ac:dyDescent="0.2">
      <c r="Y7707" s="18"/>
    </row>
    <row r="7708" spans="25:25" x14ac:dyDescent="0.2">
      <c r="Y7708" s="18"/>
    </row>
    <row r="7709" spans="25:25" x14ac:dyDescent="0.2">
      <c r="Y7709" s="18"/>
    </row>
    <row r="7710" spans="25:25" x14ac:dyDescent="0.2">
      <c r="Y7710" s="18"/>
    </row>
    <row r="7711" spans="25:25" x14ac:dyDescent="0.2">
      <c r="Y7711" s="18"/>
    </row>
    <row r="7712" spans="25:25" x14ac:dyDescent="0.2">
      <c r="Y7712" s="18"/>
    </row>
    <row r="7713" spans="25:25" x14ac:dyDescent="0.2">
      <c r="Y7713" s="18"/>
    </row>
    <row r="7714" spans="25:25" x14ac:dyDescent="0.2">
      <c r="Y7714" s="18"/>
    </row>
    <row r="7715" spans="25:25" x14ac:dyDescent="0.2">
      <c r="Y7715" s="18"/>
    </row>
    <row r="7716" spans="25:25" x14ac:dyDescent="0.2">
      <c r="Y7716" s="18"/>
    </row>
    <row r="7717" spans="25:25" x14ac:dyDescent="0.2">
      <c r="Y7717" s="18"/>
    </row>
    <row r="7718" spans="25:25" x14ac:dyDescent="0.2">
      <c r="Y7718" s="18"/>
    </row>
    <row r="7719" spans="25:25" x14ac:dyDescent="0.2">
      <c r="Y7719" s="18"/>
    </row>
    <row r="7720" spans="25:25" x14ac:dyDescent="0.2">
      <c r="Y7720" s="18"/>
    </row>
    <row r="7721" spans="25:25" x14ac:dyDescent="0.2">
      <c r="Y7721" s="18"/>
    </row>
    <row r="7722" spans="25:25" x14ac:dyDescent="0.2">
      <c r="Y7722" s="18"/>
    </row>
    <row r="7723" spans="25:25" x14ac:dyDescent="0.2">
      <c r="Y7723" s="18"/>
    </row>
    <row r="7724" spans="25:25" x14ac:dyDescent="0.2">
      <c r="Y7724" s="18"/>
    </row>
    <row r="7725" spans="25:25" x14ac:dyDescent="0.2">
      <c r="Y7725" s="18"/>
    </row>
    <row r="7726" spans="25:25" x14ac:dyDescent="0.2">
      <c r="Y7726" s="18"/>
    </row>
    <row r="7727" spans="25:25" x14ac:dyDescent="0.2">
      <c r="Y7727" s="18"/>
    </row>
    <row r="7728" spans="25:25" x14ac:dyDescent="0.2">
      <c r="Y7728" s="18"/>
    </row>
    <row r="7729" spans="25:25" x14ac:dyDescent="0.2">
      <c r="Y7729" s="18"/>
    </row>
    <row r="7730" spans="25:25" x14ac:dyDescent="0.2">
      <c r="Y7730" s="18"/>
    </row>
    <row r="7731" spans="25:25" x14ac:dyDescent="0.2">
      <c r="Y7731" s="18"/>
    </row>
    <row r="7732" spans="25:25" x14ac:dyDescent="0.2">
      <c r="Y7732" s="18"/>
    </row>
    <row r="7733" spans="25:25" x14ac:dyDescent="0.2">
      <c r="Y7733" s="18"/>
    </row>
    <row r="7734" spans="25:25" x14ac:dyDescent="0.2">
      <c r="Y7734" s="18"/>
    </row>
    <row r="7735" spans="25:25" x14ac:dyDescent="0.2">
      <c r="Y7735" s="18"/>
    </row>
    <row r="7736" spans="25:25" x14ac:dyDescent="0.2">
      <c r="Y7736" s="18"/>
    </row>
    <row r="7737" spans="25:25" x14ac:dyDescent="0.2">
      <c r="Y7737" s="18"/>
    </row>
    <row r="7738" spans="25:25" x14ac:dyDescent="0.2">
      <c r="Y7738" s="18"/>
    </row>
    <row r="7739" spans="25:25" x14ac:dyDescent="0.2">
      <c r="Y7739" s="18"/>
    </row>
    <row r="7740" spans="25:25" x14ac:dyDescent="0.2">
      <c r="Y7740" s="18"/>
    </row>
    <row r="7741" spans="25:25" x14ac:dyDescent="0.2">
      <c r="Y7741" s="18"/>
    </row>
    <row r="7742" spans="25:25" x14ac:dyDescent="0.2">
      <c r="Y7742" s="18"/>
    </row>
    <row r="7743" spans="25:25" x14ac:dyDescent="0.2">
      <c r="Y7743" s="18"/>
    </row>
    <row r="7744" spans="25:25" x14ac:dyDescent="0.2">
      <c r="Y7744" s="18"/>
    </row>
    <row r="7745" spans="25:25" x14ac:dyDescent="0.2">
      <c r="Y7745" s="18"/>
    </row>
    <row r="7746" spans="25:25" x14ac:dyDescent="0.2">
      <c r="Y7746" s="18"/>
    </row>
    <row r="7747" spans="25:25" x14ac:dyDescent="0.2">
      <c r="Y7747" s="18"/>
    </row>
    <row r="7748" spans="25:25" x14ac:dyDescent="0.2">
      <c r="Y7748" s="18"/>
    </row>
    <row r="7749" spans="25:25" x14ac:dyDescent="0.2">
      <c r="Y7749" s="18"/>
    </row>
    <row r="7750" spans="25:25" x14ac:dyDescent="0.2">
      <c r="Y7750" s="18"/>
    </row>
    <row r="7751" spans="25:25" x14ac:dyDescent="0.2">
      <c r="Y7751" s="18"/>
    </row>
    <row r="7752" spans="25:25" x14ac:dyDescent="0.2">
      <c r="Y7752" s="18"/>
    </row>
    <row r="7753" spans="25:25" x14ac:dyDescent="0.2">
      <c r="Y7753" s="18"/>
    </row>
    <row r="7754" spans="25:25" x14ac:dyDescent="0.2">
      <c r="Y7754" s="18"/>
    </row>
    <row r="7755" spans="25:25" x14ac:dyDescent="0.2">
      <c r="Y7755" s="18"/>
    </row>
    <row r="7756" spans="25:25" x14ac:dyDescent="0.2">
      <c r="Y7756" s="18"/>
    </row>
    <row r="7757" spans="25:25" x14ac:dyDescent="0.2">
      <c r="Y7757" s="18"/>
    </row>
    <row r="7758" spans="25:25" x14ac:dyDescent="0.2">
      <c r="Y7758" s="18"/>
    </row>
    <row r="7759" spans="25:25" x14ac:dyDescent="0.2">
      <c r="Y7759" s="18"/>
    </row>
    <row r="7760" spans="25:25" x14ac:dyDescent="0.2">
      <c r="Y7760" s="18"/>
    </row>
    <row r="7761" spans="25:25" x14ac:dyDescent="0.2">
      <c r="Y7761" s="18"/>
    </row>
    <row r="7762" spans="25:25" x14ac:dyDescent="0.2">
      <c r="Y7762" s="18"/>
    </row>
    <row r="7763" spans="25:25" x14ac:dyDescent="0.2">
      <c r="Y7763" s="18"/>
    </row>
    <row r="7764" spans="25:25" x14ac:dyDescent="0.2">
      <c r="Y7764" s="18"/>
    </row>
    <row r="7765" spans="25:25" x14ac:dyDescent="0.2">
      <c r="Y7765" s="18"/>
    </row>
    <row r="7766" spans="25:25" x14ac:dyDescent="0.2">
      <c r="Y7766" s="18"/>
    </row>
    <row r="7767" spans="25:25" x14ac:dyDescent="0.2">
      <c r="Y7767" s="18"/>
    </row>
    <row r="7768" spans="25:25" x14ac:dyDescent="0.2">
      <c r="Y7768" s="18"/>
    </row>
    <row r="7769" spans="25:25" x14ac:dyDescent="0.2">
      <c r="Y7769" s="18"/>
    </row>
    <row r="7770" spans="25:25" x14ac:dyDescent="0.2">
      <c r="Y7770" s="18"/>
    </row>
    <row r="7771" spans="25:25" x14ac:dyDescent="0.2">
      <c r="Y7771" s="18"/>
    </row>
    <row r="7772" spans="25:25" x14ac:dyDescent="0.2">
      <c r="Y7772" s="18"/>
    </row>
    <row r="7773" spans="25:25" x14ac:dyDescent="0.2">
      <c r="Y7773" s="18"/>
    </row>
    <row r="7774" spans="25:25" x14ac:dyDescent="0.2">
      <c r="Y7774" s="18"/>
    </row>
    <row r="7775" spans="25:25" x14ac:dyDescent="0.2">
      <c r="Y7775" s="18"/>
    </row>
    <row r="7776" spans="25:25" x14ac:dyDescent="0.2">
      <c r="Y7776" s="18"/>
    </row>
    <row r="7777" spans="25:25" x14ac:dyDescent="0.2">
      <c r="Y7777" s="18"/>
    </row>
    <row r="7778" spans="25:25" x14ac:dyDescent="0.2">
      <c r="Y7778" s="18"/>
    </row>
    <row r="7779" spans="25:25" x14ac:dyDescent="0.2">
      <c r="Y7779" s="18"/>
    </row>
    <row r="7780" spans="25:25" x14ac:dyDescent="0.2">
      <c r="Y7780" s="18"/>
    </row>
    <row r="7781" spans="25:25" x14ac:dyDescent="0.2">
      <c r="Y7781" s="18"/>
    </row>
    <row r="7782" spans="25:25" x14ac:dyDescent="0.2">
      <c r="Y7782" s="18"/>
    </row>
    <row r="7783" spans="25:25" x14ac:dyDescent="0.2">
      <c r="Y7783" s="18"/>
    </row>
    <row r="7784" spans="25:25" x14ac:dyDescent="0.2">
      <c r="Y7784" s="18"/>
    </row>
    <row r="7785" spans="25:25" x14ac:dyDescent="0.2">
      <c r="Y7785" s="18"/>
    </row>
    <row r="7786" spans="25:25" x14ac:dyDescent="0.2">
      <c r="Y7786" s="18"/>
    </row>
    <row r="7787" spans="25:25" x14ac:dyDescent="0.2">
      <c r="Y7787" s="18"/>
    </row>
    <row r="7788" spans="25:25" x14ac:dyDescent="0.2">
      <c r="Y7788" s="18"/>
    </row>
    <row r="7789" spans="25:25" x14ac:dyDescent="0.2">
      <c r="Y7789" s="18"/>
    </row>
    <row r="7790" spans="25:25" x14ac:dyDescent="0.2">
      <c r="Y7790" s="18"/>
    </row>
    <row r="7791" spans="25:25" x14ac:dyDescent="0.2">
      <c r="Y7791" s="18"/>
    </row>
    <row r="7792" spans="25:25" x14ac:dyDescent="0.2">
      <c r="Y7792" s="18"/>
    </row>
    <row r="7793" spans="25:25" x14ac:dyDescent="0.2">
      <c r="Y7793" s="18"/>
    </row>
    <row r="7794" spans="25:25" x14ac:dyDescent="0.2">
      <c r="Y7794" s="18"/>
    </row>
    <row r="7795" spans="25:25" x14ac:dyDescent="0.2">
      <c r="Y7795" s="18"/>
    </row>
    <row r="7796" spans="25:25" x14ac:dyDescent="0.2">
      <c r="Y7796" s="18"/>
    </row>
    <row r="7797" spans="25:25" x14ac:dyDescent="0.2">
      <c r="Y7797" s="18"/>
    </row>
    <row r="7798" spans="25:25" x14ac:dyDescent="0.2">
      <c r="Y7798" s="18"/>
    </row>
    <row r="7799" spans="25:25" x14ac:dyDescent="0.2">
      <c r="Y7799" s="18"/>
    </row>
    <row r="7800" spans="25:25" x14ac:dyDescent="0.2">
      <c r="Y7800" s="18"/>
    </row>
    <row r="7801" spans="25:25" x14ac:dyDescent="0.2">
      <c r="Y7801" s="18"/>
    </row>
    <row r="7802" spans="25:25" x14ac:dyDescent="0.2">
      <c r="Y7802" s="18"/>
    </row>
    <row r="7803" spans="25:25" x14ac:dyDescent="0.2">
      <c r="Y7803" s="18"/>
    </row>
    <row r="7804" spans="25:25" x14ac:dyDescent="0.2">
      <c r="Y7804" s="18"/>
    </row>
    <row r="7805" spans="25:25" x14ac:dyDescent="0.2">
      <c r="Y7805" s="18"/>
    </row>
    <row r="7806" spans="25:25" x14ac:dyDescent="0.2">
      <c r="Y7806" s="18"/>
    </row>
    <row r="7807" spans="25:25" x14ac:dyDescent="0.2">
      <c r="Y7807" s="18"/>
    </row>
    <row r="7808" spans="25:25" x14ac:dyDescent="0.2">
      <c r="Y7808" s="18"/>
    </row>
    <row r="7809" spans="25:25" x14ac:dyDescent="0.2">
      <c r="Y7809" s="18"/>
    </row>
    <row r="7810" spans="25:25" x14ac:dyDescent="0.2">
      <c r="Y7810" s="18"/>
    </row>
    <row r="7811" spans="25:25" x14ac:dyDescent="0.2">
      <c r="Y7811" s="18"/>
    </row>
    <row r="7812" spans="25:25" x14ac:dyDescent="0.2">
      <c r="Y7812" s="18"/>
    </row>
    <row r="7813" spans="25:25" x14ac:dyDescent="0.2">
      <c r="Y7813" s="18"/>
    </row>
    <row r="7814" spans="25:25" x14ac:dyDescent="0.2">
      <c r="Y7814" s="18"/>
    </row>
    <row r="7815" spans="25:25" x14ac:dyDescent="0.2">
      <c r="Y7815" s="18"/>
    </row>
    <row r="7816" spans="25:25" x14ac:dyDescent="0.2">
      <c r="Y7816" s="18"/>
    </row>
    <row r="7817" spans="25:25" x14ac:dyDescent="0.2">
      <c r="Y7817" s="18"/>
    </row>
    <row r="7818" spans="25:25" x14ac:dyDescent="0.2">
      <c r="Y7818" s="18"/>
    </row>
    <row r="7819" spans="25:25" x14ac:dyDescent="0.2">
      <c r="Y7819" s="18"/>
    </row>
    <row r="7820" spans="25:25" x14ac:dyDescent="0.2">
      <c r="Y7820" s="18"/>
    </row>
    <row r="7821" spans="25:25" x14ac:dyDescent="0.2">
      <c r="Y7821" s="18"/>
    </row>
    <row r="7822" spans="25:25" x14ac:dyDescent="0.2">
      <c r="Y7822" s="18"/>
    </row>
    <row r="7823" spans="25:25" x14ac:dyDescent="0.2">
      <c r="Y7823" s="18"/>
    </row>
    <row r="7824" spans="25:25" x14ac:dyDescent="0.2">
      <c r="Y7824" s="18"/>
    </row>
    <row r="7825" spans="25:25" x14ac:dyDescent="0.2">
      <c r="Y7825" s="18"/>
    </row>
    <row r="7826" spans="25:25" x14ac:dyDescent="0.2">
      <c r="Y7826" s="18"/>
    </row>
    <row r="7827" spans="25:25" x14ac:dyDescent="0.2">
      <c r="Y7827" s="18"/>
    </row>
    <row r="7828" spans="25:25" x14ac:dyDescent="0.2">
      <c r="Y7828" s="18"/>
    </row>
    <row r="7829" spans="25:25" x14ac:dyDescent="0.2">
      <c r="Y7829" s="18"/>
    </row>
    <row r="7830" spans="25:25" x14ac:dyDescent="0.2">
      <c r="Y7830" s="18"/>
    </row>
    <row r="7831" spans="25:25" x14ac:dyDescent="0.2">
      <c r="Y7831" s="18"/>
    </row>
    <row r="7832" spans="25:25" x14ac:dyDescent="0.2">
      <c r="Y7832" s="18"/>
    </row>
    <row r="7833" spans="25:25" x14ac:dyDescent="0.2">
      <c r="Y7833" s="18"/>
    </row>
    <row r="7834" spans="25:25" x14ac:dyDescent="0.2">
      <c r="Y7834" s="18"/>
    </row>
    <row r="7835" spans="25:25" x14ac:dyDescent="0.2">
      <c r="Y7835" s="18"/>
    </row>
    <row r="7836" spans="25:25" x14ac:dyDescent="0.2">
      <c r="Y7836" s="18"/>
    </row>
    <row r="7837" spans="25:25" x14ac:dyDescent="0.2">
      <c r="Y7837" s="18"/>
    </row>
    <row r="7838" spans="25:25" x14ac:dyDescent="0.2">
      <c r="Y7838" s="18"/>
    </row>
    <row r="7839" spans="25:25" x14ac:dyDescent="0.2">
      <c r="Y7839" s="18"/>
    </row>
    <row r="7840" spans="25:25" x14ac:dyDescent="0.2">
      <c r="Y7840" s="18"/>
    </row>
    <row r="7841" spans="25:25" x14ac:dyDescent="0.2">
      <c r="Y7841" s="18"/>
    </row>
    <row r="7842" spans="25:25" x14ac:dyDescent="0.2">
      <c r="Y7842" s="18"/>
    </row>
    <row r="7843" spans="25:25" x14ac:dyDescent="0.2">
      <c r="Y7843" s="18"/>
    </row>
    <row r="7844" spans="25:25" x14ac:dyDescent="0.2">
      <c r="Y7844" s="18"/>
    </row>
    <row r="7845" spans="25:25" x14ac:dyDescent="0.2">
      <c r="Y7845" s="18"/>
    </row>
    <row r="7846" spans="25:25" x14ac:dyDescent="0.2">
      <c r="Y7846" s="18"/>
    </row>
    <row r="7847" spans="25:25" x14ac:dyDescent="0.2">
      <c r="Y7847" s="18"/>
    </row>
    <row r="7848" spans="25:25" x14ac:dyDescent="0.2">
      <c r="Y7848" s="18"/>
    </row>
    <row r="7849" spans="25:25" x14ac:dyDescent="0.2">
      <c r="Y7849" s="18"/>
    </row>
    <row r="7850" spans="25:25" x14ac:dyDescent="0.2">
      <c r="Y7850" s="18"/>
    </row>
    <row r="7851" spans="25:25" x14ac:dyDescent="0.2">
      <c r="Y7851" s="18"/>
    </row>
    <row r="7852" spans="25:25" x14ac:dyDescent="0.2">
      <c r="Y7852" s="18"/>
    </row>
    <row r="7853" spans="25:25" x14ac:dyDescent="0.2">
      <c r="Y7853" s="18"/>
    </row>
    <row r="7854" spans="25:25" x14ac:dyDescent="0.2">
      <c r="Y7854" s="18"/>
    </row>
    <row r="7855" spans="25:25" x14ac:dyDescent="0.2">
      <c r="Y7855" s="18"/>
    </row>
    <row r="7856" spans="25:25" x14ac:dyDescent="0.2">
      <c r="Y7856" s="18"/>
    </row>
    <row r="7857" spans="25:25" x14ac:dyDescent="0.2">
      <c r="Y7857" s="18"/>
    </row>
    <row r="7858" spans="25:25" x14ac:dyDescent="0.2">
      <c r="Y7858" s="18"/>
    </row>
    <row r="7859" spans="25:25" x14ac:dyDescent="0.2">
      <c r="Y7859" s="18"/>
    </row>
    <row r="7860" spans="25:25" x14ac:dyDescent="0.2">
      <c r="Y7860" s="18"/>
    </row>
    <row r="7861" spans="25:25" x14ac:dyDescent="0.2">
      <c r="Y7861" s="18"/>
    </row>
    <row r="7862" spans="25:25" x14ac:dyDescent="0.2">
      <c r="Y7862" s="18"/>
    </row>
    <row r="7863" spans="25:25" x14ac:dyDescent="0.2">
      <c r="Y7863" s="18"/>
    </row>
    <row r="7864" spans="25:25" x14ac:dyDescent="0.2">
      <c r="Y7864" s="18"/>
    </row>
    <row r="7865" spans="25:25" x14ac:dyDescent="0.2">
      <c r="Y7865" s="18"/>
    </row>
    <row r="7866" spans="25:25" x14ac:dyDescent="0.2">
      <c r="Y7866" s="18"/>
    </row>
    <row r="7867" spans="25:25" x14ac:dyDescent="0.2">
      <c r="Y7867" s="18"/>
    </row>
    <row r="7868" spans="25:25" x14ac:dyDescent="0.2">
      <c r="Y7868" s="18"/>
    </row>
    <row r="7869" spans="25:25" x14ac:dyDescent="0.2">
      <c r="Y7869" s="18"/>
    </row>
    <row r="7870" spans="25:25" x14ac:dyDescent="0.2">
      <c r="Y7870" s="18"/>
    </row>
    <row r="7871" spans="25:25" x14ac:dyDescent="0.2">
      <c r="Y7871" s="18"/>
    </row>
    <row r="7872" spans="25:25" x14ac:dyDescent="0.2">
      <c r="Y7872" s="18"/>
    </row>
    <row r="7873" spans="25:25" x14ac:dyDescent="0.2">
      <c r="Y7873" s="18"/>
    </row>
    <row r="7874" spans="25:25" x14ac:dyDescent="0.2">
      <c r="Y7874" s="18"/>
    </row>
    <row r="7875" spans="25:25" x14ac:dyDescent="0.2">
      <c r="Y7875" s="18"/>
    </row>
    <row r="7876" spans="25:25" x14ac:dyDescent="0.2">
      <c r="Y7876" s="18"/>
    </row>
    <row r="7877" spans="25:25" x14ac:dyDescent="0.2">
      <c r="Y7877" s="18"/>
    </row>
    <row r="7878" spans="25:25" x14ac:dyDescent="0.2">
      <c r="Y7878" s="18"/>
    </row>
    <row r="7879" spans="25:25" x14ac:dyDescent="0.2">
      <c r="Y7879" s="18"/>
    </row>
    <row r="7880" spans="25:25" x14ac:dyDescent="0.2">
      <c r="Y7880" s="18"/>
    </row>
    <row r="7881" spans="25:25" x14ac:dyDescent="0.2">
      <c r="Y7881" s="18"/>
    </row>
    <row r="7882" spans="25:25" x14ac:dyDescent="0.2">
      <c r="Y7882" s="18"/>
    </row>
    <row r="7883" spans="25:25" x14ac:dyDescent="0.2">
      <c r="Y7883" s="18"/>
    </row>
    <row r="7884" spans="25:25" x14ac:dyDescent="0.2">
      <c r="Y7884" s="18"/>
    </row>
    <row r="7885" spans="25:25" x14ac:dyDescent="0.2">
      <c r="Y7885" s="18"/>
    </row>
    <row r="7886" spans="25:25" x14ac:dyDescent="0.2">
      <c r="Y7886" s="18"/>
    </row>
    <row r="7887" spans="25:25" x14ac:dyDescent="0.2">
      <c r="Y7887" s="18"/>
    </row>
    <row r="7888" spans="25:25" x14ac:dyDescent="0.2">
      <c r="Y7888" s="18"/>
    </row>
    <row r="7889" spans="25:25" x14ac:dyDescent="0.2">
      <c r="Y7889" s="18"/>
    </row>
    <row r="7890" spans="25:25" x14ac:dyDescent="0.2">
      <c r="Y7890" s="18"/>
    </row>
    <row r="7891" spans="25:25" x14ac:dyDescent="0.2">
      <c r="Y7891" s="18"/>
    </row>
    <row r="7892" spans="25:25" x14ac:dyDescent="0.2">
      <c r="Y7892" s="18"/>
    </row>
    <row r="7893" spans="25:25" x14ac:dyDescent="0.2">
      <c r="Y7893" s="18"/>
    </row>
    <row r="7894" spans="25:25" x14ac:dyDescent="0.2">
      <c r="Y7894" s="18"/>
    </row>
    <row r="7895" spans="25:25" x14ac:dyDescent="0.2">
      <c r="Y7895" s="18"/>
    </row>
    <row r="7896" spans="25:25" x14ac:dyDescent="0.2">
      <c r="Y7896" s="18"/>
    </row>
    <row r="7897" spans="25:25" x14ac:dyDescent="0.2">
      <c r="Y7897" s="18"/>
    </row>
    <row r="7898" spans="25:25" x14ac:dyDescent="0.2">
      <c r="Y7898" s="18"/>
    </row>
    <row r="7899" spans="25:25" x14ac:dyDescent="0.2">
      <c r="Y7899" s="18"/>
    </row>
    <row r="7900" spans="25:25" x14ac:dyDescent="0.2">
      <c r="Y7900" s="18"/>
    </row>
    <row r="7901" spans="25:25" x14ac:dyDescent="0.2">
      <c r="Y7901" s="18"/>
    </row>
    <row r="7902" spans="25:25" x14ac:dyDescent="0.2">
      <c r="Y7902" s="18"/>
    </row>
    <row r="7903" spans="25:25" x14ac:dyDescent="0.2">
      <c r="Y7903" s="18"/>
    </row>
    <row r="7904" spans="25:25" x14ac:dyDescent="0.2">
      <c r="Y7904" s="18"/>
    </row>
    <row r="7905" spans="25:25" x14ac:dyDescent="0.2">
      <c r="Y7905" s="18"/>
    </row>
    <row r="7906" spans="25:25" x14ac:dyDescent="0.2">
      <c r="Y7906" s="18"/>
    </row>
    <row r="7907" spans="25:25" x14ac:dyDescent="0.2">
      <c r="Y7907" s="18"/>
    </row>
    <row r="7908" spans="25:25" x14ac:dyDescent="0.2">
      <c r="Y7908" s="18"/>
    </row>
    <row r="7909" spans="25:25" x14ac:dyDescent="0.2">
      <c r="Y7909" s="18"/>
    </row>
    <row r="7910" spans="25:25" x14ac:dyDescent="0.2">
      <c r="Y7910" s="18"/>
    </row>
    <row r="7911" spans="25:25" x14ac:dyDescent="0.2">
      <c r="Y7911" s="18"/>
    </row>
    <row r="7912" spans="25:25" x14ac:dyDescent="0.2">
      <c r="Y7912" s="18"/>
    </row>
    <row r="7913" spans="25:25" x14ac:dyDescent="0.2">
      <c r="Y7913" s="18"/>
    </row>
    <row r="7914" spans="25:25" x14ac:dyDescent="0.2">
      <c r="Y7914" s="18"/>
    </row>
    <row r="7915" spans="25:25" x14ac:dyDescent="0.2">
      <c r="Y7915" s="18"/>
    </row>
    <row r="7916" spans="25:25" x14ac:dyDescent="0.2">
      <c r="Y7916" s="18"/>
    </row>
    <row r="7917" spans="25:25" x14ac:dyDescent="0.2">
      <c r="Y7917" s="18"/>
    </row>
    <row r="7918" spans="25:25" x14ac:dyDescent="0.2">
      <c r="Y7918" s="18"/>
    </row>
    <row r="7919" spans="25:25" x14ac:dyDescent="0.2">
      <c r="Y7919" s="18"/>
    </row>
    <row r="7920" spans="25:25" x14ac:dyDescent="0.2">
      <c r="Y7920" s="18"/>
    </row>
    <row r="7921" spans="25:25" x14ac:dyDescent="0.2">
      <c r="Y7921" s="18"/>
    </row>
    <row r="7922" spans="25:25" x14ac:dyDescent="0.2">
      <c r="Y7922" s="18"/>
    </row>
    <row r="7923" spans="25:25" x14ac:dyDescent="0.2">
      <c r="Y7923" s="18"/>
    </row>
    <row r="7924" spans="25:25" x14ac:dyDescent="0.2">
      <c r="Y7924" s="18"/>
    </row>
    <row r="7925" spans="25:25" x14ac:dyDescent="0.2">
      <c r="Y7925" s="18"/>
    </row>
    <row r="7926" spans="25:25" x14ac:dyDescent="0.2">
      <c r="Y7926" s="18"/>
    </row>
    <row r="7927" spans="25:25" x14ac:dyDescent="0.2">
      <c r="Y7927" s="18"/>
    </row>
    <row r="7928" spans="25:25" x14ac:dyDescent="0.2">
      <c r="Y7928" s="18"/>
    </row>
    <row r="7929" spans="25:25" x14ac:dyDescent="0.2">
      <c r="Y7929" s="18"/>
    </row>
    <row r="7930" spans="25:25" x14ac:dyDescent="0.2">
      <c r="Y7930" s="18"/>
    </row>
    <row r="7931" spans="25:25" x14ac:dyDescent="0.2">
      <c r="Y7931" s="18"/>
    </row>
    <row r="7932" spans="25:25" x14ac:dyDescent="0.2">
      <c r="Y7932" s="18"/>
    </row>
    <row r="7933" spans="25:25" x14ac:dyDescent="0.2">
      <c r="Y7933" s="18"/>
    </row>
    <row r="7934" spans="25:25" x14ac:dyDescent="0.2">
      <c r="Y7934" s="18"/>
    </row>
    <row r="7935" spans="25:25" x14ac:dyDescent="0.2">
      <c r="Y7935" s="18"/>
    </row>
    <row r="7936" spans="25:25" x14ac:dyDescent="0.2">
      <c r="Y7936" s="18"/>
    </row>
    <row r="7937" spans="25:25" x14ac:dyDescent="0.2">
      <c r="Y7937" s="18"/>
    </row>
    <row r="7938" spans="25:25" x14ac:dyDescent="0.2">
      <c r="Y7938" s="18"/>
    </row>
    <row r="7939" spans="25:25" x14ac:dyDescent="0.2">
      <c r="Y7939" s="18"/>
    </row>
    <row r="7940" spans="25:25" x14ac:dyDescent="0.2">
      <c r="Y7940" s="18"/>
    </row>
    <row r="7941" spans="25:25" x14ac:dyDescent="0.2">
      <c r="Y7941" s="18"/>
    </row>
    <row r="7942" spans="25:25" x14ac:dyDescent="0.2">
      <c r="Y7942" s="18"/>
    </row>
    <row r="7943" spans="25:25" x14ac:dyDescent="0.2">
      <c r="Y7943" s="18"/>
    </row>
    <row r="7944" spans="25:25" x14ac:dyDescent="0.2">
      <c r="Y7944" s="18"/>
    </row>
    <row r="7945" spans="25:25" x14ac:dyDescent="0.2">
      <c r="Y7945" s="18"/>
    </row>
    <row r="7946" spans="25:25" x14ac:dyDescent="0.2">
      <c r="Y7946" s="18"/>
    </row>
    <row r="7947" spans="25:25" x14ac:dyDescent="0.2">
      <c r="Y7947" s="18"/>
    </row>
    <row r="7948" spans="25:25" x14ac:dyDescent="0.2">
      <c r="Y7948" s="18"/>
    </row>
    <row r="7949" spans="25:25" x14ac:dyDescent="0.2">
      <c r="Y7949" s="18"/>
    </row>
    <row r="7950" spans="25:25" x14ac:dyDescent="0.2">
      <c r="Y7950" s="18"/>
    </row>
    <row r="7951" spans="25:25" x14ac:dyDescent="0.2">
      <c r="Y7951" s="18"/>
    </row>
    <row r="7952" spans="25:25" x14ac:dyDescent="0.2">
      <c r="Y7952" s="18"/>
    </row>
    <row r="7953" spans="25:25" x14ac:dyDescent="0.2">
      <c r="Y7953" s="18"/>
    </row>
    <row r="7954" spans="25:25" x14ac:dyDescent="0.2">
      <c r="Y7954" s="18"/>
    </row>
    <row r="7955" spans="25:25" x14ac:dyDescent="0.2">
      <c r="Y7955" s="18"/>
    </row>
    <row r="7956" spans="25:25" x14ac:dyDescent="0.2">
      <c r="Y7956" s="18"/>
    </row>
    <row r="7957" spans="25:25" x14ac:dyDescent="0.2">
      <c r="Y7957" s="18"/>
    </row>
    <row r="7958" spans="25:25" x14ac:dyDescent="0.2">
      <c r="Y7958" s="18"/>
    </row>
    <row r="7959" spans="25:25" x14ac:dyDescent="0.2">
      <c r="Y7959" s="18"/>
    </row>
    <row r="7960" spans="25:25" x14ac:dyDescent="0.2">
      <c r="Y7960" s="18"/>
    </row>
    <row r="7961" spans="25:25" x14ac:dyDescent="0.2">
      <c r="Y7961" s="18"/>
    </row>
    <row r="7962" spans="25:25" x14ac:dyDescent="0.2">
      <c r="Y7962" s="18"/>
    </row>
    <row r="7963" spans="25:25" x14ac:dyDescent="0.2">
      <c r="Y7963" s="18"/>
    </row>
    <row r="7964" spans="25:25" x14ac:dyDescent="0.2">
      <c r="Y7964" s="18"/>
    </row>
    <row r="7965" spans="25:25" x14ac:dyDescent="0.2">
      <c r="Y7965" s="18"/>
    </row>
    <row r="7966" spans="25:25" x14ac:dyDescent="0.2">
      <c r="Y7966" s="18"/>
    </row>
    <row r="7967" spans="25:25" x14ac:dyDescent="0.2">
      <c r="Y7967" s="18"/>
    </row>
    <row r="7968" spans="25:25" x14ac:dyDescent="0.2">
      <c r="Y7968" s="18"/>
    </row>
    <row r="7969" spans="25:25" x14ac:dyDescent="0.2">
      <c r="Y7969" s="18"/>
    </row>
    <row r="7970" spans="25:25" x14ac:dyDescent="0.2">
      <c r="Y7970" s="18"/>
    </row>
    <row r="7971" spans="25:25" x14ac:dyDescent="0.2">
      <c r="Y7971" s="18"/>
    </row>
    <row r="7972" spans="25:25" x14ac:dyDescent="0.2">
      <c r="Y7972" s="18"/>
    </row>
    <row r="7973" spans="25:25" x14ac:dyDescent="0.2">
      <c r="Y7973" s="18"/>
    </row>
    <row r="7974" spans="25:25" x14ac:dyDescent="0.2">
      <c r="Y7974" s="18"/>
    </row>
    <row r="7975" spans="25:25" x14ac:dyDescent="0.2">
      <c r="Y7975" s="18"/>
    </row>
    <row r="7976" spans="25:25" x14ac:dyDescent="0.2">
      <c r="Y7976" s="18"/>
    </row>
    <row r="7977" spans="25:25" x14ac:dyDescent="0.2">
      <c r="Y7977" s="18"/>
    </row>
    <row r="7978" spans="25:25" x14ac:dyDescent="0.2">
      <c r="Y7978" s="18"/>
    </row>
    <row r="7979" spans="25:25" x14ac:dyDescent="0.2">
      <c r="Y7979" s="18"/>
    </row>
    <row r="7980" spans="25:25" x14ac:dyDescent="0.2">
      <c r="Y7980" s="18"/>
    </row>
    <row r="7981" spans="25:25" x14ac:dyDescent="0.2">
      <c r="Y7981" s="18"/>
    </row>
    <row r="7982" spans="25:25" x14ac:dyDescent="0.2">
      <c r="Y7982" s="18"/>
    </row>
    <row r="7983" spans="25:25" x14ac:dyDescent="0.2">
      <c r="Y7983" s="18"/>
    </row>
    <row r="7984" spans="25:25" x14ac:dyDescent="0.2">
      <c r="Y7984" s="18"/>
    </row>
    <row r="7985" spans="25:25" x14ac:dyDescent="0.2">
      <c r="Y7985" s="18"/>
    </row>
    <row r="7986" spans="25:25" x14ac:dyDescent="0.2">
      <c r="Y7986" s="18"/>
    </row>
    <row r="7987" spans="25:25" x14ac:dyDescent="0.2">
      <c r="Y7987" s="18"/>
    </row>
    <row r="7988" spans="25:25" x14ac:dyDescent="0.2">
      <c r="Y7988" s="18"/>
    </row>
    <row r="7989" spans="25:25" x14ac:dyDescent="0.2">
      <c r="Y7989" s="18"/>
    </row>
    <row r="7990" spans="25:25" x14ac:dyDescent="0.2">
      <c r="Y7990" s="18"/>
    </row>
    <row r="7991" spans="25:25" x14ac:dyDescent="0.2">
      <c r="Y7991" s="18"/>
    </row>
    <row r="7992" spans="25:25" x14ac:dyDescent="0.2">
      <c r="Y7992" s="18"/>
    </row>
    <row r="7993" spans="25:25" x14ac:dyDescent="0.2">
      <c r="Y7993" s="18"/>
    </row>
    <row r="7994" spans="25:25" x14ac:dyDescent="0.2">
      <c r="Y7994" s="18"/>
    </row>
    <row r="7995" spans="25:25" x14ac:dyDescent="0.2">
      <c r="Y7995" s="18"/>
    </row>
    <row r="7996" spans="25:25" x14ac:dyDescent="0.2">
      <c r="Y7996" s="18"/>
    </row>
    <row r="7997" spans="25:25" x14ac:dyDescent="0.2">
      <c r="Y7997" s="18"/>
    </row>
    <row r="7998" spans="25:25" x14ac:dyDescent="0.2">
      <c r="Y7998" s="18"/>
    </row>
    <row r="7999" spans="25:25" x14ac:dyDescent="0.2">
      <c r="Y7999" s="18"/>
    </row>
    <row r="8000" spans="25:25" x14ac:dyDescent="0.2">
      <c r="Y8000" s="18"/>
    </row>
    <row r="8001" spans="25:25" x14ac:dyDescent="0.2">
      <c r="Y8001" s="18"/>
    </row>
    <row r="8002" spans="25:25" x14ac:dyDescent="0.2">
      <c r="Y8002" s="18"/>
    </row>
    <row r="8003" spans="25:25" x14ac:dyDescent="0.2">
      <c r="Y8003" s="18"/>
    </row>
    <row r="8004" spans="25:25" x14ac:dyDescent="0.2">
      <c r="Y8004" s="18"/>
    </row>
    <row r="8005" spans="25:25" x14ac:dyDescent="0.2">
      <c r="Y8005" s="18"/>
    </row>
    <row r="8006" spans="25:25" x14ac:dyDescent="0.2">
      <c r="Y8006" s="18"/>
    </row>
    <row r="8007" spans="25:25" x14ac:dyDescent="0.2">
      <c r="Y8007" s="18"/>
    </row>
    <row r="8008" spans="25:25" x14ac:dyDescent="0.2">
      <c r="Y8008" s="18"/>
    </row>
    <row r="8009" spans="25:25" x14ac:dyDescent="0.2">
      <c r="Y8009" s="18"/>
    </row>
    <row r="8010" spans="25:25" x14ac:dyDescent="0.2">
      <c r="Y8010" s="18"/>
    </row>
    <row r="8011" spans="25:25" x14ac:dyDescent="0.2">
      <c r="Y8011" s="18"/>
    </row>
    <row r="8012" spans="25:25" x14ac:dyDescent="0.2">
      <c r="Y8012" s="18"/>
    </row>
    <row r="8013" spans="25:25" x14ac:dyDescent="0.2">
      <c r="Y8013" s="18"/>
    </row>
    <row r="8014" spans="25:25" x14ac:dyDescent="0.2">
      <c r="Y8014" s="18"/>
    </row>
    <row r="8015" spans="25:25" x14ac:dyDescent="0.2">
      <c r="Y8015" s="18"/>
    </row>
    <row r="8016" spans="25:25" x14ac:dyDescent="0.2">
      <c r="Y8016" s="18"/>
    </row>
    <row r="8017" spans="25:25" x14ac:dyDescent="0.2">
      <c r="Y8017" s="18"/>
    </row>
    <row r="8018" spans="25:25" x14ac:dyDescent="0.2">
      <c r="Y8018" s="18"/>
    </row>
    <row r="8019" spans="25:25" x14ac:dyDescent="0.2">
      <c r="Y8019" s="18"/>
    </row>
    <row r="8020" spans="25:25" x14ac:dyDescent="0.2">
      <c r="Y8020" s="18"/>
    </row>
    <row r="8021" spans="25:25" x14ac:dyDescent="0.2">
      <c r="Y8021" s="18"/>
    </row>
    <row r="8022" spans="25:25" x14ac:dyDescent="0.2">
      <c r="Y8022" s="18"/>
    </row>
    <row r="8023" spans="25:25" x14ac:dyDescent="0.2">
      <c r="Y8023" s="18"/>
    </row>
    <row r="8024" spans="25:25" x14ac:dyDescent="0.2">
      <c r="Y8024" s="18"/>
    </row>
    <row r="8025" spans="25:25" x14ac:dyDescent="0.2">
      <c r="Y8025" s="18"/>
    </row>
    <row r="8026" spans="25:25" x14ac:dyDescent="0.2">
      <c r="Y8026" s="18"/>
    </row>
    <row r="8027" spans="25:25" x14ac:dyDescent="0.2">
      <c r="Y8027" s="18"/>
    </row>
    <row r="8028" spans="25:25" x14ac:dyDescent="0.2">
      <c r="Y8028" s="18"/>
    </row>
    <row r="8029" spans="25:25" x14ac:dyDescent="0.2">
      <c r="Y8029" s="18"/>
    </row>
    <row r="8030" spans="25:25" x14ac:dyDescent="0.2">
      <c r="Y8030" s="18"/>
    </row>
    <row r="8031" spans="25:25" x14ac:dyDescent="0.2">
      <c r="Y8031" s="18"/>
    </row>
    <row r="8032" spans="25:25" x14ac:dyDescent="0.2">
      <c r="Y8032" s="18"/>
    </row>
    <row r="8033" spans="25:25" x14ac:dyDescent="0.2">
      <c r="Y8033" s="18"/>
    </row>
    <row r="8034" spans="25:25" x14ac:dyDescent="0.2">
      <c r="Y8034" s="18"/>
    </row>
    <row r="8035" spans="25:25" x14ac:dyDescent="0.2">
      <c r="Y8035" s="18"/>
    </row>
    <row r="8036" spans="25:25" x14ac:dyDescent="0.2">
      <c r="Y8036" s="18"/>
    </row>
    <row r="8037" spans="25:25" x14ac:dyDescent="0.2">
      <c r="Y8037" s="18"/>
    </row>
    <row r="8038" spans="25:25" x14ac:dyDescent="0.2">
      <c r="Y8038" s="18"/>
    </row>
    <row r="8039" spans="25:25" x14ac:dyDescent="0.2">
      <c r="Y8039" s="18"/>
    </row>
    <row r="8040" spans="25:25" x14ac:dyDescent="0.2">
      <c r="Y8040" s="18"/>
    </row>
    <row r="8041" spans="25:25" x14ac:dyDescent="0.2">
      <c r="Y8041" s="18"/>
    </row>
    <row r="8042" spans="25:25" x14ac:dyDescent="0.2">
      <c r="Y8042" s="18"/>
    </row>
    <row r="8043" spans="25:25" x14ac:dyDescent="0.2">
      <c r="Y8043" s="18"/>
    </row>
    <row r="8044" spans="25:25" x14ac:dyDescent="0.2">
      <c r="Y8044" s="18"/>
    </row>
    <row r="8045" spans="25:25" x14ac:dyDescent="0.2">
      <c r="Y8045" s="18"/>
    </row>
    <row r="8046" spans="25:25" x14ac:dyDescent="0.2">
      <c r="Y8046" s="18"/>
    </row>
    <row r="8047" spans="25:25" x14ac:dyDescent="0.2">
      <c r="Y8047" s="18"/>
    </row>
    <row r="8048" spans="25:25" x14ac:dyDescent="0.2">
      <c r="Y8048" s="18"/>
    </row>
    <row r="8049" spans="25:25" x14ac:dyDescent="0.2">
      <c r="Y8049" s="18"/>
    </row>
    <row r="8050" spans="25:25" x14ac:dyDescent="0.2">
      <c r="Y8050" s="18"/>
    </row>
    <row r="8051" spans="25:25" x14ac:dyDescent="0.2">
      <c r="Y8051" s="18"/>
    </row>
    <row r="8052" spans="25:25" x14ac:dyDescent="0.2">
      <c r="Y8052" s="18"/>
    </row>
    <row r="8053" spans="25:25" x14ac:dyDescent="0.2">
      <c r="Y8053" s="18"/>
    </row>
    <row r="8054" spans="25:25" x14ac:dyDescent="0.2">
      <c r="Y8054" s="18"/>
    </row>
    <row r="8055" spans="25:25" x14ac:dyDescent="0.2">
      <c r="Y8055" s="18"/>
    </row>
    <row r="8056" spans="25:25" x14ac:dyDescent="0.2">
      <c r="Y8056" s="18"/>
    </row>
    <row r="8057" spans="25:25" x14ac:dyDescent="0.2">
      <c r="Y8057" s="18"/>
    </row>
    <row r="8058" spans="25:25" x14ac:dyDescent="0.2">
      <c r="Y8058" s="18"/>
    </row>
    <row r="8059" spans="25:25" x14ac:dyDescent="0.2">
      <c r="Y8059" s="18"/>
    </row>
    <row r="8060" spans="25:25" x14ac:dyDescent="0.2">
      <c r="Y8060" s="18"/>
    </row>
    <row r="8061" spans="25:25" x14ac:dyDescent="0.2">
      <c r="Y8061" s="18"/>
    </row>
    <row r="8062" spans="25:25" x14ac:dyDescent="0.2">
      <c r="Y8062" s="18"/>
    </row>
    <row r="8063" spans="25:25" x14ac:dyDescent="0.2">
      <c r="Y8063" s="18"/>
    </row>
    <row r="8064" spans="25:25" x14ac:dyDescent="0.2">
      <c r="Y8064" s="18"/>
    </row>
    <row r="8065" spans="25:25" x14ac:dyDescent="0.2">
      <c r="Y8065" s="18"/>
    </row>
    <row r="8066" spans="25:25" x14ac:dyDescent="0.2">
      <c r="Y8066" s="18"/>
    </row>
    <row r="8067" spans="25:25" x14ac:dyDescent="0.2">
      <c r="Y8067" s="18"/>
    </row>
    <row r="8068" spans="25:25" x14ac:dyDescent="0.2">
      <c r="Y8068" s="18"/>
    </row>
    <row r="8069" spans="25:25" x14ac:dyDescent="0.2">
      <c r="Y8069" s="18"/>
    </row>
    <row r="8070" spans="25:25" x14ac:dyDescent="0.2">
      <c r="Y8070" s="18"/>
    </row>
    <row r="8071" spans="25:25" x14ac:dyDescent="0.2">
      <c r="Y8071" s="18"/>
    </row>
    <row r="8072" spans="25:25" x14ac:dyDescent="0.2">
      <c r="Y8072" s="18"/>
    </row>
    <row r="8073" spans="25:25" x14ac:dyDescent="0.2">
      <c r="Y8073" s="18"/>
    </row>
    <row r="8074" spans="25:25" x14ac:dyDescent="0.2">
      <c r="Y8074" s="18"/>
    </row>
    <row r="8075" spans="25:25" x14ac:dyDescent="0.2">
      <c r="Y8075" s="18"/>
    </row>
    <row r="8076" spans="25:25" x14ac:dyDescent="0.2">
      <c r="Y8076" s="18"/>
    </row>
    <row r="8077" spans="25:25" x14ac:dyDescent="0.2">
      <c r="Y8077" s="18"/>
    </row>
    <row r="8078" spans="25:25" x14ac:dyDescent="0.2">
      <c r="Y8078" s="18"/>
    </row>
    <row r="8079" spans="25:25" x14ac:dyDescent="0.2">
      <c r="Y8079" s="18"/>
    </row>
    <row r="8080" spans="25:25" x14ac:dyDescent="0.2">
      <c r="Y8080" s="18"/>
    </row>
    <row r="8081" spans="25:25" x14ac:dyDescent="0.2">
      <c r="Y8081" s="18"/>
    </row>
    <row r="8082" spans="25:25" x14ac:dyDescent="0.2">
      <c r="Y8082" s="18"/>
    </row>
    <row r="8083" spans="25:25" x14ac:dyDescent="0.2">
      <c r="Y8083" s="18"/>
    </row>
    <row r="8084" spans="25:25" x14ac:dyDescent="0.2">
      <c r="Y8084" s="18"/>
    </row>
    <row r="8085" spans="25:25" x14ac:dyDescent="0.2">
      <c r="Y8085" s="18"/>
    </row>
    <row r="8086" spans="25:25" x14ac:dyDescent="0.2">
      <c r="Y8086" s="18"/>
    </row>
    <row r="8087" spans="25:25" x14ac:dyDescent="0.2">
      <c r="Y8087" s="18"/>
    </row>
    <row r="8088" spans="25:25" x14ac:dyDescent="0.2">
      <c r="Y8088" s="18"/>
    </row>
    <row r="8089" spans="25:25" x14ac:dyDescent="0.2">
      <c r="Y8089" s="18"/>
    </row>
    <row r="8090" spans="25:25" x14ac:dyDescent="0.2">
      <c r="Y8090" s="18"/>
    </row>
    <row r="8091" spans="25:25" x14ac:dyDescent="0.2">
      <c r="Y8091" s="18"/>
    </row>
    <row r="8092" spans="25:25" x14ac:dyDescent="0.2">
      <c r="Y8092" s="18"/>
    </row>
    <row r="8093" spans="25:25" x14ac:dyDescent="0.2">
      <c r="Y8093" s="18"/>
    </row>
    <row r="8094" spans="25:25" x14ac:dyDescent="0.2">
      <c r="Y8094" s="18"/>
    </row>
    <row r="8095" spans="25:25" x14ac:dyDescent="0.2">
      <c r="Y8095" s="18"/>
    </row>
    <row r="8096" spans="25:25" x14ac:dyDescent="0.2">
      <c r="Y8096" s="18"/>
    </row>
    <row r="8097" spans="25:25" x14ac:dyDescent="0.2">
      <c r="Y8097" s="18"/>
    </row>
    <row r="8098" spans="25:25" x14ac:dyDescent="0.2">
      <c r="Y8098" s="18"/>
    </row>
    <row r="8099" spans="25:25" x14ac:dyDescent="0.2">
      <c r="Y8099" s="18"/>
    </row>
    <row r="8100" spans="25:25" x14ac:dyDescent="0.2">
      <c r="Y8100" s="18"/>
    </row>
    <row r="8101" spans="25:25" x14ac:dyDescent="0.2">
      <c r="Y8101" s="18"/>
    </row>
    <row r="8102" spans="25:25" x14ac:dyDescent="0.2">
      <c r="Y8102" s="18"/>
    </row>
    <row r="8103" spans="25:25" x14ac:dyDescent="0.2">
      <c r="Y8103" s="18"/>
    </row>
    <row r="8104" spans="25:25" x14ac:dyDescent="0.2">
      <c r="Y8104" s="18"/>
    </row>
    <row r="8105" spans="25:25" x14ac:dyDescent="0.2">
      <c r="Y8105" s="18"/>
    </row>
    <row r="8106" spans="25:25" x14ac:dyDescent="0.2">
      <c r="Y8106" s="18"/>
    </row>
    <row r="8107" spans="25:25" x14ac:dyDescent="0.2">
      <c r="Y8107" s="18"/>
    </row>
    <row r="8108" spans="25:25" x14ac:dyDescent="0.2">
      <c r="Y8108" s="18"/>
    </row>
    <row r="8109" spans="25:25" x14ac:dyDescent="0.2">
      <c r="Y8109" s="18"/>
    </row>
    <row r="8110" spans="25:25" x14ac:dyDescent="0.2">
      <c r="Y8110" s="18"/>
    </row>
    <row r="8111" spans="25:25" x14ac:dyDescent="0.2">
      <c r="Y8111" s="18"/>
    </row>
    <row r="8112" spans="25:25" x14ac:dyDescent="0.2">
      <c r="Y8112" s="18"/>
    </row>
    <row r="8113" spans="25:25" x14ac:dyDescent="0.2">
      <c r="Y8113" s="18"/>
    </row>
    <row r="8114" spans="25:25" x14ac:dyDescent="0.2">
      <c r="Y8114" s="18"/>
    </row>
    <row r="8115" spans="25:25" x14ac:dyDescent="0.2">
      <c r="Y8115" s="18"/>
    </row>
    <row r="8116" spans="25:25" x14ac:dyDescent="0.2">
      <c r="Y8116" s="18"/>
    </row>
    <row r="8117" spans="25:25" x14ac:dyDescent="0.2">
      <c r="Y8117" s="18"/>
    </row>
    <row r="8118" spans="25:25" x14ac:dyDescent="0.2">
      <c r="Y8118" s="18"/>
    </row>
    <row r="8119" spans="25:25" x14ac:dyDescent="0.2">
      <c r="Y8119" s="18"/>
    </row>
    <row r="8120" spans="25:25" x14ac:dyDescent="0.2">
      <c r="Y8120" s="18"/>
    </row>
    <row r="8121" spans="25:25" x14ac:dyDescent="0.2">
      <c r="Y8121" s="18"/>
    </row>
    <row r="8122" spans="25:25" x14ac:dyDescent="0.2">
      <c r="Y8122" s="18"/>
    </row>
    <row r="8123" spans="25:25" x14ac:dyDescent="0.2">
      <c r="Y8123" s="18"/>
    </row>
    <row r="8124" spans="25:25" x14ac:dyDescent="0.2">
      <c r="Y8124" s="18"/>
    </row>
    <row r="8125" spans="25:25" x14ac:dyDescent="0.2">
      <c r="Y8125" s="18"/>
    </row>
    <row r="8126" spans="25:25" x14ac:dyDescent="0.2">
      <c r="Y8126" s="18"/>
    </row>
    <row r="8127" spans="25:25" x14ac:dyDescent="0.2">
      <c r="Y8127" s="18"/>
    </row>
    <row r="8128" spans="25:25" x14ac:dyDescent="0.2">
      <c r="Y8128" s="18"/>
    </row>
    <row r="8129" spans="25:25" x14ac:dyDescent="0.2">
      <c r="Y8129" s="18"/>
    </row>
    <row r="8130" spans="25:25" x14ac:dyDescent="0.2">
      <c r="Y8130" s="18"/>
    </row>
    <row r="8131" spans="25:25" x14ac:dyDescent="0.2">
      <c r="Y8131" s="18"/>
    </row>
    <row r="8132" spans="25:25" x14ac:dyDescent="0.2">
      <c r="Y8132" s="18"/>
    </row>
    <row r="8133" spans="25:25" x14ac:dyDescent="0.2">
      <c r="Y8133" s="18"/>
    </row>
    <row r="8134" spans="25:25" x14ac:dyDescent="0.2">
      <c r="Y8134" s="18"/>
    </row>
    <row r="8135" spans="25:25" x14ac:dyDescent="0.2">
      <c r="Y8135" s="18"/>
    </row>
    <row r="8136" spans="25:25" x14ac:dyDescent="0.2">
      <c r="Y8136" s="18"/>
    </row>
    <row r="8137" spans="25:25" x14ac:dyDescent="0.2">
      <c r="Y8137" s="18"/>
    </row>
    <row r="8138" spans="25:25" x14ac:dyDescent="0.2">
      <c r="Y8138" s="18"/>
    </row>
    <row r="8139" spans="25:25" x14ac:dyDescent="0.2">
      <c r="Y8139" s="18"/>
    </row>
    <row r="8140" spans="25:25" x14ac:dyDescent="0.2">
      <c r="Y8140" s="18"/>
    </row>
    <row r="8141" spans="25:25" x14ac:dyDescent="0.2">
      <c r="Y8141" s="18"/>
    </row>
    <row r="8142" spans="25:25" x14ac:dyDescent="0.2">
      <c r="Y8142" s="18"/>
    </row>
    <row r="8143" spans="25:25" x14ac:dyDescent="0.2">
      <c r="Y8143" s="18"/>
    </row>
    <row r="8144" spans="25:25" x14ac:dyDescent="0.2">
      <c r="Y8144" s="18"/>
    </row>
    <row r="8145" spans="25:25" x14ac:dyDescent="0.2">
      <c r="Y8145" s="18"/>
    </row>
    <row r="8146" spans="25:25" x14ac:dyDescent="0.2">
      <c r="Y8146" s="18"/>
    </row>
    <row r="8147" spans="25:25" x14ac:dyDescent="0.2">
      <c r="Y8147" s="18"/>
    </row>
    <row r="8148" spans="25:25" x14ac:dyDescent="0.2">
      <c r="Y8148" s="18"/>
    </row>
    <row r="8149" spans="25:25" x14ac:dyDescent="0.2">
      <c r="Y8149" s="18"/>
    </row>
    <row r="8150" spans="25:25" x14ac:dyDescent="0.2">
      <c r="Y8150" s="18"/>
    </row>
    <row r="8151" spans="25:25" x14ac:dyDescent="0.2">
      <c r="Y8151" s="18"/>
    </row>
    <row r="8152" spans="25:25" x14ac:dyDescent="0.2">
      <c r="Y8152" s="18"/>
    </row>
    <row r="8153" spans="25:25" x14ac:dyDescent="0.2">
      <c r="Y8153" s="18"/>
    </row>
    <row r="8154" spans="25:25" x14ac:dyDescent="0.2">
      <c r="Y8154" s="18"/>
    </row>
    <row r="8155" spans="25:25" x14ac:dyDescent="0.2">
      <c r="Y8155" s="18"/>
    </row>
    <row r="8156" spans="25:25" x14ac:dyDescent="0.2">
      <c r="Y8156" s="18"/>
    </row>
    <row r="8157" spans="25:25" x14ac:dyDescent="0.2">
      <c r="Y8157" s="18"/>
    </row>
    <row r="8158" spans="25:25" x14ac:dyDescent="0.2">
      <c r="Y8158" s="18"/>
    </row>
    <row r="8159" spans="25:25" x14ac:dyDescent="0.2">
      <c r="Y8159" s="18"/>
    </row>
    <row r="8160" spans="25:25" x14ac:dyDescent="0.2">
      <c r="Y8160" s="18"/>
    </row>
    <row r="8161" spans="25:25" x14ac:dyDescent="0.2">
      <c r="Y8161" s="18"/>
    </row>
    <row r="8162" spans="25:25" x14ac:dyDescent="0.2">
      <c r="Y8162" s="18"/>
    </row>
    <row r="8163" spans="25:25" x14ac:dyDescent="0.2">
      <c r="Y8163" s="18"/>
    </row>
    <row r="8164" spans="25:25" x14ac:dyDescent="0.2">
      <c r="Y8164" s="18"/>
    </row>
    <row r="8165" spans="25:25" x14ac:dyDescent="0.2">
      <c r="Y8165" s="18"/>
    </row>
    <row r="8166" spans="25:25" x14ac:dyDescent="0.2">
      <c r="Y8166" s="18"/>
    </row>
    <row r="8167" spans="25:25" x14ac:dyDescent="0.2">
      <c r="Y8167" s="18"/>
    </row>
    <row r="8168" spans="25:25" x14ac:dyDescent="0.2">
      <c r="Y8168" s="18"/>
    </row>
    <row r="8169" spans="25:25" x14ac:dyDescent="0.2">
      <c r="Y8169" s="18"/>
    </row>
    <row r="8170" spans="25:25" x14ac:dyDescent="0.2">
      <c r="Y8170" s="18"/>
    </row>
    <row r="8171" spans="25:25" x14ac:dyDescent="0.2">
      <c r="Y8171" s="18"/>
    </row>
    <row r="8172" spans="25:25" x14ac:dyDescent="0.2">
      <c r="Y8172" s="18"/>
    </row>
    <row r="8173" spans="25:25" x14ac:dyDescent="0.2">
      <c r="Y8173" s="18"/>
    </row>
    <row r="8174" spans="25:25" x14ac:dyDescent="0.2">
      <c r="Y8174" s="18"/>
    </row>
    <row r="8175" spans="25:25" x14ac:dyDescent="0.2">
      <c r="Y8175" s="18"/>
    </row>
    <row r="8176" spans="25:25" x14ac:dyDescent="0.2">
      <c r="Y8176" s="18"/>
    </row>
    <row r="8177" spans="25:25" x14ac:dyDescent="0.2">
      <c r="Y8177" s="18"/>
    </row>
    <row r="8178" spans="25:25" x14ac:dyDescent="0.2">
      <c r="Y8178" s="18"/>
    </row>
    <row r="8179" spans="25:25" x14ac:dyDescent="0.2">
      <c r="Y8179" s="18"/>
    </row>
    <row r="8180" spans="25:25" x14ac:dyDescent="0.2">
      <c r="Y8180" s="18"/>
    </row>
    <row r="8181" spans="25:25" x14ac:dyDescent="0.2">
      <c r="Y8181" s="18"/>
    </row>
    <row r="8182" spans="25:25" x14ac:dyDescent="0.2">
      <c r="Y8182" s="18"/>
    </row>
    <row r="8183" spans="25:25" x14ac:dyDescent="0.2">
      <c r="Y8183" s="18"/>
    </row>
    <row r="8184" spans="25:25" x14ac:dyDescent="0.2">
      <c r="Y8184" s="18"/>
    </row>
    <row r="8185" spans="25:25" x14ac:dyDescent="0.2">
      <c r="Y8185" s="18"/>
    </row>
    <row r="8186" spans="25:25" x14ac:dyDescent="0.2">
      <c r="Y8186" s="18"/>
    </row>
    <row r="8187" spans="25:25" x14ac:dyDescent="0.2">
      <c r="Y8187" s="18"/>
    </row>
    <row r="8188" spans="25:25" x14ac:dyDescent="0.2">
      <c r="Y8188" s="18"/>
    </row>
    <row r="8189" spans="25:25" x14ac:dyDescent="0.2">
      <c r="Y8189" s="18"/>
    </row>
    <row r="8190" spans="25:25" x14ac:dyDescent="0.2">
      <c r="Y8190" s="18"/>
    </row>
    <row r="8191" spans="25:25" x14ac:dyDescent="0.2">
      <c r="Y8191" s="18"/>
    </row>
    <row r="8192" spans="25:25" x14ac:dyDescent="0.2">
      <c r="Y8192" s="18"/>
    </row>
    <row r="8193" spans="25:25" x14ac:dyDescent="0.2">
      <c r="Y8193" s="18"/>
    </row>
    <row r="8194" spans="25:25" x14ac:dyDescent="0.2">
      <c r="Y8194" s="18"/>
    </row>
    <row r="8195" spans="25:25" x14ac:dyDescent="0.2">
      <c r="Y8195" s="18"/>
    </row>
    <row r="8196" spans="25:25" x14ac:dyDescent="0.2">
      <c r="Y8196" s="18"/>
    </row>
    <row r="8197" spans="25:25" x14ac:dyDescent="0.2">
      <c r="Y8197" s="18"/>
    </row>
    <row r="8198" spans="25:25" x14ac:dyDescent="0.2">
      <c r="Y8198" s="18"/>
    </row>
    <row r="8199" spans="25:25" x14ac:dyDescent="0.2">
      <c r="Y8199" s="18"/>
    </row>
    <row r="8200" spans="25:25" x14ac:dyDescent="0.2">
      <c r="Y8200" s="18"/>
    </row>
    <row r="8201" spans="25:25" x14ac:dyDescent="0.2">
      <c r="Y8201" s="18"/>
    </row>
    <row r="8202" spans="25:25" x14ac:dyDescent="0.2">
      <c r="Y8202" s="18"/>
    </row>
    <row r="8203" spans="25:25" x14ac:dyDescent="0.2">
      <c r="Y8203" s="18"/>
    </row>
    <row r="8204" spans="25:25" x14ac:dyDescent="0.2">
      <c r="Y8204" s="18"/>
    </row>
    <row r="8205" spans="25:25" x14ac:dyDescent="0.2">
      <c r="Y8205" s="18"/>
    </row>
    <row r="8206" spans="25:25" x14ac:dyDescent="0.2">
      <c r="Y8206" s="18"/>
    </row>
    <row r="8207" spans="25:25" x14ac:dyDescent="0.2">
      <c r="Y8207" s="18"/>
    </row>
    <row r="8208" spans="25:25" x14ac:dyDescent="0.2">
      <c r="Y8208" s="18"/>
    </row>
    <row r="8209" spans="25:25" x14ac:dyDescent="0.2">
      <c r="Y8209" s="18"/>
    </row>
    <row r="8210" spans="25:25" x14ac:dyDescent="0.2">
      <c r="Y8210" s="18"/>
    </row>
    <row r="8211" spans="25:25" x14ac:dyDescent="0.2">
      <c r="Y8211" s="18"/>
    </row>
    <row r="8212" spans="25:25" x14ac:dyDescent="0.2">
      <c r="Y8212" s="18"/>
    </row>
    <row r="8213" spans="25:25" x14ac:dyDescent="0.2">
      <c r="Y8213" s="18"/>
    </row>
    <row r="8214" spans="25:25" x14ac:dyDescent="0.2">
      <c r="Y8214" s="18"/>
    </row>
    <row r="8215" spans="25:25" x14ac:dyDescent="0.2">
      <c r="Y8215" s="18"/>
    </row>
    <row r="8216" spans="25:25" x14ac:dyDescent="0.2">
      <c r="Y8216" s="18"/>
    </row>
    <row r="8217" spans="25:25" x14ac:dyDescent="0.2">
      <c r="Y8217" s="18"/>
    </row>
    <row r="8218" spans="25:25" x14ac:dyDescent="0.2">
      <c r="Y8218" s="18"/>
    </row>
    <row r="8219" spans="25:25" x14ac:dyDescent="0.2">
      <c r="Y8219" s="18"/>
    </row>
    <row r="8220" spans="25:25" x14ac:dyDescent="0.2">
      <c r="Y8220" s="18"/>
    </row>
    <row r="8221" spans="25:25" x14ac:dyDescent="0.2">
      <c r="Y8221" s="18"/>
    </row>
    <row r="8222" spans="25:25" x14ac:dyDescent="0.2">
      <c r="Y8222" s="18"/>
    </row>
    <row r="8223" spans="25:25" x14ac:dyDescent="0.2">
      <c r="Y8223" s="18"/>
    </row>
    <row r="8224" spans="25:25" x14ac:dyDescent="0.2">
      <c r="Y8224" s="18"/>
    </row>
    <row r="8225" spans="25:25" x14ac:dyDescent="0.2">
      <c r="Y8225" s="18"/>
    </row>
    <row r="8226" spans="25:25" x14ac:dyDescent="0.2">
      <c r="Y8226" s="18"/>
    </row>
    <row r="8227" spans="25:25" x14ac:dyDescent="0.2">
      <c r="Y8227" s="18"/>
    </row>
    <row r="8228" spans="25:25" x14ac:dyDescent="0.2">
      <c r="Y8228" s="18"/>
    </row>
    <row r="8229" spans="25:25" x14ac:dyDescent="0.2">
      <c r="Y8229" s="18"/>
    </row>
    <row r="8230" spans="25:25" x14ac:dyDescent="0.2">
      <c r="Y8230" s="18"/>
    </row>
    <row r="8231" spans="25:25" x14ac:dyDescent="0.2">
      <c r="Y8231" s="18"/>
    </row>
    <row r="8232" spans="25:25" x14ac:dyDescent="0.2">
      <c r="Y8232" s="18"/>
    </row>
    <row r="8233" spans="25:25" x14ac:dyDescent="0.2">
      <c r="Y8233" s="18"/>
    </row>
    <row r="8234" spans="25:25" x14ac:dyDescent="0.2">
      <c r="Y8234" s="18"/>
    </row>
    <row r="8235" spans="25:25" x14ac:dyDescent="0.2">
      <c r="Y8235" s="18"/>
    </row>
    <row r="8236" spans="25:25" x14ac:dyDescent="0.2">
      <c r="Y8236" s="18"/>
    </row>
    <row r="8237" spans="25:25" x14ac:dyDescent="0.2">
      <c r="Y8237" s="18"/>
    </row>
    <row r="8238" spans="25:25" x14ac:dyDescent="0.2">
      <c r="Y8238" s="18"/>
    </row>
    <row r="8239" spans="25:25" x14ac:dyDescent="0.2">
      <c r="Y8239" s="18"/>
    </row>
    <row r="8240" spans="25:25" x14ac:dyDescent="0.2">
      <c r="Y8240" s="18"/>
    </row>
    <row r="8241" spans="25:25" x14ac:dyDescent="0.2">
      <c r="Y8241" s="18"/>
    </row>
    <row r="8242" spans="25:25" x14ac:dyDescent="0.2">
      <c r="Y8242" s="18"/>
    </row>
    <row r="8243" spans="25:25" x14ac:dyDescent="0.2">
      <c r="Y8243" s="18"/>
    </row>
    <row r="8244" spans="25:25" x14ac:dyDescent="0.2">
      <c r="Y8244" s="18"/>
    </row>
    <row r="8245" spans="25:25" x14ac:dyDescent="0.2">
      <c r="Y8245" s="18"/>
    </row>
    <row r="8246" spans="25:25" x14ac:dyDescent="0.2">
      <c r="Y8246" s="18"/>
    </row>
    <row r="8247" spans="25:25" x14ac:dyDescent="0.2">
      <c r="Y8247" s="18"/>
    </row>
    <row r="8248" spans="25:25" x14ac:dyDescent="0.2">
      <c r="Y8248" s="18"/>
    </row>
    <row r="8249" spans="25:25" x14ac:dyDescent="0.2">
      <c r="Y8249" s="18"/>
    </row>
    <row r="8250" spans="25:25" x14ac:dyDescent="0.2">
      <c r="Y8250" s="18"/>
    </row>
    <row r="8251" spans="25:25" x14ac:dyDescent="0.2">
      <c r="Y8251" s="18"/>
    </row>
    <row r="8252" spans="25:25" x14ac:dyDescent="0.2">
      <c r="Y8252" s="18"/>
    </row>
    <row r="8253" spans="25:25" x14ac:dyDescent="0.2">
      <c r="Y8253" s="18"/>
    </row>
    <row r="8254" spans="25:25" x14ac:dyDescent="0.2">
      <c r="Y8254" s="18"/>
    </row>
    <row r="8255" spans="25:25" x14ac:dyDescent="0.2">
      <c r="Y8255" s="18"/>
    </row>
    <row r="8256" spans="25:25" x14ac:dyDescent="0.2">
      <c r="Y8256" s="18"/>
    </row>
    <row r="8257" spans="25:25" x14ac:dyDescent="0.2">
      <c r="Y8257" s="18"/>
    </row>
    <row r="8258" spans="25:25" x14ac:dyDescent="0.2">
      <c r="Y8258" s="18"/>
    </row>
    <row r="8259" spans="25:25" x14ac:dyDescent="0.2">
      <c r="Y8259" s="18"/>
    </row>
    <row r="8260" spans="25:25" x14ac:dyDescent="0.2">
      <c r="Y8260" s="18"/>
    </row>
    <row r="8261" spans="25:25" x14ac:dyDescent="0.2">
      <c r="Y8261" s="18"/>
    </row>
    <row r="8262" spans="25:25" x14ac:dyDescent="0.2">
      <c r="Y8262" s="18"/>
    </row>
    <row r="8263" spans="25:25" x14ac:dyDescent="0.2">
      <c r="Y8263" s="18"/>
    </row>
    <row r="8264" spans="25:25" x14ac:dyDescent="0.2">
      <c r="Y8264" s="18"/>
    </row>
    <row r="8265" spans="25:25" x14ac:dyDescent="0.2">
      <c r="Y8265" s="18"/>
    </row>
    <row r="8266" spans="25:25" x14ac:dyDescent="0.2">
      <c r="Y8266" s="18"/>
    </row>
    <row r="8267" spans="25:25" x14ac:dyDescent="0.2">
      <c r="Y8267" s="18"/>
    </row>
    <row r="8268" spans="25:25" x14ac:dyDescent="0.2">
      <c r="Y8268" s="18"/>
    </row>
    <row r="8269" spans="25:25" x14ac:dyDescent="0.2">
      <c r="Y8269" s="18"/>
    </row>
    <row r="8270" spans="25:25" x14ac:dyDescent="0.2">
      <c r="Y8270" s="18"/>
    </row>
    <row r="8271" spans="25:25" x14ac:dyDescent="0.2">
      <c r="Y8271" s="18"/>
    </row>
    <row r="8272" spans="25:25" x14ac:dyDescent="0.2">
      <c r="Y8272" s="18"/>
    </row>
    <row r="8273" spans="25:25" x14ac:dyDescent="0.2">
      <c r="Y8273" s="18"/>
    </row>
    <row r="8274" spans="25:25" x14ac:dyDescent="0.2">
      <c r="Y8274" s="18"/>
    </row>
    <row r="8275" spans="25:25" x14ac:dyDescent="0.2">
      <c r="Y8275" s="18"/>
    </row>
    <row r="8276" spans="25:25" x14ac:dyDescent="0.2">
      <c r="Y8276" s="18"/>
    </row>
    <row r="8277" spans="25:25" x14ac:dyDescent="0.2">
      <c r="Y8277" s="18"/>
    </row>
    <row r="8278" spans="25:25" x14ac:dyDescent="0.2">
      <c r="Y8278" s="18"/>
    </row>
    <row r="8279" spans="25:25" x14ac:dyDescent="0.2">
      <c r="Y8279" s="18"/>
    </row>
    <row r="8280" spans="25:25" x14ac:dyDescent="0.2">
      <c r="Y8280" s="18"/>
    </row>
    <row r="8281" spans="25:25" x14ac:dyDescent="0.2">
      <c r="Y8281" s="18"/>
    </row>
    <row r="8282" spans="25:25" x14ac:dyDescent="0.2">
      <c r="Y8282" s="18"/>
    </row>
    <row r="8283" spans="25:25" x14ac:dyDescent="0.2">
      <c r="Y8283" s="18"/>
    </row>
    <row r="8284" spans="25:25" x14ac:dyDescent="0.2">
      <c r="Y8284" s="18"/>
    </row>
    <row r="8285" spans="25:25" x14ac:dyDescent="0.2">
      <c r="Y8285" s="18"/>
    </row>
    <row r="8286" spans="25:25" x14ac:dyDescent="0.2">
      <c r="Y8286" s="18"/>
    </row>
    <row r="8287" spans="25:25" x14ac:dyDescent="0.2">
      <c r="Y8287" s="18"/>
    </row>
    <row r="8288" spans="25:25" x14ac:dyDescent="0.2">
      <c r="Y8288" s="18"/>
    </row>
    <row r="8289" spans="25:25" x14ac:dyDescent="0.2">
      <c r="Y8289" s="18"/>
    </row>
    <row r="8290" spans="25:25" x14ac:dyDescent="0.2">
      <c r="Y8290" s="18"/>
    </row>
    <row r="8291" spans="25:25" x14ac:dyDescent="0.2">
      <c r="Y8291" s="18"/>
    </row>
    <row r="8292" spans="25:25" x14ac:dyDescent="0.2">
      <c r="Y8292" s="18"/>
    </row>
    <row r="8293" spans="25:25" x14ac:dyDescent="0.2">
      <c r="Y8293" s="18"/>
    </row>
    <row r="8294" spans="25:25" x14ac:dyDescent="0.2">
      <c r="Y8294" s="18"/>
    </row>
    <row r="8295" spans="25:25" x14ac:dyDescent="0.2">
      <c r="Y8295" s="18"/>
    </row>
    <row r="8296" spans="25:25" x14ac:dyDescent="0.2">
      <c r="Y8296" s="18"/>
    </row>
    <row r="8297" spans="25:25" x14ac:dyDescent="0.2">
      <c r="Y8297" s="18"/>
    </row>
    <row r="8298" spans="25:25" x14ac:dyDescent="0.2">
      <c r="Y8298" s="18"/>
    </row>
    <row r="8299" spans="25:25" x14ac:dyDescent="0.2">
      <c r="Y8299" s="18"/>
    </row>
    <row r="8300" spans="25:25" x14ac:dyDescent="0.2">
      <c r="Y8300" s="18"/>
    </row>
    <row r="8301" spans="25:25" x14ac:dyDescent="0.2">
      <c r="Y8301" s="18"/>
    </row>
    <row r="8302" spans="25:25" x14ac:dyDescent="0.2">
      <c r="Y8302" s="18"/>
    </row>
    <row r="8303" spans="25:25" x14ac:dyDescent="0.2">
      <c r="Y8303" s="18"/>
    </row>
    <row r="8304" spans="25:25" x14ac:dyDescent="0.2">
      <c r="Y8304" s="18"/>
    </row>
    <row r="8305" spans="25:25" x14ac:dyDescent="0.2">
      <c r="Y8305" s="18"/>
    </row>
    <row r="8306" spans="25:25" x14ac:dyDescent="0.2">
      <c r="Y8306" s="18"/>
    </row>
    <row r="8307" spans="25:25" x14ac:dyDescent="0.2">
      <c r="Y8307" s="18"/>
    </row>
    <row r="8308" spans="25:25" x14ac:dyDescent="0.2">
      <c r="Y8308" s="18"/>
    </row>
    <row r="8309" spans="25:25" x14ac:dyDescent="0.2">
      <c r="Y8309" s="18"/>
    </row>
    <row r="8310" spans="25:25" x14ac:dyDescent="0.2">
      <c r="Y8310" s="18"/>
    </row>
    <row r="8311" spans="25:25" x14ac:dyDescent="0.2">
      <c r="Y8311" s="18"/>
    </row>
    <row r="8312" spans="25:25" x14ac:dyDescent="0.2">
      <c r="Y8312" s="18"/>
    </row>
    <row r="8313" spans="25:25" x14ac:dyDescent="0.2">
      <c r="Y8313" s="18"/>
    </row>
    <row r="8314" spans="25:25" x14ac:dyDescent="0.2">
      <c r="Y8314" s="18"/>
    </row>
    <row r="8315" spans="25:25" x14ac:dyDescent="0.2">
      <c r="Y8315" s="18"/>
    </row>
    <row r="8316" spans="25:25" x14ac:dyDescent="0.2">
      <c r="Y8316" s="18"/>
    </row>
    <row r="8317" spans="25:25" x14ac:dyDescent="0.2">
      <c r="Y8317" s="18"/>
    </row>
    <row r="8318" spans="25:25" x14ac:dyDescent="0.2">
      <c r="Y8318" s="18"/>
    </row>
    <row r="8319" spans="25:25" x14ac:dyDescent="0.2">
      <c r="Y8319" s="18"/>
    </row>
    <row r="8320" spans="25:25" x14ac:dyDescent="0.2">
      <c r="Y8320" s="18"/>
    </row>
    <row r="8321" spans="25:25" x14ac:dyDescent="0.2">
      <c r="Y8321" s="18"/>
    </row>
    <row r="8322" spans="25:25" x14ac:dyDescent="0.2">
      <c r="Y8322" s="18"/>
    </row>
    <row r="8323" spans="25:25" x14ac:dyDescent="0.2">
      <c r="Y8323" s="18"/>
    </row>
    <row r="8324" spans="25:25" x14ac:dyDescent="0.2">
      <c r="Y8324" s="18"/>
    </row>
    <row r="8325" spans="25:25" x14ac:dyDescent="0.2">
      <c r="Y8325" s="18"/>
    </row>
    <row r="8326" spans="25:25" x14ac:dyDescent="0.2">
      <c r="Y8326" s="18"/>
    </row>
    <row r="8327" spans="25:25" x14ac:dyDescent="0.2">
      <c r="Y8327" s="18"/>
    </row>
    <row r="8328" spans="25:25" x14ac:dyDescent="0.2">
      <c r="Y8328" s="18"/>
    </row>
    <row r="8329" spans="25:25" x14ac:dyDescent="0.2">
      <c r="Y8329" s="18"/>
    </row>
    <row r="8330" spans="25:25" x14ac:dyDescent="0.2">
      <c r="Y8330" s="18"/>
    </row>
    <row r="8331" spans="25:25" x14ac:dyDescent="0.2">
      <c r="Y8331" s="18"/>
    </row>
    <row r="8332" spans="25:25" x14ac:dyDescent="0.2">
      <c r="Y8332" s="18"/>
    </row>
    <row r="8333" spans="25:25" x14ac:dyDescent="0.2">
      <c r="Y8333" s="18"/>
    </row>
    <row r="8334" spans="25:25" x14ac:dyDescent="0.2">
      <c r="Y8334" s="18"/>
    </row>
    <row r="8335" spans="25:25" x14ac:dyDescent="0.2">
      <c r="Y8335" s="18"/>
    </row>
    <row r="8336" spans="25:25" x14ac:dyDescent="0.2">
      <c r="Y8336" s="18"/>
    </row>
    <row r="8337" spans="25:25" x14ac:dyDescent="0.2">
      <c r="Y8337" s="18"/>
    </row>
    <row r="8338" spans="25:25" x14ac:dyDescent="0.2">
      <c r="Y8338" s="18"/>
    </row>
    <row r="8339" spans="25:25" x14ac:dyDescent="0.2">
      <c r="Y8339" s="18"/>
    </row>
    <row r="8340" spans="25:25" x14ac:dyDescent="0.2">
      <c r="Y8340" s="18"/>
    </row>
    <row r="8341" spans="25:25" x14ac:dyDescent="0.2">
      <c r="Y8341" s="18"/>
    </row>
    <row r="8342" spans="25:25" x14ac:dyDescent="0.2">
      <c r="Y8342" s="18"/>
    </row>
    <row r="8343" spans="25:25" x14ac:dyDescent="0.2">
      <c r="Y8343" s="18"/>
    </row>
    <row r="8344" spans="25:25" x14ac:dyDescent="0.2">
      <c r="Y8344" s="18"/>
    </row>
    <row r="8345" spans="25:25" x14ac:dyDescent="0.2">
      <c r="Y8345" s="18"/>
    </row>
    <row r="8346" spans="25:25" x14ac:dyDescent="0.2">
      <c r="Y8346" s="18"/>
    </row>
    <row r="8347" spans="25:25" x14ac:dyDescent="0.2">
      <c r="Y8347" s="18"/>
    </row>
    <row r="8348" spans="25:25" x14ac:dyDescent="0.2">
      <c r="Y8348" s="18"/>
    </row>
    <row r="8349" spans="25:25" x14ac:dyDescent="0.2">
      <c r="Y8349" s="18"/>
    </row>
    <row r="8350" spans="25:25" x14ac:dyDescent="0.2">
      <c r="Y8350" s="18"/>
    </row>
    <row r="8351" spans="25:25" x14ac:dyDescent="0.2">
      <c r="Y8351" s="18"/>
    </row>
    <row r="8352" spans="25:25" x14ac:dyDescent="0.2">
      <c r="Y8352" s="18"/>
    </row>
    <row r="8353" spans="25:25" x14ac:dyDescent="0.2">
      <c r="Y8353" s="18"/>
    </row>
    <row r="8354" spans="25:25" x14ac:dyDescent="0.2">
      <c r="Y8354" s="18"/>
    </row>
    <row r="8355" spans="25:25" x14ac:dyDescent="0.2">
      <c r="Y8355" s="18"/>
    </row>
    <row r="8356" spans="25:25" x14ac:dyDescent="0.2">
      <c r="Y8356" s="18"/>
    </row>
    <row r="8357" spans="25:25" x14ac:dyDescent="0.2">
      <c r="Y8357" s="18"/>
    </row>
    <row r="8358" spans="25:25" x14ac:dyDescent="0.2">
      <c r="Y8358" s="18"/>
    </row>
    <row r="8359" spans="25:25" x14ac:dyDescent="0.2">
      <c r="Y8359" s="18"/>
    </row>
    <row r="8360" spans="25:25" x14ac:dyDescent="0.2">
      <c r="Y8360" s="18"/>
    </row>
    <row r="8361" spans="25:25" x14ac:dyDescent="0.2">
      <c r="Y8361" s="18"/>
    </row>
    <row r="8362" spans="25:25" x14ac:dyDescent="0.2">
      <c r="Y8362" s="18"/>
    </row>
    <row r="8363" spans="25:25" x14ac:dyDescent="0.2">
      <c r="Y8363" s="18"/>
    </row>
    <row r="8364" spans="25:25" x14ac:dyDescent="0.2">
      <c r="Y8364" s="18"/>
    </row>
    <row r="8365" spans="25:25" x14ac:dyDescent="0.2">
      <c r="Y8365" s="18"/>
    </row>
    <row r="8366" spans="25:25" x14ac:dyDescent="0.2">
      <c r="Y8366" s="18"/>
    </row>
    <row r="8367" spans="25:25" x14ac:dyDescent="0.2">
      <c r="Y8367" s="18"/>
    </row>
    <row r="8368" spans="25:25" x14ac:dyDescent="0.2">
      <c r="Y8368" s="18"/>
    </row>
    <row r="8369" spans="25:25" x14ac:dyDescent="0.2">
      <c r="Y8369" s="18"/>
    </row>
    <row r="8370" spans="25:25" x14ac:dyDescent="0.2">
      <c r="Y8370" s="18"/>
    </row>
    <row r="8371" spans="25:25" x14ac:dyDescent="0.2">
      <c r="Y8371" s="18"/>
    </row>
    <row r="8372" spans="25:25" x14ac:dyDescent="0.2">
      <c r="Y8372" s="18"/>
    </row>
    <row r="8373" spans="25:25" x14ac:dyDescent="0.2">
      <c r="Y8373" s="18"/>
    </row>
    <row r="8374" spans="25:25" x14ac:dyDescent="0.2">
      <c r="Y8374" s="18"/>
    </row>
    <row r="8375" spans="25:25" x14ac:dyDescent="0.2">
      <c r="Y8375" s="18"/>
    </row>
    <row r="8376" spans="25:25" x14ac:dyDescent="0.2">
      <c r="Y8376" s="18"/>
    </row>
    <row r="8377" spans="25:25" x14ac:dyDescent="0.2">
      <c r="Y8377" s="18"/>
    </row>
    <row r="8378" spans="25:25" x14ac:dyDescent="0.2">
      <c r="Y8378" s="18"/>
    </row>
    <row r="8379" spans="25:25" x14ac:dyDescent="0.2">
      <c r="Y8379" s="18"/>
    </row>
    <row r="8380" spans="25:25" x14ac:dyDescent="0.2">
      <c r="Y8380" s="18"/>
    </row>
    <row r="8381" spans="25:25" x14ac:dyDescent="0.2">
      <c r="Y8381" s="18"/>
    </row>
    <row r="8382" spans="25:25" x14ac:dyDescent="0.2">
      <c r="Y8382" s="18"/>
    </row>
    <row r="8383" spans="25:25" x14ac:dyDescent="0.2">
      <c r="Y8383" s="18"/>
    </row>
    <row r="8384" spans="25:25" x14ac:dyDescent="0.2">
      <c r="Y8384" s="18"/>
    </row>
    <row r="8385" spans="25:25" x14ac:dyDescent="0.2">
      <c r="Y8385" s="18"/>
    </row>
    <row r="8386" spans="25:25" x14ac:dyDescent="0.2">
      <c r="Y8386" s="18"/>
    </row>
    <row r="8387" spans="25:25" x14ac:dyDescent="0.2">
      <c r="Y8387" s="18"/>
    </row>
    <row r="8388" spans="25:25" x14ac:dyDescent="0.2">
      <c r="Y8388" s="18"/>
    </row>
    <row r="8389" spans="25:25" x14ac:dyDescent="0.2">
      <c r="Y8389" s="18"/>
    </row>
    <row r="8390" spans="25:25" x14ac:dyDescent="0.2">
      <c r="Y8390" s="18"/>
    </row>
    <row r="8391" spans="25:25" x14ac:dyDescent="0.2">
      <c r="Y8391" s="18"/>
    </row>
    <row r="8392" spans="25:25" x14ac:dyDescent="0.2">
      <c r="Y8392" s="18"/>
    </row>
    <row r="8393" spans="25:25" x14ac:dyDescent="0.2">
      <c r="Y8393" s="18"/>
    </row>
    <row r="8394" spans="25:25" x14ac:dyDescent="0.2">
      <c r="Y8394" s="18"/>
    </row>
    <row r="8395" spans="25:25" x14ac:dyDescent="0.2">
      <c r="Y8395" s="18"/>
    </row>
    <row r="8396" spans="25:25" x14ac:dyDescent="0.2">
      <c r="Y8396" s="18"/>
    </row>
    <row r="8397" spans="25:25" x14ac:dyDescent="0.2">
      <c r="Y8397" s="18"/>
    </row>
    <row r="8398" spans="25:25" x14ac:dyDescent="0.2">
      <c r="Y8398" s="18"/>
    </row>
    <row r="8399" spans="25:25" x14ac:dyDescent="0.2">
      <c r="Y8399" s="18"/>
    </row>
    <row r="8400" spans="25:25" x14ac:dyDescent="0.2">
      <c r="Y8400" s="18"/>
    </row>
    <row r="8401" spans="25:25" x14ac:dyDescent="0.2">
      <c r="Y8401" s="18"/>
    </row>
    <row r="8402" spans="25:25" x14ac:dyDescent="0.2">
      <c r="Y8402" s="18"/>
    </row>
    <row r="8403" spans="25:25" x14ac:dyDescent="0.2">
      <c r="Y8403" s="18"/>
    </row>
    <row r="8404" spans="25:25" x14ac:dyDescent="0.2">
      <c r="Y8404" s="18"/>
    </row>
    <row r="8405" spans="25:25" x14ac:dyDescent="0.2">
      <c r="Y8405" s="18"/>
    </row>
    <row r="8406" spans="25:25" x14ac:dyDescent="0.2">
      <c r="Y8406" s="18"/>
    </row>
    <row r="8407" spans="25:25" x14ac:dyDescent="0.2">
      <c r="Y8407" s="18"/>
    </row>
    <row r="8408" spans="25:25" x14ac:dyDescent="0.2">
      <c r="Y8408" s="18"/>
    </row>
    <row r="8409" spans="25:25" x14ac:dyDescent="0.2">
      <c r="Y8409" s="18"/>
    </row>
    <row r="8410" spans="25:25" x14ac:dyDescent="0.2">
      <c r="Y8410" s="18"/>
    </row>
    <row r="8411" spans="25:25" x14ac:dyDescent="0.2">
      <c r="Y8411" s="18"/>
    </row>
    <row r="8412" spans="25:25" x14ac:dyDescent="0.2">
      <c r="Y8412" s="18"/>
    </row>
    <row r="8413" spans="25:25" x14ac:dyDescent="0.2">
      <c r="Y8413" s="18"/>
    </row>
    <row r="8414" spans="25:25" x14ac:dyDescent="0.2">
      <c r="Y8414" s="18"/>
    </row>
    <row r="8415" spans="25:25" x14ac:dyDescent="0.2">
      <c r="Y8415" s="18"/>
    </row>
    <row r="8416" spans="25:25" x14ac:dyDescent="0.2">
      <c r="Y8416" s="18"/>
    </row>
    <row r="8417" spans="25:25" x14ac:dyDescent="0.2">
      <c r="Y8417" s="18"/>
    </row>
    <row r="8418" spans="25:25" x14ac:dyDescent="0.2">
      <c r="Y8418" s="18"/>
    </row>
    <row r="8419" spans="25:25" x14ac:dyDescent="0.2">
      <c r="Y8419" s="18"/>
    </row>
    <row r="8420" spans="25:25" x14ac:dyDescent="0.2">
      <c r="Y8420" s="18"/>
    </row>
    <row r="8421" spans="25:25" x14ac:dyDescent="0.2">
      <c r="Y8421" s="18"/>
    </row>
    <row r="8422" spans="25:25" x14ac:dyDescent="0.2">
      <c r="Y8422" s="18"/>
    </row>
    <row r="8423" spans="25:25" x14ac:dyDescent="0.2">
      <c r="Y8423" s="18"/>
    </row>
    <row r="8424" spans="25:25" x14ac:dyDescent="0.2">
      <c r="Y8424" s="18"/>
    </row>
    <row r="8425" spans="25:25" x14ac:dyDescent="0.2">
      <c r="Y8425" s="18"/>
    </row>
    <row r="8426" spans="25:25" x14ac:dyDescent="0.2">
      <c r="Y8426" s="18"/>
    </row>
    <row r="8427" spans="25:25" x14ac:dyDescent="0.2">
      <c r="Y8427" s="18"/>
    </row>
    <row r="8428" spans="25:25" x14ac:dyDescent="0.2">
      <c r="Y8428" s="18"/>
    </row>
    <row r="8429" spans="25:25" x14ac:dyDescent="0.2">
      <c r="Y8429" s="18"/>
    </row>
    <row r="8430" spans="25:25" x14ac:dyDescent="0.2">
      <c r="Y8430" s="18"/>
    </row>
    <row r="8431" spans="25:25" x14ac:dyDescent="0.2">
      <c r="Y8431" s="18"/>
    </row>
    <row r="8432" spans="25:25" x14ac:dyDescent="0.2">
      <c r="Y8432" s="18"/>
    </row>
    <row r="8433" spans="25:25" x14ac:dyDescent="0.2">
      <c r="Y8433" s="18"/>
    </row>
    <row r="8434" spans="25:25" x14ac:dyDescent="0.2">
      <c r="Y8434" s="18"/>
    </row>
    <row r="8435" spans="25:25" x14ac:dyDescent="0.2">
      <c r="Y8435" s="18"/>
    </row>
    <row r="8436" spans="25:25" x14ac:dyDescent="0.2">
      <c r="Y8436" s="18"/>
    </row>
    <row r="8437" spans="25:25" x14ac:dyDescent="0.2">
      <c r="Y8437" s="18"/>
    </row>
    <row r="8438" spans="25:25" x14ac:dyDescent="0.2">
      <c r="Y8438" s="18"/>
    </row>
    <row r="8439" spans="25:25" x14ac:dyDescent="0.2">
      <c r="Y8439" s="18"/>
    </row>
    <row r="8440" spans="25:25" x14ac:dyDescent="0.2">
      <c r="Y8440" s="18"/>
    </row>
    <row r="8441" spans="25:25" x14ac:dyDescent="0.2">
      <c r="Y8441" s="18"/>
    </row>
    <row r="8442" spans="25:25" x14ac:dyDescent="0.2">
      <c r="Y8442" s="18"/>
    </row>
    <row r="8443" spans="25:25" x14ac:dyDescent="0.2">
      <c r="Y8443" s="18"/>
    </row>
    <row r="8444" spans="25:25" x14ac:dyDescent="0.2">
      <c r="Y8444" s="18"/>
    </row>
    <row r="8445" spans="25:25" x14ac:dyDescent="0.2">
      <c r="Y8445" s="18"/>
    </row>
    <row r="8446" spans="25:25" x14ac:dyDescent="0.2">
      <c r="Y8446" s="18"/>
    </row>
    <row r="8447" spans="25:25" x14ac:dyDescent="0.2">
      <c r="Y8447" s="18"/>
    </row>
    <row r="8448" spans="25:25" x14ac:dyDescent="0.2">
      <c r="Y8448" s="18"/>
    </row>
    <row r="8449" spans="25:25" x14ac:dyDescent="0.2">
      <c r="Y8449" s="18"/>
    </row>
    <row r="8450" spans="25:25" x14ac:dyDescent="0.2">
      <c r="Y8450" s="18"/>
    </row>
    <row r="8451" spans="25:25" x14ac:dyDescent="0.2">
      <c r="Y8451" s="18"/>
    </row>
    <row r="8452" spans="25:25" x14ac:dyDescent="0.2">
      <c r="Y8452" s="18"/>
    </row>
    <row r="8453" spans="25:25" x14ac:dyDescent="0.2">
      <c r="Y8453" s="18"/>
    </row>
    <row r="8454" spans="25:25" x14ac:dyDescent="0.2">
      <c r="Y8454" s="18"/>
    </row>
    <row r="8455" spans="25:25" x14ac:dyDescent="0.2">
      <c r="Y8455" s="18"/>
    </row>
    <row r="8456" spans="25:25" x14ac:dyDescent="0.2">
      <c r="Y8456" s="18"/>
    </row>
    <row r="8457" spans="25:25" x14ac:dyDescent="0.2">
      <c r="Y8457" s="18"/>
    </row>
    <row r="8458" spans="25:25" x14ac:dyDescent="0.2">
      <c r="Y8458" s="18"/>
    </row>
    <row r="8459" spans="25:25" x14ac:dyDescent="0.2">
      <c r="Y8459" s="18"/>
    </row>
    <row r="8460" spans="25:25" x14ac:dyDescent="0.2">
      <c r="Y8460" s="18"/>
    </row>
    <row r="8461" spans="25:25" x14ac:dyDescent="0.2">
      <c r="Y8461" s="18"/>
    </row>
    <row r="8462" spans="25:25" x14ac:dyDescent="0.2">
      <c r="Y8462" s="18"/>
    </row>
    <row r="8463" spans="25:25" x14ac:dyDescent="0.2">
      <c r="Y8463" s="18"/>
    </row>
    <row r="8464" spans="25:25" x14ac:dyDescent="0.2">
      <c r="Y8464" s="18"/>
    </row>
    <row r="8465" spans="25:25" x14ac:dyDescent="0.2">
      <c r="Y8465" s="18"/>
    </row>
    <row r="8466" spans="25:25" x14ac:dyDescent="0.2">
      <c r="Y8466" s="18"/>
    </row>
    <row r="8467" spans="25:25" x14ac:dyDescent="0.2">
      <c r="Y8467" s="18"/>
    </row>
    <row r="8468" spans="25:25" x14ac:dyDescent="0.2">
      <c r="Y8468" s="18"/>
    </row>
    <row r="8469" spans="25:25" x14ac:dyDescent="0.2">
      <c r="Y8469" s="18"/>
    </row>
    <row r="8470" spans="25:25" x14ac:dyDescent="0.2">
      <c r="Y8470" s="18"/>
    </row>
    <row r="8471" spans="25:25" x14ac:dyDescent="0.2">
      <c r="Y8471" s="18"/>
    </row>
    <row r="8472" spans="25:25" x14ac:dyDescent="0.2">
      <c r="Y8472" s="18"/>
    </row>
    <row r="8473" spans="25:25" x14ac:dyDescent="0.2">
      <c r="Y8473" s="18"/>
    </row>
    <row r="8474" spans="25:25" x14ac:dyDescent="0.2">
      <c r="Y8474" s="18"/>
    </row>
    <row r="8475" spans="25:25" x14ac:dyDescent="0.2">
      <c r="Y8475" s="18"/>
    </row>
    <row r="8476" spans="25:25" x14ac:dyDescent="0.2">
      <c r="Y8476" s="18"/>
    </row>
    <row r="8477" spans="25:25" x14ac:dyDescent="0.2">
      <c r="Y8477" s="18"/>
    </row>
    <row r="8478" spans="25:25" x14ac:dyDescent="0.2">
      <c r="Y8478" s="18"/>
    </row>
    <row r="8479" spans="25:25" x14ac:dyDescent="0.2">
      <c r="Y8479" s="18"/>
    </row>
    <row r="8480" spans="25:25" x14ac:dyDescent="0.2">
      <c r="Y8480" s="18"/>
    </row>
    <row r="8481" spans="25:25" x14ac:dyDescent="0.2">
      <c r="Y8481" s="18"/>
    </row>
    <row r="8482" spans="25:25" x14ac:dyDescent="0.2">
      <c r="Y8482" s="18"/>
    </row>
    <row r="8483" spans="25:25" x14ac:dyDescent="0.2">
      <c r="Y8483" s="18"/>
    </row>
    <row r="8484" spans="25:25" x14ac:dyDescent="0.2">
      <c r="Y8484" s="18"/>
    </row>
    <row r="8485" spans="25:25" x14ac:dyDescent="0.2">
      <c r="Y8485" s="18"/>
    </row>
    <row r="8486" spans="25:25" x14ac:dyDescent="0.2">
      <c r="Y8486" s="18"/>
    </row>
    <row r="8487" spans="25:25" x14ac:dyDescent="0.2">
      <c r="Y8487" s="18"/>
    </row>
    <row r="8488" spans="25:25" x14ac:dyDescent="0.2">
      <c r="Y8488" s="18"/>
    </row>
    <row r="8489" spans="25:25" x14ac:dyDescent="0.2">
      <c r="Y8489" s="18"/>
    </row>
    <row r="8490" spans="25:25" x14ac:dyDescent="0.2">
      <c r="Y8490" s="18"/>
    </row>
    <row r="8491" spans="25:25" x14ac:dyDescent="0.2">
      <c r="Y8491" s="18"/>
    </row>
    <row r="8492" spans="25:25" x14ac:dyDescent="0.2">
      <c r="Y8492" s="18"/>
    </row>
    <row r="8493" spans="25:25" x14ac:dyDescent="0.2">
      <c r="Y8493" s="18"/>
    </row>
    <row r="8494" spans="25:25" x14ac:dyDescent="0.2">
      <c r="Y8494" s="18"/>
    </row>
    <row r="8495" spans="25:25" x14ac:dyDescent="0.2">
      <c r="Y8495" s="18"/>
    </row>
    <row r="8496" spans="25:25" x14ac:dyDescent="0.2">
      <c r="Y8496" s="18"/>
    </row>
    <row r="8497" spans="25:25" x14ac:dyDescent="0.2">
      <c r="Y8497" s="18"/>
    </row>
    <row r="8498" spans="25:25" x14ac:dyDescent="0.2">
      <c r="Y8498" s="18"/>
    </row>
    <row r="8499" spans="25:25" x14ac:dyDescent="0.2">
      <c r="Y8499" s="18"/>
    </row>
    <row r="8500" spans="25:25" x14ac:dyDescent="0.2">
      <c r="Y8500" s="18"/>
    </row>
    <row r="8501" spans="25:25" x14ac:dyDescent="0.2">
      <c r="Y8501" s="18"/>
    </row>
    <row r="8502" spans="25:25" x14ac:dyDescent="0.2">
      <c r="Y8502" s="18"/>
    </row>
    <row r="8503" spans="25:25" x14ac:dyDescent="0.2">
      <c r="Y8503" s="18"/>
    </row>
    <row r="8504" spans="25:25" x14ac:dyDescent="0.2">
      <c r="Y8504" s="18"/>
    </row>
    <row r="8505" spans="25:25" x14ac:dyDescent="0.2">
      <c r="Y8505" s="18"/>
    </row>
    <row r="8506" spans="25:25" x14ac:dyDescent="0.2">
      <c r="Y8506" s="18"/>
    </row>
    <row r="8507" spans="25:25" x14ac:dyDescent="0.2">
      <c r="Y8507" s="18"/>
    </row>
    <row r="8508" spans="25:25" x14ac:dyDescent="0.2">
      <c r="Y8508" s="18"/>
    </row>
    <row r="8509" spans="25:25" x14ac:dyDescent="0.2">
      <c r="Y8509" s="18"/>
    </row>
    <row r="8510" spans="25:25" x14ac:dyDescent="0.2">
      <c r="Y8510" s="18"/>
    </row>
    <row r="8511" spans="25:25" x14ac:dyDescent="0.2">
      <c r="Y8511" s="18"/>
    </row>
    <row r="8512" spans="25:25" x14ac:dyDescent="0.2">
      <c r="Y8512" s="18"/>
    </row>
    <row r="8513" spans="25:25" x14ac:dyDescent="0.2">
      <c r="Y8513" s="18"/>
    </row>
    <row r="8514" spans="25:25" x14ac:dyDescent="0.2">
      <c r="Y8514" s="18"/>
    </row>
    <row r="8515" spans="25:25" x14ac:dyDescent="0.2">
      <c r="Y8515" s="18"/>
    </row>
    <row r="8516" spans="25:25" x14ac:dyDescent="0.2">
      <c r="Y8516" s="18"/>
    </row>
    <row r="8517" spans="25:25" x14ac:dyDescent="0.2">
      <c r="Y8517" s="18"/>
    </row>
    <row r="8518" spans="25:25" x14ac:dyDescent="0.2">
      <c r="Y8518" s="18"/>
    </row>
    <row r="8519" spans="25:25" x14ac:dyDescent="0.2">
      <c r="Y8519" s="18"/>
    </row>
    <row r="8520" spans="25:25" x14ac:dyDescent="0.2">
      <c r="Y8520" s="18"/>
    </row>
    <row r="8521" spans="25:25" x14ac:dyDescent="0.2">
      <c r="Y8521" s="18"/>
    </row>
    <row r="8522" spans="25:25" x14ac:dyDescent="0.2">
      <c r="Y8522" s="18"/>
    </row>
    <row r="8523" spans="25:25" x14ac:dyDescent="0.2">
      <c r="Y8523" s="18"/>
    </row>
    <row r="8524" spans="25:25" x14ac:dyDescent="0.2">
      <c r="Y8524" s="18"/>
    </row>
    <row r="8525" spans="25:25" x14ac:dyDescent="0.2">
      <c r="Y8525" s="18"/>
    </row>
    <row r="8526" spans="25:25" x14ac:dyDescent="0.2">
      <c r="Y8526" s="18"/>
    </row>
    <row r="8527" spans="25:25" x14ac:dyDescent="0.2">
      <c r="Y8527" s="18"/>
    </row>
    <row r="8528" spans="25:25" x14ac:dyDescent="0.2">
      <c r="Y8528" s="18"/>
    </row>
    <row r="8529" spans="25:25" x14ac:dyDescent="0.2">
      <c r="Y8529" s="18"/>
    </row>
    <row r="8530" spans="25:25" x14ac:dyDescent="0.2">
      <c r="Y8530" s="18"/>
    </row>
    <row r="8531" spans="25:25" x14ac:dyDescent="0.2">
      <c r="Y8531" s="18"/>
    </row>
    <row r="8532" spans="25:25" x14ac:dyDescent="0.2">
      <c r="Y8532" s="18"/>
    </row>
    <row r="8533" spans="25:25" x14ac:dyDescent="0.2">
      <c r="Y8533" s="18"/>
    </row>
    <row r="8534" spans="25:25" x14ac:dyDescent="0.2">
      <c r="Y8534" s="18"/>
    </row>
    <row r="8535" spans="25:25" x14ac:dyDescent="0.2">
      <c r="Y8535" s="18"/>
    </row>
    <row r="8536" spans="25:25" x14ac:dyDescent="0.2">
      <c r="Y8536" s="18"/>
    </row>
    <row r="8537" spans="25:25" x14ac:dyDescent="0.2">
      <c r="Y8537" s="18"/>
    </row>
    <row r="8538" spans="25:25" x14ac:dyDescent="0.2">
      <c r="Y8538" s="18"/>
    </row>
    <row r="8539" spans="25:25" x14ac:dyDescent="0.2">
      <c r="Y8539" s="18"/>
    </row>
    <row r="8540" spans="25:25" x14ac:dyDescent="0.2">
      <c r="Y8540" s="18"/>
    </row>
    <row r="8541" spans="25:25" x14ac:dyDescent="0.2">
      <c r="Y8541" s="18"/>
    </row>
    <row r="8542" spans="25:25" x14ac:dyDescent="0.2">
      <c r="Y8542" s="18"/>
    </row>
    <row r="8543" spans="25:25" x14ac:dyDescent="0.2">
      <c r="Y8543" s="18"/>
    </row>
    <row r="8544" spans="25:25" x14ac:dyDescent="0.2">
      <c r="Y8544" s="18"/>
    </row>
    <row r="8545" spans="25:25" x14ac:dyDescent="0.2">
      <c r="Y8545" s="18"/>
    </row>
    <row r="8546" spans="25:25" x14ac:dyDescent="0.2">
      <c r="Y8546" s="18"/>
    </row>
    <row r="8547" spans="25:25" x14ac:dyDescent="0.2">
      <c r="Y8547" s="18"/>
    </row>
    <row r="8548" spans="25:25" x14ac:dyDescent="0.2">
      <c r="Y8548" s="18"/>
    </row>
    <row r="8549" spans="25:25" x14ac:dyDescent="0.2">
      <c r="Y8549" s="18"/>
    </row>
    <row r="8550" spans="25:25" x14ac:dyDescent="0.2">
      <c r="Y8550" s="18"/>
    </row>
    <row r="8551" spans="25:25" x14ac:dyDescent="0.2">
      <c r="Y8551" s="18"/>
    </row>
    <row r="8552" spans="25:25" x14ac:dyDescent="0.2">
      <c r="Y8552" s="18"/>
    </row>
    <row r="8553" spans="25:25" x14ac:dyDescent="0.2">
      <c r="Y8553" s="18"/>
    </row>
    <row r="8554" spans="25:25" x14ac:dyDescent="0.2">
      <c r="Y8554" s="18"/>
    </row>
    <row r="8555" spans="25:25" x14ac:dyDescent="0.2">
      <c r="Y8555" s="18"/>
    </row>
    <row r="8556" spans="25:25" x14ac:dyDescent="0.2">
      <c r="Y8556" s="18"/>
    </row>
    <row r="8557" spans="25:25" x14ac:dyDescent="0.2">
      <c r="Y8557" s="18"/>
    </row>
    <row r="8558" spans="25:25" x14ac:dyDescent="0.2">
      <c r="Y8558" s="18"/>
    </row>
    <row r="8559" spans="25:25" x14ac:dyDescent="0.2">
      <c r="Y8559" s="18"/>
    </row>
    <row r="8560" spans="25:25" x14ac:dyDescent="0.2">
      <c r="Y8560" s="18"/>
    </row>
    <row r="8561" spans="25:25" x14ac:dyDescent="0.2">
      <c r="Y8561" s="18"/>
    </row>
    <row r="8562" spans="25:25" x14ac:dyDescent="0.2">
      <c r="Y8562" s="18"/>
    </row>
    <row r="8563" spans="25:25" x14ac:dyDescent="0.2">
      <c r="Y8563" s="18"/>
    </row>
    <row r="8564" spans="25:25" x14ac:dyDescent="0.2">
      <c r="Y8564" s="18"/>
    </row>
    <row r="8565" spans="25:25" x14ac:dyDescent="0.2">
      <c r="Y8565" s="18"/>
    </row>
    <row r="8566" spans="25:25" x14ac:dyDescent="0.2">
      <c r="Y8566" s="18"/>
    </row>
    <row r="8567" spans="25:25" x14ac:dyDescent="0.2">
      <c r="Y8567" s="18"/>
    </row>
    <row r="8568" spans="25:25" x14ac:dyDescent="0.2">
      <c r="Y8568" s="18"/>
    </row>
    <row r="8569" spans="25:25" x14ac:dyDescent="0.2">
      <c r="Y8569" s="18"/>
    </row>
    <row r="8570" spans="25:25" x14ac:dyDescent="0.2">
      <c r="Y8570" s="18"/>
    </row>
    <row r="8571" spans="25:25" x14ac:dyDescent="0.2">
      <c r="Y8571" s="18"/>
    </row>
    <row r="8572" spans="25:25" x14ac:dyDescent="0.2">
      <c r="Y8572" s="18"/>
    </row>
    <row r="8573" spans="25:25" x14ac:dyDescent="0.2">
      <c r="Y8573" s="18"/>
    </row>
    <row r="8574" spans="25:25" x14ac:dyDescent="0.2">
      <c r="Y8574" s="18"/>
    </row>
    <row r="8575" spans="25:25" x14ac:dyDescent="0.2">
      <c r="Y8575" s="18"/>
    </row>
    <row r="8576" spans="25:25" x14ac:dyDescent="0.2">
      <c r="Y8576" s="18"/>
    </row>
    <row r="8577" spans="25:25" x14ac:dyDescent="0.2">
      <c r="Y8577" s="18"/>
    </row>
    <row r="8578" spans="25:25" x14ac:dyDescent="0.2">
      <c r="Y8578" s="18"/>
    </row>
    <row r="8579" spans="25:25" x14ac:dyDescent="0.2">
      <c r="Y8579" s="18"/>
    </row>
    <row r="8580" spans="25:25" x14ac:dyDescent="0.2">
      <c r="Y8580" s="18"/>
    </row>
    <row r="8581" spans="25:25" x14ac:dyDescent="0.2">
      <c r="Y8581" s="18"/>
    </row>
    <row r="8582" spans="25:25" x14ac:dyDescent="0.2">
      <c r="Y8582" s="18"/>
    </row>
    <row r="8583" spans="25:25" x14ac:dyDescent="0.2">
      <c r="Y8583" s="18"/>
    </row>
    <row r="8584" spans="25:25" x14ac:dyDescent="0.2">
      <c r="Y8584" s="18"/>
    </row>
    <row r="8585" spans="25:25" x14ac:dyDescent="0.2">
      <c r="Y8585" s="18"/>
    </row>
    <row r="8586" spans="25:25" x14ac:dyDescent="0.2">
      <c r="Y8586" s="18"/>
    </row>
    <row r="8587" spans="25:25" x14ac:dyDescent="0.2">
      <c r="Y8587" s="18"/>
    </row>
    <row r="8588" spans="25:25" x14ac:dyDescent="0.2">
      <c r="Y8588" s="18"/>
    </row>
    <row r="8589" spans="25:25" x14ac:dyDescent="0.2">
      <c r="Y8589" s="18"/>
    </row>
    <row r="8590" spans="25:25" x14ac:dyDescent="0.2">
      <c r="Y8590" s="18"/>
    </row>
    <row r="8591" spans="25:25" x14ac:dyDescent="0.2">
      <c r="Y8591" s="18"/>
    </row>
    <row r="8592" spans="25:25" x14ac:dyDescent="0.2">
      <c r="Y8592" s="18"/>
    </row>
    <row r="8593" spans="25:25" x14ac:dyDescent="0.2">
      <c r="Y8593" s="18"/>
    </row>
    <row r="8594" spans="25:25" x14ac:dyDescent="0.2">
      <c r="Y8594" s="18"/>
    </row>
    <row r="8595" spans="25:25" x14ac:dyDescent="0.2">
      <c r="Y8595" s="18"/>
    </row>
    <row r="8596" spans="25:25" x14ac:dyDescent="0.2">
      <c r="Y8596" s="18"/>
    </row>
    <row r="8597" spans="25:25" x14ac:dyDescent="0.2">
      <c r="Y8597" s="18"/>
    </row>
    <row r="8598" spans="25:25" x14ac:dyDescent="0.2">
      <c r="Y8598" s="18"/>
    </row>
    <row r="8599" spans="25:25" x14ac:dyDescent="0.2">
      <c r="Y8599" s="18"/>
    </row>
    <row r="8600" spans="25:25" x14ac:dyDescent="0.2">
      <c r="Y8600" s="18"/>
    </row>
    <row r="8601" spans="25:25" x14ac:dyDescent="0.2">
      <c r="Y8601" s="18"/>
    </row>
    <row r="8602" spans="25:25" x14ac:dyDescent="0.2">
      <c r="Y8602" s="18"/>
    </row>
    <row r="8603" spans="25:25" x14ac:dyDescent="0.2">
      <c r="Y8603" s="18"/>
    </row>
    <row r="8604" spans="25:25" x14ac:dyDescent="0.2">
      <c r="Y8604" s="18"/>
    </row>
    <row r="8605" spans="25:25" x14ac:dyDescent="0.2">
      <c r="Y8605" s="18"/>
    </row>
    <row r="8606" spans="25:25" x14ac:dyDescent="0.2">
      <c r="Y8606" s="18"/>
    </row>
    <row r="8607" spans="25:25" x14ac:dyDescent="0.2">
      <c r="Y8607" s="18"/>
    </row>
    <row r="8608" spans="25:25" x14ac:dyDescent="0.2">
      <c r="Y8608" s="18"/>
    </row>
    <row r="8609" spans="25:25" x14ac:dyDescent="0.2">
      <c r="Y8609" s="18"/>
    </row>
    <row r="8610" spans="25:25" x14ac:dyDescent="0.2">
      <c r="Y8610" s="18"/>
    </row>
    <row r="8611" spans="25:25" x14ac:dyDescent="0.2">
      <c r="Y8611" s="18"/>
    </row>
    <row r="8612" spans="25:25" x14ac:dyDescent="0.2">
      <c r="Y8612" s="18"/>
    </row>
    <row r="8613" spans="25:25" x14ac:dyDescent="0.2">
      <c r="Y8613" s="18"/>
    </row>
    <row r="8614" spans="25:25" x14ac:dyDescent="0.2">
      <c r="Y8614" s="18"/>
    </row>
    <row r="8615" spans="25:25" x14ac:dyDescent="0.2">
      <c r="Y8615" s="18"/>
    </row>
    <row r="8616" spans="25:25" x14ac:dyDescent="0.2">
      <c r="Y8616" s="18"/>
    </row>
    <row r="8617" spans="25:25" x14ac:dyDescent="0.2">
      <c r="Y8617" s="18"/>
    </row>
    <row r="8618" spans="25:25" x14ac:dyDescent="0.2">
      <c r="Y8618" s="18"/>
    </row>
    <row r="8619" spans="25:25" x14ac:dyDescent="0.2">
      <c r="Y8619" s="18"/>
    </row>
    <row r="8620" spans="25:25" x14ac:dyDescent="0.2">
      <c r="Y8620" s="18"/>
    </row>
    <row r="8621" spans="25:25" x14ac:dyDescent="0.2">
      <c r="Y8621" s="18"/>
    </row>
    <row r="8622" spans="25:25" x14ac:dyDescent="0.2">
      <c r="Y8622" s="18"/>
    </row>
    <row r="8623" spans="25:25" x14ac:dyDescent="0.2">
      <c r="Y8623" s="18"/>
    </row>
    <row r="8624" spans="25:25" x14ac:dyDescent="0.2">
      <c r="Y8624" s="18"/>
    </row>
    <row r="8625" spans="25:25" x14ac:dyDescent="0.2">
      <c r="Y8625" s="18"/>
    </row>
    <row r="8626" spans="25:25" x14ac:dyDescent="0.2">
      <c r="Y8626" s="18"/>
    </row>
    <row r="8627" spans="25:25" x14ac:dyDescent="0.2">
      <c r="Y8627" s="18"/>
    </row>
    <row r="8628" spans="25:25" x14ac:dyDescent="0.2">
      <c r="Y8628" s="18"/>
    </row>
    <row r="8629" spans="25:25" x14ac:dyDescent="0.2">
      <c r="Y8629" s="18"/>
    </row>
    <row r="8630" spans="25:25" x14ac:dyDescent="0.2">
      <c r="Y8630" s="18"/>
    </row>
    <row r="8631" spans="25:25" x14ac:dyDescent="0.2">
      <c r="Y8631" s="18"/>
    </row>
    <row r="8632" spans="25:25" x14ac:dyDescent="0.2">
      <c r="Y8632" s="18"/>
    </row>
    <row r="8633" spans="25:25" x14ac:dyDescent="0.2">
      <c r="Y8633" s="18"/>
    </row>
    <row r="8634" spans="25:25" x14ac:dyDescent="0.2">
      <c r="Y8634" s="18"/>
    </row>
    <row r="8635" spans="25:25" x14ac:dyDescent="0.2">
      <c r="Y8635" s="18"/>
    </row>
    <row r="8636" spans="25:25" x14ac:dyDescent="0.2">
      <c r="Y8636" s="18"/>
    </row>
    <row r="8637" spans="25:25" x14ac:dyDescent="0.2">
      <c r="Y8637" s="18"/>
    </row>
    <row r="8638" spans="25:25" x14ac:dyDescent="0.2">
      <c r="Y8638" s="18"/>
    </row>
    <row r="8639" spans="25:25" x14ac:dyDescent="0.2">
      <c r="Y8639" s="18"/>
    </row>
    <row r="8640" spans="25:25" x14ac:dyDescent="0.2">
      <c r="Y8640" s="18"/>
    </row>
    <row r="8641" spans="25:25" x14ac:dyDescent="0.2">
      <c r="Y8641" s="18"/>
    </row>
    <row r="8642" spans="25:25" x14ac:dyDescent="0.2">
      <c r="Y8642" s="18"/>
    </row>
    <row r="8643" spans="25:25" x14ac:dyDescent="0.2">
      <c r="Y8643" s="18"/>
    </row>
    <row r="8644" spans="25:25" x14ac:dyDescent="0.2">
      <c r="Y8644" s="18"/>
    </row>
    <row r="8645" spans="25:25" x14ac:dyDescent="0.2">
      <c r="Y8645" s="18"/>
    </row>
    <row r="8646" spans="25:25" x14ac:dyDescent="0.2">
      <c r="Y8646" s="18"/>
    </row>
    <row r="8647" spans="25:25" x14ac:dyDescent="0.2">
      <c r="Y8647" s="18"/>
    </row>
    <row r="8648" spans="25:25" x14ac:dyDescent="0.2">
      <c r="Y8648" s="18"/>
    </row>
    <row r="8649" spans="25:25" x14ac:dyDescent="0.2">
      <c r="Y8649" s="18"/>
    </row>
    <row r="8650" spans="25:25" x14ac:dyDescent="0.2">
      <c r="Y8650" s="18"/>
    </row>
    <row r="8651" spans="25:25" x14ac:dyDescent="0.2">
      <c r="Y8651" s="18"/>
    </row>
    <row r="8652" spans="25:25" x14ac:dyDescent="0.2">
      <c r="Y8652" s="18"/>
    </row>
    <row r="8653" spans="25:25" x14ac:dyDescent="0.2">
      <c r="Y8653" s="18"/>
    </row>
    <row r="8654" spans="25:25" x14ac:dyDescent="0.2">
      <c r="Y8654" s="18"/>
    </row>
    <row r="8655" spans="25:25" x14ac:dyDescent="0.2">
      <c r="Y8655" s="18"/>
    </row>
    <row r="8656" spans="25:25" x14ac:dyDescent="0.2">
      <c r="Y8656" s="18"/>
    </row>
    <row r="8657" spans="25:25" x14ac:dyDescent="0.2">
      <c r="Y8657" s="18"/>
    </row>
    <row r="8658" spans="25:25" x14ac:dyDescent="0.2">
      <c r="Y8658" s="18"/>
    </row>
    <row r="8659" spans="25:25" x14ac:dyDescent="0.2">
      <c r="Y8659" s="18"/>
    </row>
    <row r="8660" spans="25:25" x14ac:dyDescent="0.2">
      <c r="Y8660" s="18"/>
    </row>
    <row r="8661" spans="25:25" x14ac:dyDescent="0.2">
      <c r="Y8661" s="18"/>
    </row>
    <row r="8662" spans="25:25" x14ac:dyDescent="0.2">
      <c r="Y8662" s="18"/>
    </row>
    <row r="8663" spans="25:25" x14ac:dyDescent="0.2">
      <c r="Y8663" s="18"/>
    </row>
    <row r="8664" spans="25:25" x14ac:dyDescent="0.2">
      <c r="Y8664" s="18"/>
    </row>
    <row r="8665" spans="25:25" x14ac:dyDescent="0.2">
      <c r="Y8665" s="18"/>
    </row>
    <row r="8666" spans="25:25" x14ac:dyDescent="0.2">
      <c r="Y8666" s="18"/>
    </row>
    <row r="8667" spans="25:25" x14ac:dyDescent="0.2">
      <c r="Y8667" s="18"/>
    </row>
    <row r="8668" spans="25:25" x14ac:dyDescent="0.2">
      <c r="Y8668" s="18"/>
    </row>
    <row r="8669" spans="25:25" x14ac:dyDescent="0.2">
      <c r="Y8669" s="18"/>
    </row>
    <row r="8670" spans="25:25" x14ac:dyDescent="0.2">
      <c r="Y8670" s="18"/>
    </row>
    <row r="8671" spans="25:25" x14ac:dyDescent="0.2">
      <c r="Y8671" s="18"/>
    </row>
    <row r="8672" spans="25:25" x14ac:dyDescent="0.2">
      <c r="Y8672" s="18"/>
    </row>
    <row r="8673" spans="25:25" x14ac:dyDescent="0.2">
      <c r="Y8673" s="18"/>
    </row>
    <row r="8674" spans="25:25" x14ac:dyDescent="0.2">
      <c r="Y8674" s="18"/>
    </row>
    <row r="8675" spans="25:25" x14ac:dyDescent="0.2">
      <c r="Y8675" s="18"/>
    </row>
    <row r="8676" spans="25:25" x14ac:dyDescent="0.2">
      <c r="Y8676" s="18"/>
    </row>
    <row r="8677" spans="25:25" x14ac:dyDescent="0.2">
      <c r="Y8677" s="18"/>
    </row>
    <row r="8678" spans="25:25" x14ac:dyDescent="0.2">
      <c r="Y8678" s="18"/>
    </row>
    <row r="8679" spans="25:25" x14ac:dyDescent="0.2">
      <c r="Y8679" s="18"/>
    </row>
    <row r="8680" spans="25:25" x14ac:dyDescent="0.2">
      <c r="Y8680" s="18"/>
    </row>
    <row r="8681" spans="25:25" x14ac:dyDescent="0.2">
      <c r="Y8681" s="18"/>
    </row>
    <row r="8682" spans="25:25" x14ac:dyDescent="0.2">
      <c r="Y8682" s="18"/>
    </row>
    <row r="8683" spans="25:25" x14ac:dyDescent="0.2">
      <c r="Y8683" s="18"/>
    </row>
    <row r="8684" spans="25:25" x14ac:dyDescent="0.2">
      <c r="Y8684" s="18"/>
    </row>
    <row r="8685" spans="25:25" x14ac:dyDescent="0.2">
      <c r="Y8685" s="18"/>
    </row>
    <row r="8686" spans="25:25" x14ac:dyDescent="0.2">
      <c r="Y8686" s="18"/>
    </row>
    <row r="8687" spans="25:25" x14ac:dyDescent="0.2">
      <c r="Y8687" s="18"/>
    </row>
    <row r="8688" spans="25:25" x14ac:dyDescent="0.2">
      <c r="Y8688" s="18"/>
    </row>
    <row r="8689" spans="25:25" x14ac:dyDescent="0.2">
      <c r="Y8689" s="18"/>
    </row>
    <row r="8690" spans="25:25" x14ac:dyDescent="0.2">
      <c r="Y8690" s="18"/>
    </row>
    <row r="8691" spans="25:25" x14ac:dyDescent="0.2">
      <c r="Y8691" s="18"/>
    </row>
    <row r="8692" spans="25:25" x14ac:dyDescent="0.2">
      <c r="Y8692" s="18"/>
    </row>
    <row r="8693" spans="25:25" x14ac:dyDescent="0.2">
      <c r="Y8693" s="18"/>
    </row>
    <row r="8694" spans="25:25" x14ac:dyDescent="0.2">
      <c r="Y8694" s="18"/>
    </row>
    <row r="8695" spans="25:25" x14ac:dyDescent="0.2">
      <c r="Y8695" s="18"/>
    </row>
    <row r="8696" spans="25:25" x14ac:dyDescent="0.2">
      <c r="Y8696" s="18"/>
    </row>
    <row r="8697" spans="25:25" x14ac:dyDescent="0.2">
      <c r="Y8697" s="18"/>
    </row>
    <row r="8698" spans="25:25" x14ac:dyDescent="0.2">
      <c r="Y8698" s="18"/>
    </row>
    <row r="8699" spans="25:25" x14ac:dyDescent="0.2">
      <c r="Y8699" s="18"/>
    </row>
    <row r="8700" spans="25:25" x14ac:dyDescent="0.2">
      <c r="Y8700" s="18"/>
    </row>
    <row r="8701" spans="25:25" x14ac:dyDescent="0.2">
      <c r="Y8701" s="18"/>
    </row>
    <row r="8702" spans="25:25" x14ac:dyDescent="0.2">
      <c r="Y8702" s="18"/>
    </row>
    <row r="8703" spans="25:25" x14ac:dyDescent="0.2">
      <c r="Y8703" s="18"/>
    </row>
    <row r="8704" spans="25:25" x14ac:dyDescent="0.2">
      <c r="Y8704" s="18"/>
    </row>
    <row r="8705" spans="25:25" x14ac:dyDescent="0.2">
      <c r="Y8705" s="18"/>
    </row>
    <row r="8706" spans="25:25" x14ac:dyDescent="0.2">
      <c r="Y8706" s="18"/>
    </row>
    <row r="8707" spans="25:25" x14ac:dyDescent="0.2">
      <c r="Y8707" s="18"/>
    </row>
    <row r="8708" spans="25:25" x14ac:dyDescent="0.2">
      <c r="Y8708" s="18"/>
    </row>
    <row r="8709" spans="25:25" x14ac:dyDescent="0.2">
      <c r="Y8709" s="18"/>
    </row>
    <row r="8710" spans="25:25" x14ac:dyDescent="0.2">
      <c r="Y8710" s="18"/>
    </row>
    <row r="8711" spans="25:25" x14ac:dyDescent="0.2">
      <c r="Y8711" s="18"/>
    </row>
    <row r="8712" spans="25:25" x14ac:dyDescent="0.2">
      <c r="Y8712" s="18"/>
    </row>
    <row r="8713" spans="25:25" x14ac:dyDescent="0.2">
      <c r="Y8713" s="18"/>
    </row>
    <row r="8714" spans="25:25" x14ac:dyDescent="0.2">
      <c r="Y8714" s="18"/>
    </row>
    <row r="8715" spans="25:25" x14ac:dyDescent="0.2">
      <c r="Y8715" s="18"/>
    </row>
    <row r="8716" spans="25:25" x14ac:dyDescent="0.2">
      <c r="Y8716" s="18"/>
    </row>
    <row r="8717" spans="25:25" x14ac:dyDescent="0.2">
      <c r="Y8717" s="18"/>
    </row>
    <row r="8718" spans="25:25" x14ac:dyDescent="0.2">
      <c r="Y8718" s="18"/>
    </row>
    <row r="8719" spans="25:25" x14ac:dyDescent="0.2">
      <c r="Y8719" s="18"/>
    </row>
    <row r="8720" spans="25:25" x14ac:dyDescent="0.2">
      <c r="Y8720" s="18"/>
    </row>
    <row r="8721" spans="25:25" x14ac:dyDescent="0.2">
      <c r="Y8721" s="18"/>
    </row>
    <row r="8722" spans="25:25" x14ac:dyDescent="0.2">
      <c r="Y8722" s="18"/>
    </row>
    <row r="8723" spans="25:25" x14ac:dyDescent="0.2">
      <c r="Y8723" s="18"/>
    </row>
    <row r="8724" spans="25:25" x14ac:dyDescent="0.2">
      <c r="Y8724" s="18"/>
    </row>
    <row r="8725" spans="25:25" x14ac:dyDescent="0.2">
      <c r="Y8725" s="18"/>
    </row>
    <row r="8726" spans="25:25" x14ac:dyDescent="0.2">
      <c r="Y8726" s="18"/>
    </row>
    <row r="8727" spans="25:25" x14ac:dyDescent="0.2">
      <c r="Y8727" s="18"/>
    </row>
    <row r="8728" spans="25:25" x14ac:dyDescent="0.2">
      <c r="Y8728" s="18"/>
    </row>
    <row r="8729" spans="25:25" x14ac:dyDescent="0.2">
      <c r="Y8729" s="18"/>
    </row>
    <row r="8730" spans="25:25" x14ac:dyDescent="0.2">
      <c r="Y8730" s="18"/>
    </row>
    <row r="8731" spans="25:25" x14ac:dyDescent="0.2">
      <c r="Y8731" s="18"/>
    </row>
    <row r="8732" spans="25:25" x14ac:dyDescent="0.2">
      <c r="Y8732" s="18"/>
    </row>
    <row r="8733" spans="25:25" x14ac:dyDescent="0.2">
      <c r="Y8733" s="18"/>
    </row>
    <row r="8734" spans="25:25" x14ac:dyDescent="0.2">
      <c r="Y8734" s="18"/>
    </row>
    <row r="8735" spans="25:25" x14ac:dyDescent="0.2">
      <c r="Y8735" s="18"/>
    </row>
    <row r="8736" spans="25:25" x14ac:dyDescent="0.2">
      <c r="Y8736" s="18"/>
    </row>
    <row r="8737" spans="25:25" x14ac:dyDescent="0.2">
      <c r="Y8737" s="18"/>
    </row>
    <row r="8738" spans="25:25" x14ac:dyDescent="0.2">
      <c r="Y8738" s="18"/>
    </row>
    <row r="8739" spans="25:25" x14ac:dyDescent="0.2">
      <c r="Y8739" s="18"/>
    </row>
    <row r="8740" spans="25:25" x14ac:dyDescent="0.2">
      <c r="Y8740" s="18"/>
    </row>
    <row r="8741" spans="25:25" x14ac:dyDescent="0.2">
      <c r="Y8741" s="18"/>
    </row>
    <row r="8742" spans="25:25" x14ac:dyDescent="0.2">
      <c r="Y8742" s="18"/>
    </row>
    <row r="8743" spans="25:25" x14ac:dyDescent="0.2">
      <c r="Y8743" s="18"/>
    </row>
    <row r="8744" spans="25:25" x14ac:dyDescent="0.2">
      <c r="Y8744" s="18"/>
    </row>
    <row r="8745" spans="25:25" x14ac:dyDescent="0.2">
      <c r="Y8745" s="18"/>
    </row>
    <row r="8746" spans="25:25" x14ac:dyDescent="0.2">
      <c r="Y8746" s="18"/>
    </row>
    <row r="8747" spans="25:25" x14ac:dyDescent="0.2">
      <c r="Y8747" s="18"/>
    </row>
    <row r="8748" spans="25:25" x14ac:dyDescent="0.2">
      <c r="Y8748" s="18"/>
    </row>
    <row r="8749" spans="25:25" x14ac:dyDescent="0.2">
      <c r="Y8749" s="18"/>
    </row>
    <row r="8750" spans="25:25" x14ac:dyDescent="0.2">
      <c r="Y8750" s="18"/>
    </row>
    <row r="8751" spans="25:25" x14ac:dyDescent="0.2">
      <c r="Y8751" s="18"/>
    </row>
    <row r="8752" spans="25:25" x14ac:dyDescent="0.2">
      <c r="Y8752" s="18"/>
    </row>
    <row r="8753" spans="25:25" x14ac:dyDescent="0.2">
      <c r="Y8753" s="18"/>
    </row>
    <row r="8754" spans="25:25" x14ac:dyDescent="0.2">
      <c r="Y8754" s="18"/>
    </row>
    <row r="8755" spans="25:25" x14ac:dyDescent="0.2">
      <c r="Y8755" s="18"/>
    </row>
    <row r="8756" spans="25:25" x14ac:dyDescent="0.2">
      <c r="Y8756" s="18"/>
    </row>
    <row r="8757" spans="25:25" x14ac:dyDescent="0.2">
      <c r="Y8757" s="18"/>
    </row>
    <row r="8758" spans="25:25" x14ac:dyDescent="0.2">
      <c r="Y8758" s="18"/>
    </row>
    <row r="8759" spans="25:25" x14ac:dyDescent="0.2">
      <c r="Y8759" s="18"/>
    </row>
    <row r="8760" spans="25:25" x14ac:dyDescent="0.2">
      <c r="Y8760" s="18"/>
    </row>
    <row r="8761" spans="25:25" x14ac:dyDescent="0.2">
      <c r="Y8761" s="18"/>
    </row>
    <row r="8762" spans="25:25" x14ac:dyDescent="0.2">
      <c r="Y8762" s="18"/>
    </row>
    <row r="8763" spans="25:25" x14ac:dyDescent="0.2">
      <c r="Y8763" s="18"/>
    </row>
    <row r="8764" spans="25:25" x14ac:dyDescent="0.2">
      <c r="Y8764" s="18"/>
    </row>
    <row r="8765" spans="25:25" x14ac:dyDescent="0.2">
      <c r="Y8765" s="18"/>
    </row>
    <row r="8766" spans="25:25" x14ac:dyDescent="0.2">
      <c r="Y8766" s="18"/>
    </row>
    <row r="8767" spans="25:25" x14ac:dyDescent="0.2">
      <c r="Y8767" s="18"/>
    </row>
    <row r="8768" spans="25:25" x14ac:dyDescent="0.2">
      <c r="Y8768" s="18"/>
    </row>
    <row r="8769" spans="23:25" x14ac:dyDescent="0.2">
      <c r="W8769" s="17"/>
      <c r="X8769" s="7"/>
      <c r="Y8769" s="18"/>
    </row>
    <row r="8770" spans="23:25" x14ac:dyDescent="0.2">
      <c r="W8770" s="17"/>
      <c r="X8770" s="7"/>
      <c r="Y8770" s="18"/>
    </row>
    <row r="8771" spans="23:25" x14ac:dyDescent="0.2">
      <c r="W8771" s="17"/>
      <c r="X8771" s="7"/>
      <c r="Y8771" s="18"/>
    </row>
    <row r="8772" spans="23:25" x14ac:dyDescent="0.2">
      <c r="W8772" s="17"/>
      <c r="X8772" s="7"/>
      <c r="Y8772" s="18"/>
    </row>
    <row r="8773" spans="23:25" x14ac:dyDescent="0.2">
      <c r="W8773" s="17"/>
      <c r="X8773" s="7"/>
      <c r="Y8773" s="18"/>
    </row>
    <row r="8774" spans="23:25" x14ac:dyDescent="0.2">
      <c r="W8774" s="17"/>
      <c r="X8774" s="7"/>
      <c r="Y8774" s="18"/>
    </row>
    <row r="8775" spans="23:25" x14ac:dyDescent="0.2">
      <c r="W8775" s="17"/>
      <c r="X8775" s="7"/>
      <c r="Y8775" s="18"/>
    </row>
    <row r="8776" spans="23:25" x14ac:dyDescent="0.2">
      <c r="W8776" s="17"/>
      <c r="X8776" s="7"/>
      <c r="Y8776" s="18"/>
    </row>
    <row r="8777" spans="23:25" x14ac:dyDescent="0.2">
      <c r="W8777" s="17"/>
      <c r="X8777" s="7"/>
      <c r="Y8777" s="18"/>
    </row>
    <row r="8778" spans="23:25" x14ac:dyDescent="0.2">
      <c r="W8778" s="17"/>
      <c r="X8778" s="7"/>
      <c r="Y8778" s="18"/>
    </row>
    <row r="8779" spans="23:25" x14ac:dyDescent="0.2">
      <c r="Y8779" s="18"/>
    </row>
    <row r="8780" spans="23:25" x14ac:dyDescent="0.2">
      <c r="Y8780" s="18"/>
    </row>
    <row r="8781" spans="23:25" x14ac:dyDescent="0.2">
      <c r="Y8781" s="18"/>
    </row>
    <row r="8782" spans="23:25" x14ac:dyDescent="0.2">
      <c r="Y8782" s="18"/>
    </row>
    <row r="8783" spans="23:25" x14ac:dyDescent="0.2">
      <c r="Y8783" s="18"/>
    </row>
    <row r="8784" spans="23:25" x14ac:dyDescent="0.2">
      <c r="Y8784" s="18"/>
    </row>
    <row r="8785" spans="25:25" x14ac:dyDescent="0.2">
      <c r="Y8785" s="18"/>
    </row>
    <row r="8786" spans="25:25" x14ac:dyDescent="0.2">
      <c r="Y8786" s="18"/>
    </row>
    <row r="8787" spans="25:25" x14ac:dyDescent="0.2">
      <c r="Y8787" s="18"/>
    </row>
    <row r="8788" spans="25:25" x14ac:dyDescent="0.2">
      <c r="Y8788" s="18"/>
    </row>
    <row r="8789" spans="25:25" x14ac:dyDescent="0.2">
      <c r="Y8789" s="18"/>
    </row>
    <row r="8790" spans="25:25" x14ac:dyDescent="0.2">
      <c r="Y8790" s="18"/>
    </row>
    <row r="8791" spans="25:25" x14ac:dyDescent="0.2">
      <c r="Y8791" s="18"/>
    </row>
    <row r="8792" spans="25:25" x14ac:dyDescent="0.2">
      <c r="Y8792" s="18"/>
    </row>
    <row r="8793" spans="25:25" x14ac:dyDescent="0.2">
      <c r="Y8793" s="18"/>
    </row>
    <row r="8794" spans="25:25" x14ac:dyDescent="0.2">
      <c r="Y8794" s="18"/>
    </row>
    <row r="8795" spans="25:25" x14ac:dyDescent="0.2">
      <c r="Y8795" s="18"/>
    </row>
    <row r="8796" spans="25:25" x14ac:dyDescent="0.2">
      <c r="Y8796" s="18"/>
    </row>
    <row r="8797" spans="25:25" x14ac:dyDescent="0.2">
      <c r="Y8797" s="18"/>
    </row>
    <row r="8798" spans="25:25" x14ac:dyDescent="0.2">
      <c r="Y8798" s="18"/>
    </row>
    <row r="8799" spans="25:25" x14ac:dyDescent="0.2">
      <c r="Y8799" s="18"/>
    </row>
    <row r="8800" spans="25:25" x14ac:dyDescent="0.2">
      <c r="Y8800" s="18"/>
    </row>
    <row r="8801" spans="25:25" x14ac:dyDescent="0.2">
      <c r="Y8801" s="18"/>
    </row>
    <row r="8802" spans="25:25" x14ac:dyDescent="0.2">
      <c r="Y8802" s="18"/>
    </row>
    <row r="8803" spans="25:25" x14ac:dyDescent="0.2">
      <c r="Y8803" s="18"/>
    </row>
    <row r="8804" spans="25:25" x14ac:dyDescent="0.2">
      <c r="Y8804" s="18"/>
    </row>
    <row r="8805" spans="25:25" x14ac:dyDescent="0.2">
      <c r="Y8805" s="18"/>
    </row>
    <row r="8806" spans="25:25" x14ac:dyDescent="0.2">
      <c r="Y8806" s="18"/>
    </row>
    <row r="8807" spans="25:25" x14ac:dyDescent="0.2">
      <c r="Y8807" s="18"/>
    </row>
    <row r="8808" spans="25:25" x14ac:dyDescent="0.2">
      <c r="Y8808" s="18"/>
    </row>
    <row r="8809" spans="25:25" x14ac:dyDescent="0.2">
      <c r="Y8809" s="18"/>
    </row>
    <row r="8810" spans="25:25" x14ac:dyDescent="0.2">
      <c r="Y8810" s="18"/>
    </row>
    <row r="8811" spans="25:25" x14ac:dyDescent="0.2">
      <c r="Y8811" s="18"/>
    </row>
    <row r="8812" spans="25:25" x14ac:dyDescent="0.2">
      <c r="Y8812" s="18"/>
    </row>
    <row r="8813" spans="25:25" x14ac:dyDescent="0.2">
      <c r="Y8813" s="18"/>
    </row>
    <row r="8814" spans="25:25" x14ac:dyDescent="0.2">
      <c r="Y8814" s="18"/>
    </row>
    <row r="8815" spans="25:25" x14ac:dyDescent="0.2">
      <c r="Y8815" s="18"/>
    </row>
    <row r="8816" spans="25:25" x14ac:dyDescent="0.2">
      <c r="Y8816" s="18"/>
    </row>
    <row r="8817" spans="25:25" x14ac:dyDescent="0.2">
      <c r="Y8817" s="18"/>
    </row>
    <row r="8818" spans="25:25" x14ac:dyDescent="0.2">
      <c r="Y8818" s="18"/>
    </row>
    <row r="8819" spans="25:25" x14ac:dyDescent="0.2">
      <c r="Y8819" s="18"/>
    </row>
    <row r="8820" spans="25:25" x14ac:dyDescent="0.2">
      <c r="Y8820" s="18"/>
    </row>
    <row r="8821" spans="25:25" x14ac:dyDescent="0.2">
      <c r="Y8821" s="18"/>
    </row>
    <row r="8822" spans="25:25" x14ac:dyDescent="0.2">
      <c r="Y8822" s="18"/>
    </row>
    <row r="8823" spans="25:25" x14ac:dyDescent="0.2">
      <c r="Y8823" s="18"/>
    </row>
    <row r="8824" spans="25:25" x14ac:dyDescent="0.2">
      <c r="Y8824" s="18"/>
    </row>
    <row r="8825" spans="25:25" x14ac:dyDescent="0.2">
      <c r="Y8825" s="18"/>
    </row>
    <row r="8826" spans="25:25" x14ac:dyDescent="0.2">
      <c r="Y8826" s="18"/>
    </row>
    <row r="8827" spans="25:25" x14ac:dyDescent="0.2">
      <c r="Y8827" s="18"/>
    </row>
    <row r="8828" spans="25:25" x14ac:dyDescent="0.2">
      <c r="Y8828" s="18"/>
    </row>
    <row r="8829" spans="25:25" x14ac:dyDescent="0.2">
      <c r="Y8829" s="18"/>
    </row>
    <row r="8830" spans="25:25" x14ac:dyDescent="0.2">
      <c r="Y8830" s="18"/>
    </row>
    <row r="8831" spans="25:25" x14ac:dyDescent="0.2">
      <c r="Y8831" s="18"/>
    </row>
    <row r="8832" spans="25:25" x14ac:dyDescent="0.2">
      <c r="Y8832" s="18"/>
    </row>
    <row r="8833" spans="25:25" x14ac:dyDescent="0.2">
      <c r="Y8833" s="18"/>
    </row>
    <row r="8834" spans="25:25" x14ac:dyDescent="0.2">
      <c r="Y8834" s="18"/>
    </row>
    <row r="8835" spans="25:25" x14ac:dyDescent="0.2">
      <c r="Y8835" s="18"/>
    </row>
    <row r="8836" spans="25:25" x14ac:dyDescent="0.2">
      <c r="Y8836" s="18"/>
    </row>
    <row r="8837" spans="25:25" x14ac:dyDescent="0.2">
      <c r="Y8837" s="18"/>
    </row>
    <row r="8838" spans="25:25" x14ac:dyDescent="0.2">
      <c r="Y8838" s="18"/>
    </row>
    <row r="8839" spans="25:25" x14ac:dyDescent="0.2">
      <c r="Y8839" s="18"/>
    </row>
    <row r="8840" spans="25:25" x14ac:dyDescent="0.2">
      <c r="Y8840" s="18"/>
    </row>
    <row r="8841" spans="25:25" x14ac:dyDescent="0.2">
      <c r="Y8841" s="18"/>
    </row>
    <row r="8842" spans="25:25" x14ac:dyDescent="0.2">
      <c r="Y8842" s="18"/>
    </row>
    <row r="8843" spans="25:25" x14ac:dyDescent="0.2">
      <c r="Y8843" s="18"/>
    </row>
    <row r="8844" spans="25:25" x14ac:dyDescent="0.2">
      <c r="Y8844" s="18"/>
    </row>
    <row r="8845" spans="25:25" x14ac:dyDescent="0.2">
      <c r="Y8845" s="18"/>
    </row>
    <row r="8846" spans="25:25" x14ac:dyDescent="0.2">
      <c r="Y8846" s="18"/>
    </row>
    <row r="8847" spans="25:25" x14ac:dyDescent="0.2">
      <c r="Y8847" s="18"/>
    </row>
    <row r="8848" spans="25:25" x14ac:dyDescent="0.2">
      <c r="Y8848" s="18"/>
    </row>
    <row r="8849" spans="25:25" x14ac:dyDescent="0.2">
      <c r="Y8849" s="18"/>
    </row>
    <row r="8850" spans="25:25" x14ac:dyDescent="0.2">
      <c r="Y8850" s="18"/>
    </row>
    <row r="8851" spans="25:25" x14ac:dyDescent="0.2">
      <c r="Y8851" s="18"/>
    </row>
    <row r="8852" spans="25:25" x14ac:dyDescent="0.2">
      <c r="Y8852" s="18"/>
    </row>
    <row r="8853" spans="25:25" x14ac:dyDescent="0.2">
      <c r="Y8853" s="18"/>
    </row>
    <row r="8854" spans="25:25" x14ac:dyDescent="0.2">
      <c r="Y8854" s="18"/>
    </row>
    <row r="8855" spans="25:25" x14ac:dyDescent="0.2">
      <c r="Y8855" s="18"/>
    </row>
    <row r="8856" spans="25:25" x14ac:dyDescent="0.2">
      <c r="Y8856" s="18"/>
    </row>
    <row r="8857" spans="25:25" x14ac:dyDescent="0.2">
      <c r="Y8857" s="18"/>
    </row>
    <row r="8858" spans="25:25" x14ac:dyDescent="0.2">
      <c r="Y8858" s="18"/>
    </row>
    <row r="8859" spans="25:25" x14ac:dyDescent="0.2">
      <c r="Y8859" s="18"/>
    </row>
    <row r="8860" spans="25:25" x14ac:dyDescent="0.2">
      <c r="Y8860" s="18"/>
    </row>
    <row r="8861" spans="25:25" x14ac:dyDescent="0.2">
      <c r="Y8861" s="18"/>
    </row>
    <row r="8862" spans="25:25" x14ac:dyDescent="0.2">
      <c r="Y8862" s="18"/>
    </row>
    <row r="8863" spans="25:25" x14ac:dyDescent="0.2">
      <c r="Y8863" s="18"/>
    </row>
    <row r="8864" spans="25:25" x14ac:dyDescent="0.2">
      <c r="Y8864" s="18"/>
    </row>
    <row r="8865" spans="25:25" x14ac:dyDescent="0.2">
      <c r="Y8865" s="18"/>
    </row>
    <row r="8866" spans="25:25" x14ac:dyDescent="0.2">
      <c r="Y8866" s="18"/>
    </row>
    <row r="8867" spans="25:25" x14ac:dyDescent="0.2">
      <c r="Y8867" s="18"/>
    </row>
    <row r="8868" spans="25:25" x14ac:dyDescent="0.2">
      <c r="Y8868" s="18"/>
    </row>
    <row r="8869" spans="25:25" x14ac:dyDescent="0.2">
      <c r="Y8869" s="18"/>
    </row>
    <row r="8870" spans="25:25" x14ac:dyDescent="0.2">
      <c r="Y8870" s="18"/>
    </row>
    <row r="8871" spans="25:25" x14ac:dyDescent="0.2">
      <c r="Y8871" s="18"/>
    </row>
    <row r="8872" spans="25:25" x14ac:dyDescent="0.2">
      <c r="Y8872" s="18"/>
    </row>
    <row r="8873" spans="25:25" x14ac:dyDescent="0.2">
      <c r="Y8873" s="18"/>
    </row>
    <row r="8874" spans="25:25" x14ac:dyDescent="0.2">
      <c r="Y8874" s="18"/>
    </row>
    <row r="8875" spans="25:25" x14ac:dyDescent="0.2">
      <c r="Y8875" s="18"/>
    </row>
    <row r="8876" spans="25:25" x14ac:dyDescent="0.2">
      <c r="Y8876" s="18"/>
    </row>
    <row r="8877" spans="25:25" x14ac:dyDescent="0.2">
      <c r="Y8877" s="18"/>
    </row>
    <row r="8878" spans="25:25" x14ac:dyDescent="0.2">
      <c r="Y8878" s="18"/>
    </row>
    <row r="8879" spans="25:25" x14ac:dyDescent="0.2">
      <c r="Y8879" s="18"/>
    </row>
    <row r="8880" spans="25:25" x14ac:dyDescent="0.2">
      <c r="Y8880" s="18"/>
    </row>
    <row r="8881" spans="25:25" x14ac:dyDescent="0.2">
      <c r="Y8881" s="18"/>
    </row>
    <row r="8882" spans="25:25" x14ac:dyDescent="0.2">
      <c r="Y8882" s="18"/>
    </row>
    <row r="8883" spans="25:25" x14ac:dyDescent="0.2">
      <c r="Y8883" s="18"/>
    </row>
    <row r="8884" spans="25:25" x14ac:dyDescent="0.2">
      <c r="Y8884" s="18"/>
    </row>
    <row r="8885" spans="25:25" x14ac:dyDescent="0.2">
      <c r="Y8885" s="18"/>
    </row>
    <row r="8886" spans="25:25" x14ac:dyDescent="0.2">
      <c r="Y8886" s="18"/>
    </row>
    <row r="8887" spans="25:25" x14ac:dyDescent="0.2">
      <c r="Y8887" s="18"/>
    </row>
    <row r="8888" spans="25:25" x14ac:dyDescent="0.2">
      <c r="Y8888" s="18"/>
    </row>
    <row r="8889" spans="25:25" x14ac:dyDescent="0.2">
      <c r="Y8889" s="18"/>
    </row>
    <row r="8890" spans="25:25" x14ac:dyDescent="0.2">
      <c r="Y8890" s="18"/>
    </row>
    <row r="8891" spans="25:25" x14ac:dyDescent="0.2">
      <c r="Y8891" s="18"/>
    </row>
    <row r="8892" spans="25:25" x14ac:dyDescent="0.2">
      <c r="Y8892" s="18"/>
    </row>
    <row r="8893" spans="25:25" x14ac:dyDescent="0.2">
      <c r="Y8893" s="18"/>
    </row>
    <row r="8894" spans="25:25" x14ac:dyDescent="0.2">
      <c r="Y8894" s="18"/>
    </row>
    <row r="8895" spans="25:25" x14ac:dyDescent="0.2">
      <c r="Y8895" s="18"/>
    </row>
    <row r="8896" spans="25:25" x14ac:dyDescent="0.2">
      <c r="Y8896" s="18"/>
    </row>
    <row r="8897" spans="25:25" x14ac:dyDescent="0.2">
      <c r="Y8897" s="18"/>
    </row>
    <row r="8898" spans="25:25" x14ac:dyDescent="0.2">
      <c r="Y8898" s="18"/>
    </row>
    <row r="8899" spans="25:25" x14ac:dyDescent="0.2">
      <c r="Y8899" s="18"/>
    </row>
    <row r="8900" spans="25:25" x14ac:dyDescent="0.2">
      <c r="Y8900" s="18"/>
    </row>
    <row r="8901" spans="25:25" x14ac:dyDescent="0.2">
      <c r="Y8901" s="18"/>
    </row>
    <row r="8902" spans="25:25" x14ac:dyDescent="0.2">
      <c r="Y8902" s="18"/>
    </row>
    <row r="8903" spans="25:25" x14ac:dyDescent="0.2">
      <c r="Y8903" s="18"/>
    </row>
    <row r="8904" spans="25:25" x14ac:dyDescent="0.2">
      <c r="Y8904" s="18"/>
    </row>
    <row r="8905" spans="25:25" x14ac:dyDescent="0.2">
      <c r="Y8905" s="18"/>
    </row>
    <row r="8906" spans="25:25" x14ac:dyDescent="0.2">
      <c r="Y8906" s="18"/>
    </row>
    <row r="8907" spans="25:25" x14ac:dyDescent="0.2">
      <c r="Y8907" s="18"/>
    </row>
    <row r="8908" spans="25:25" x14ac:dyDescent="0.2">
      <c r="Y8908" s="18"/>
    </row>
    <row r="8909" spans="25:25" x14ac:dyDescent="0.2">
      <c r="Y8909" s="18"/>
    </row>
    <row r="8910" spans="25:25" x14ac:dyDescent="0.2">
      <c r="Y8910" s="18"/>
    </row>
    <row r="8911" spans="25:25" x14ac:dyDescent="0.2">
      <c r="Y8911" s="18"/>
    </row>
    <row r="8912" spans="25:25" x14ac:dyDescent="0.2">
      <c r="Y8912" s="18"/>
    </row>
    <row r="8913" spans="25:25" x14ac:dyDescent="0.2">
      <c r="Y8913" s="18"/>
    </row>
    <row r="8914" spans="25:25" x14ac:dyDescent="0.2">
      <c r="Y8914" s="18"/>
    </row>
    <row r="8915" spans="25:25" x14ac:dyDescent="0.2">
      <c r="Y8915" s="18"/>
    </row>
    <row r="8916" spans="25:25" x14ac:dyDescent="0.2">
      <c r="Y8916" s="18"/>
    </row>
    <row r="8917" spans="25:25" x14ac:dyDescent="0.2">
      <c r="Y8917" s="18"/>
    </row>
    <row r="8918" spans="25:25" x14ac:dyDescent="0.2">
      <c r="Y8918" s="18"/>
    </row>
    <row r="8919" spans="25:25" x14ac:dyDescent="0.2">
      <c r="Y8919" s="18"/>
    </row>
    <row r="8920" spans="25:25" x14ac:dyDescent="0.2">
      <c r="Y8920" s="18"/>
    </row>
    <row r="8921" spans="25:25" x14ac:dyDescent="0.2">
      <c r="Y8921" s="18"/>
    </row>
    <row r="8922" spans="25:25" x14ac:dyDescent="0.2">
      <c r="Y8922" s="18"/>
    </row>
    <row r="8923" spans="25:25" x14ac:dyDescent="0.2">
      <c r="Y8923" s="18"/>
    </row>
    <row r="8924" spans="25:25" x14ac:dyDescent="0.2">
      <c r="Y8924" s="18"/>
    </row>
    <row r="8925" spans="25:25" x14ac:dyDescent="0.2">
      <c r="Y8925" s="18"/>
    </row>
    <row r="8926" spans="25:25" x14ac:dyDescent="0.2">
      <c r="Y8926" s="18"/>
    </row>
    <row r="8927" spans="25:25" x14ac:dyDescent="0.2">
      <c r="Y8927" s="18"/>
    </row>
    <row r="8928" spans="25:25" x14ac:dyDescent="0.2">
      <c r="Y8928" s="18"/>
    </row>
    <row r="8929" spans="25:25" x14ac:dyDescent="0.2">
      <c r="Y8929" s="18"/>
    </row>
    <row r="8930" spans="25:25" x14ac:dyDescent="0.2">
      <c r="Y8930" s="18"/>
    </row>
    <row r="8931" spans="25:25" x14ac:dyDescent="0.2">
      <c r="Y8931" s="18"/>
    </row>
    <row r="8932" spans="25:25" x14ac:dyDescent="0.2">
      <c r="Y8932" s="18"/>
    </row>
    <row r="8933" spans="25:25" x14ac:dyDescent="0.2">
      <c r="Y8933" s="18"/>
    </row>
    <row r="8934" spans="25:25" x14ac:dyDescent="0.2">
      <c r="Y8934" s="18"/>
    </row>
    <row r="8935" spans="25:25" x14ac:dyDescent="0.2">
      <c r="Y8935" s="18"/>
    </row>
    <row r="8936" spans="25:25" x14ac:dyDescent="0.2">
      <c r="Y8936" s="18"/>
    </row>
    <row r="8937" spans="25:25" x14ac:dyDescent="0.2">
      <c r="Y8937" s="18"/>
    </row>
    <row r="8938" spans="25:25" x14ac:dyDescent="0.2">
      <c r="Y8938" s="18"/>
    </row>
    <row r="8939" spans="25:25" x14ac:dyDescent="0.2">
      <c r="Y8939" s="18"/>
    </row>
    <row r="8940" spans="25:25" x14ac:dyDescent="0.2">
      <c r="Y8940" s="18"/>
    </row>
    <row r="8941" spans="25:25" x14ac:dyDescent="0.2">
      <c r="Y8941" s="18"/>
    </row>
    <row r="8942" spans="25:25" x14ac:dyDescent="0.2">
      <c r="Y8942" s="18"/>
    </row>
    <row r="8943" spans="25:25" x14ac:dyDescent="0.2">
      <c r="Y8943" s="18"/>
    </row>
    <row r="8944" spans="25:25" x14ac:dyDescent="0.2">
      <c r="Y8944" s="18"/>
    </row>
    <row r="8945" spans="25:25" x14ac:dyDescent="0.2">
      <c r="Y8945" s="18"/>
    </row>
    <row r="8946" spans="25:25" x14ac:dyDescent="0.2">
      <c r="Y8946" s="18"/>
    </row>
    <row r="8947" spans="25:25" x14ac:dyDescent="0.2">
      <c r="Y8947" s="18"/>
    </row>
    <row r="8948" spans="25:25" x14ac:dyDescent="0.2">
      <c r="Y8948" s="18"/>
    </row>
    <row r="8949" spans="25:25" x14ac:dyDescent="0.2">
      <c r="Y8949" s="18"/>
    </row>
    <row r="8950" spans="25:25" x14ac:dyDescent="0.2">
      <c r="Y8950" s="18"/>
    </row>
    <row r="8951" spans="25:25" x14ac:dyDescent="0.2">
      <c r="Y8951" s="18"/>
    </row>
    <row r="8952" spans="25:25" x14ac:dyDescent="0.2">
      <c r="Y8952" s="18"/>
    </row>
    <row r="8953" spans="25:25" x14ac:dyDescent="0.2">
      <c r="Y8953" s="18"/>
    </row>
    <row r="8954" spans="25:25" x14ac:dyDescent="0.2">
      <c r="Y8954" s="18"/>
    </row>
    <row r="8955" spans="25:25" x14ac:dyDescent="0.2">
      <c r="Y8955" s="18"/>
    </row>
    <row r="8956" spans="25:25" x14ac:dyDescent="0.2">
      <c r="Y8956" s="18"/>
    </row>
    <row r="8957" spans="25:25" x14ac:dyDescent="0.2">
      <c r="Y8957" s="18"/>
    </row>
    <row r="8958" spans="25:25" x14ac:dyDescent="0.2">
      <c r="Y8958" s="18"/>
    </row>
    <row r="8959" spans="25:25" x14ac:dyDescent="0.2">
      <c r="Y8959" s="18"/>
    </row>
    <row r="8960" spans="25:25" x14ac:dyDescent="0.2">
      <c r="Y8960" s="18"/>
    </row>
    <row r="8961" spans="25:25" x14ac:dyDescent="0.2">
      <c r="Y8961" s="18"/>
    </row>
    <row r="8962" spans="25:25" x14ac:dyDescent="0.2">
      <c r="Y8962" s="18"/>
    </row>
    <row r="8963" spans="25:25" x14ac:dyDescent="0.2">
      <c r="Y8963" s="18"/>
    </row>
    <row r="8964" spans="25:25" x14ac:dyDescent="0.2">
      <c r="Y8964" s="18"/>
    </row>
    <row r="8965" spans="25:25" x14ac:dyDescent="0.2">
      <c r="Y8965" s="18"/>
    </row>
    <row r="8966" spans="25:25" x14ac:dyDescent="0.2">
      <c r="Y8966" s="18"/>
    </row>
    <row r="8967" spans="25:25" x14ac:dyDescent="0.2">
      <c r="Y8967" s="18"/>
    </row>
    <row r="8968" spans="25:25" x14ac:dyDescent="0.2">
      <c r="Y8968" s="18"/>
    </row>
    <row r="8969" spans="25:25" x14ac:dyDescent="0.2">
      <c r="Y8969" s="18"/>
    </row>
    <row r="8970" spans="25:25" x14ac:dyDescent="0.2">
      <c r="Y8970" s="18"/>
    </row>
    <row r="8971" spans="25:25" x14ac:dyDescent="0.2">
      <c r="Y8971" s="18"/>
    </row>
    <row r="8972" spans="25:25" x14ac:dyDescent="0.2">
      <c r="Y8972" s="18"/>
    </row>
    <row r="8973" spans="25:25" x14ac:dyDescent="0.2">
      <c r="Y8973" s="18"/>
    </row>
    <row r="8974" spans="25:25" x14ac:dyDescent="0.2">
      <c r="Y8974" s="18"/>
    </row>
    <row r="8975" spans="25:25" x14ac:dyDescent="0.2">
      <c r="Y8975" s="18"/>
    </row>
    <row r="8976" spans="25:25" x14ac:dyDescent="0.2">
      <c r="Y8976" s="18"/>
    </row>
    <row r="8977" spans="25:25" x14ac:dyDescent="0.2">
      <c r="Y8977" s="18"/>
    </row>
    <row r="8978" spans="25:25" x14ac:dyDescent="0.2">
      <c r="Y8978" s="18"/>
    </row>
    <row r="8979" spans="25:25" x14ac:dyDescent="0.2">
      <c r="Y8979" s="18"/>
    </row>
    <row r="8980" spans="25:25" x14ac:dyDescent="0.2">
      <c r="Y8980" s="18"/>
    </row>
    <row r="8981" spans="25:25" x14ac:dyDescent="0.2">
      <c r="Y8981" s="18"/>
    </row>
    <row r="8982" spans="25:25" x14ac:dyDescent="0.2">
      <c r="Y8982" s="18"/>
    </row>
    <row r="8983" spans="25:25" x14ac:dyDescent="0.2">
      <c r="Y8983" s="18"/>
    </row>
    <row r="8984" spans="25:25" x14ac:dyDescent="0.2">
      <c r="Y8984" s="18"/>
    </row>
    <row r="8985" spans="25:25" x14ac:dyDescent="0.2">
      <c r="Y8985" s="18"/>
    </row>
    <row r="8986" spans="25:25" x14ac:dyDescent="0.2">
      <c r="Y8986" s="18"/>
    </row>
    <row r="8987" spans="25:25" x14ac:dyDescent="0.2">
      <c r="Y8987" s="18"/>
    </row>
    <row r="8988" spans="25:25" x14ac:dyDescent="0.2">
      <c r="Y8988" s="18"/>
    </row>
    <row r="8989" spans="25:25" x14ac:dyDescent="0.2">
      <c r="Y8989" s="18"/>
    </row>
    <row r="8990" spans="25:25" x14ac:dyDescent="0.2">
      <c r="Y8990" s="18"/>
    </row>
    <row r="8991" spans="25:25" x14ac:dyDescent="0.2">
      <c r="Y8991" s="18"/>
    </row>
    <row r="8992" spans="25:25" x14ac:dyDescent="0.2">
      <c r="Y8992" s="18"/>
    </row>
    <row r="8993" spans="25:25" x14ac:dyDescent="0.2">
      <c r="Y8993" s="18"/>
    </row>
    <row r="8994" spans="25:25" x14ac:dyDescent="0.2">
      <c r="Y8994" s="18"/>
    </row>
    <row r="8995" spans="25:25" x14ac:dyDescent="0.2">
      <c r="Y8995" s="18"/>
    </row>
    <row r="8996" spans="25:25" x14ac:dyDescent="0.2">
      <c r="Y8996" s="18"/>
    </row>
    <row r="8997" spans="25:25" x14ac:dyDescent="0.2">
      <c r="Y8997" s="18"/>
    </row>
    <row r="8998" spans="25:25" x14ac:dyDescent="0.2">
      <c r="Y8998" s="18"/>
    </row>
    <row r="8999" spans="25:25" x14ac:dyDescent="0.2">
      <c r="Y8999" s="18"/>
    </row>
    <row r="9000" spans="25:25" x14ac:dyDescent="0.2">
      <c r="Y9000" s="18"/>
    </row>
    <row r="9001" spans="25:25" x14ac:dyDescent="0.2">
      <c r="Y9001" s="18"/>
    </row>
    <row r="9002" spans="25:25" x14ac:dyDescent="0.2">
      <c r="Y9002" s="18"/>
    </row>
    <row r="9003" spans="25:25" x14ac:dyDescent="0.2">
      <c r="Y9003" s="18"/>
    </row>
    <row r="9004" spans="25:25" x14ac:dyDescent="0.2">
      <c r="Y9004" s="18"/>
    </row>
    <row r="9005" spans="25:25" x14ac:dyDescent="0.2">
      <c r="Y9005" s="18"/>
    </row>
    <row r="9006" spans="25:25" x14ac:dyDescent="0.2">
      <c r="Y9006" s="18"/>
    </row>
    <row r="9007" spans="25:25" x14ac:dyDescent="0.2">
      <c r="Y9007" s="18"/>
    </row>
    <row r="9008" spans="25:25" x14ac:dyDescent="0.2">
      <c r="Y9008" s="18"/>
    </row>
    <row r="9009" spans="25:25" x14ac:dyDescent="0.2">
      <c r="Y9009" s="18"/>
    </row>
    <row r="9010" spans="25:25" x14ac:dyDescent="0.2">
      <c r="Y9010" s="18"/>
    </row>
    <row r="9011" spans="25:25" x14ac:dyDescent="0.2">
      <c r="Y9011" s="18"/>
    </row>
    <row r="9012" spans="25:25" x14ac:dyDescent="0.2">
      <c r="Y9012" s="18"/>
    </row>
    <row r="9013" spans="25:25" x14ac:dyDescent="0.2">
      <c r="Y9013" s="18"/>
    </row>
    <row r="9014" spans="25:25" x14ac:dyDescent="0.2">
      <c r="Y9014" s="18"/>
    </row>
    <row r="9015" spans="25:25" x14ac:dyDescent="0.2">
      <c r="Y9015" s="18"/>
    </row>
    <row r="9016" spans="25:25" x14ac:dyDescent="0.2">
      <c r="Y9016" s="18"/>
    </row>
    <row r="9017" spans="25:25" x14ac:dyDescent="0.2">
      <c r="Y9017" s="18"/>
    </row>
    <row r="9018" spans="25:25" x14ac:dyDescent="0.2">
      <c r="Y9018" s="18"/>
    </row>
    <row r="9019" spans="25:25" x14ac:dyDescent="0.2">
      <c r="Y9019" s="18"/>
    </row>
    <row r="9020" spans="25:25" x14ac:dyDescent="0.2">
      <c r="Y9020" s="18"/>
    </row>
    <row r="9021" spans="25:25" x14ac:dyDescent="0.2">
      <c r="Y9021" s="18"/>
    </row>
    <row r="9022" spans="25:25" x14ac:dyDescent="0.2">
      <c r="Y9022" s="18"/>
    </row>
    <row r="9023" spans="25:25" x14ac:dyDescent="0.2">
      <c r="Y9023" s="18"/>
    </row>
    <row r="9024" spans="25:25" x14ac:dyDescent="0.2">
      <c r="Y9024" s="18"/>
    </row>
    <row r="9025" spans="25:25" x14ac:dyDescent="0.2">
      <c r="Y9025" s="18"/>
    </row>
    <row r="9026" spans="25:25" x14ac:dyDescent="0.2">
      <c r="Y9026" s="18"/>
    </row>
    <row r="9027" spans="25:25" x14ac:dyDescent="0.2">
      <c r="Y9027" s="18"/>
    </row>
    <row r="9028" spans="25:25" x14ac:dyDescent="0.2">
      <c r="Y9028" s="18"/>
    </row>
    <row r="9029" spans="25:25" x14ac:dyDescent="0.2">
      <c r="Y9029" s="18"/>
    </row>
    <row r="9030" spans="25:25" x14ac:dyDescent="0.2">
      <c r="Y9030" s="18"/>
    </row>
    <row r="9031" spans="25:25" x14ac:dyDescent="0.2">
      <c r="Y9031" s="18"/>
    </row>
    <row r="9032" spans="25:25" x14ac:dyDescent="0.2">
      <c r="Y9032" s="18"/>
    </row>
    <row r="9033" spans="25:25" x14ac:dyDescent="0.2">
      <c r="Y9033" s="18"/>
    </row>
    <row r="9034" spans="25:25" x14ac:dyDescent="0.2">
      <c r="Y9034" s="18"/>
    </row>
    <row r="9035" spans="25:25" x14ac:dyDescent="0.2">
      <c r="Y9035" s="18"/>
    </row>
    <row r="9036" spans="25:25" x14ac:dyDescent="0.2">
      <c r="Y9036" s="18"/>
    </row>
    <row r="9037" spans="25:25" x14ac:dyDescent="0.2">
      <c r="Y9037" s="18"/>
    </row>
    <row r="9038" spans="25:25" x14ac:dyDescent="0.2">
      <c r="Y9038" s="18"/>
    </row>
    <row r="9039" spans="25:25" x14ac:dyDescent="0.2">
      <c r="Y9039" s="18"/>
    </row>
    <row r="9040" spans="25:25" x14ac:dyDescent="0.2">
      <c r="Y9040" s="18"/>
    </row>
    <row r="9041" spans="25:25" x14ac:dyDescent="0.2">
      <c r="Y9041" s="18"/>
    </row>
    <row r="9042" spans="25:25" x14ac:dyDescent="0.2">
      <c r="Y9042" s="18"/>
    </row>
    <row r="9043" spans="25:25" x14ac:dyDescent="0.2">
      <c r="Y9043" s="18"/>
    </row>
    <row r="9044" spans="25:25" x14ac:dyDescent="0.2">
      <c r="Y9044" s="18"/>
    </row>
    <row r="9045" spans="25:25" x14ac:dyDescent="0.2">
      <c r="Y9045" s="18"/>
    </row>
    <row r="9046" spans="25:25" x14ac:dyDescent="0.2">
      <c r="Y9046" s="18"/>
    </row>
    <row r="9047" spans="25:25" x14ac:dyDescent="0.2">
      <c r="Y9047" s="18"/>
    </row>
    <row r="9048" spans="25:25" x14ac:dyDescent="0.2">
      <c r="Y9048" s="18"/>
    </row>
    <row r="9049" spans="25:25" x14ac:dyDescent="0.2">
      <c r="Y9049" s="18"/>
    </row>
    <row r="9050" spans="25:25" x14ac:dyDescent="0.2">
      <c r="Y9050" s="18"/>
    </row>
    <row r="9051" spans="25:25" x14ac:dyDescent="0.2">
      <c r="Y9051" s="18"/>
    </row>
    <row r="9052" spans="25:25" x14ac:dyDescent="0.2">
      <c r="Y9052" s="18"/>
    </row>
    <row r="9053" spans="25:25" x14ac:dyDescent="0.2">
      <c r="Y9053" s="18"/>
    </row>
    <row r="9054" spans="25:25" x14ac:dyDescent="0.2">
      <c r="Y9054" s="18"/>
    </row>
    <row r="9055" spans="25:25" x14ac:dyDescent="0.2">
      <c r="Y9055" s="18"/>
    </row>
    <row r="9056" spans="25:25" x14ac:dyDescent="0.2">
      <c r="Y9056" s="18"/>
    </row>
    <row r="9057" spans="25:25" x14ac:dyDescent="0.2">
      <c r="Y9057" s="18"/>
    </row>
    <row r="9058" spans="25:25" x14ac:dyDescent="0.2">
      <c r="Y9058" s="18"/>
    </row>
    <row r="9059" spans="25:25" x14ac:dyDescent="0.2">
      <c r="Y9059" s="18"/>
    </row>
    <row r="9060" spans="25:25" x14ac:dyDescent="0.2">
      <c r="Y9060" s="18"/>
    </row>
    <row r="9061" spans="25:25" x14ac:dyDescent="0.2">
      <c r="Y9061" s="18"/>
    </row>
    <row r="9062" spans="25:25" x14ac:dyDescent="0.2">
      <c r="Y9062" s="18"/>
    </row>
    <row r="9063" spans="25:25" x14ac:dyDescent="0.2">
      <c r="Y9063" s="18"/>
    </row>
    <row r="9064" spans="25:25" x14ac:dyDescent="0.2">
      <c r="Y9064" s="18"/>
    </row>
    <row r="9065" spans="25:25" x14ac:dyDescent="0.2">
      <c r="Y9065" s="18"/>
    </row>
    <row r="9066" spans="25:25" x14ac:dyDescent="0.2">
      <c r="Y9066" s="18"/>
    </row>
    <row r="9067" spans="25:25" x14ac:dyDescent="0.2">
      <c r="Y9067" s="18"/>
    </row>
    <row r="9068" spans="25:25" x14ac:dyDescent="0.2">
      <c r="Y9068" s="18"/>
    </row>
    <row r="9069" spans="25:25" x14ac:dyDescent="0.2">
      <c r="Y9069" s="18"/>
    </row>
    <row r="9070" spans="25:25" x14ac:dyDescent="0.2">
      <c r="Y9070" s="18"/>
    </row>
    <row r="9071" spans="25:25" x14ac:dyDescent="0.2">
      <c r="Y9071" s="18"/>
    </row>
    <row r="9072" spans="25:25" x14ac:dyDescent="0.2">
      <c r="Y9072" s="18"/>
    </row>
    <row r="9073" spans="25:25" x14ac:dyDescent="0.2">
      <c r="Y9073" s="18"/>
    </row>
    <row r="9074" spans="25:25" x14ac:dyDescent="0.2">
      <c r="Y9074" s="18"/>
    </row>
    <row r="9075" spans="25:25" x14ac:dyDescent="0.2">
      <c r="Y9075" s="18"/>
    </row>
    <row r="9076" spans="25:25" x14ac:dyDescent="0.2">
      <c r="Y9076" s="18"/>
    </row>
    <row r="9077" spans="25:25" x14ac:dyDescent="0.2">
      <c r="Y9077" s="18"/>
    </row>
    <row r="9078" spans="25:25" x14ac:dyDescent="0.2">
      <c r="Y9078" s="18"/>
    </row>
    <row r="9079" spans="25:25" x14ac:dyDescent="0.2">
      <c r="Y9079" s="18"/>
    </row>
    <row r="9080" spans="25:25" x14ac:dyDescent="0.2">
      <c r="Y9080" s="18"/>
    </row>
    <row r="9081" spans="25:25" x14ac:dyDescent="0.2">
      <c r="Y9081" s="18"/>
    </row>
    <row r="9082" spans="25:25" x14ac:dyDescent="0.2">
      <c r="Y9082" s="18"/>
    </row>
    <row r="9083" spans="25:25" x14ac:dyDescent="0.2">
      <c r="Y9083" s="18"/>
    </row>
    <row r="9084" spans="25:25" x14ac:dyDescent="0.2">
      <c r="Y9084" s="18"/>
    </row>
    <row r="9085" spans="25:25" x14ac:dyDescent="0.2">
      <c r="Y9085" s="18"/>
    </row>
    <row r="9086" spans="25:25" x14ac:dyDescent="0.2">
      <c r="Y9086" s="18"/>
    </row>
    <row r="9087" spans="25:25" x14ac:dyDescent="0.2">
      <c r="Y9087" s="18"/>
    </row>
    <row r="9088" spans="25:25" x14ac:dyDescent="0.2">
      <c r="Y9088" s="18"/>
    </row>
    <row r="9089" spans="25:25" x14ac:dyDescent="0.2">
      <c r="Y9089" s="18"/>
    </row>
    <row r="9090" spans="25:25" x14ac:dyDescent="0.2">
      <c r="Y9090" s="18"/>
    </row>
    <row r="9091" spans="25:25" x14ac:dyDescent="0.2">
      <c r="Y9091" s="18"/>
    </row>
    <row r="9092" spans="25:25" x14ac:dyDescent="0.2">
      <c r="Y9092" s="18"/>
    </row>
    <row r="9093" spans="25:25" x14ac:dyDescent="0.2">
      <c r="Y9093" s="18"/>
    </row>
    <row r="9094" spans="25:25" x14ac:dyDescent="0.2">
      <c r="Y9094" s="18"/>
    </row>
    <row r="9095" spans="25:25" x14ac:dyDescent="0.2">
      <c r="Y9095" s="18"/>
    </row>
    <row r="9096" spans="25:25" x14ac:dyDescent="0.2">
      <c r="Y9096" s="18"/>
    </row>
    <row r="9097" spans="25:25" x14ac:dyDescent="0.2">
      <c r="Y9097" s="18"/>
    </row>
    <row r="9098" spans="25:25" x14ac:dyDescent="0.2">
      <c r="Y9098" s="18"/>
    </row>
    <row r="9099" spans="25:25" x14ac:dyDescent="0.2">
      <c r="Y9099" s="18"/>
    </row>
    <row r="9100" spans="25:25" x14ac:dyDescent="0.2">
      <c r="Y9100" s="18"/>
    </row>
    <row r="9101" spans="25:25" x14ac:dyDescent="0.2">
      <c r="Y9101" s="18"/>
    </row>
    <row r="9102" spans="25:25" x14ac:dyDescent="0.2">
      <c r="Y9102" s="18"/>
    </row>
    <row r="9103" spans="25:25" x14ac:dyDescent="0.2">
      <c r="Y9103" s="18"/>
    </row>
    <row r="9104" spans="25:25" x14ac:dyDescent="0.2">
      <c r="Y9104" s="18"/>
    </row>
    <row r="9105" spans="25:25" x14ac:dyDescent="0.2">
      <c r="Y9105" s="18"/>
    </row>
    <row r="9106" spans="25:25" x14ac:dyDescent="0.2">
      <c r="Y9106" s="18"/>
    </row>
    <row r="9107" spans="25:25" x14ac:dyDescent="0.2">
      <c r="Y9107" s="18"/>
    </row>
    <row r="9108" spans="25:25" x14ac:dyDescent="0.2">
      <c r="Y9108" s="18"/>
    </row>
    <row r="9109" spans="25:25" x14ac:dyDescent="0.2">
      <c r="Y9109" s="18"/>
    </row>
    <row r="9110" spans="25:25" x14ac:dyDescent="0.2">
      <c r="Y9110" s="18"/>
    </row>
    <row r="9111" spans="25:25" x14ac:dyDescent="0.2">
      <c r="Y9111" s="18"/>
    </row>
    <row r="9112" spans="25:25" x14ac:dyDescent="0.2">
      <c r="Y9112" s="18"/>
    </row>
    <row r="9113" spans="25:25" x14ac:dyDescent="0.2">
      <c r="Y9113" s="18"/>
    </row>
    <row r="9114" spans="25:25" x14ac:dyDescent="0.2">
      <c r="Y9114" s="18"/>
    </row>
    <row r="9115" spans="25:25" x14ac:dyDescent="0.2">
      <c r="Y9115" s="18"/>
    </row>
    <row r="9116" spans="25:25" x14ac:dyDescent="0.2">
      <c r="Y9116" s="18"/>
    </row>
    <row r="9117" spans="25:25" x14ac:dyDescent="0.2">
      <c r="Y9117" s="18"/>
    </row>
    <row r="9118" spans="25:25" x14ac:dyDescent="0.2">
      <c r="Y9118" s="18"/>
    </row>
    <row r="9119" spans="25:25" x14ac:dyDescent="0.2">
      <c r="Y9119" s="18"/>
    </row>
    <row r="9120" spans="25:25" x14ac:dyDescent="0.2">
      <c r="Y9120" s="18"/>
    </row>
    <row r="9121" spans="25:25" x14ac:dyDescent="0.2">
      <c r="Y9121" s="18"/>
    </row>
    <row r="9122" spans="25:25" x14ac:dyDescent="0.2">
      <c r="Y9122" s="18"/>
    </row>
    <row r="9123" spans="25:25" x14ac:dyDescent="0.2">
      <c r="Y9123" s="18"/>
    </row>
    <row r="9124" spans="25:25" x14ac:dyDescent="0.2">
      <c r="Y9124" s="18"/>
    </row>
    <row r="9125" spans="25:25" x14ac:dyDescent="0.2">
      <c r="Y9125" s="18"/>
    </row>
    <row r="9126" spans="25:25" x14ac:dyDescent="0.2">
      <c r="Y9126" s="18"/>
    </row>
    <row r="9127" spans="25:25" x14ac:dyDescent="0.2">
      <c r="Y9127" s="18"/>
    </row>
    <row r="9128" spans="25:25" x14ac:dyDescent="0.2">
      <c r="Y9128" s="18"/>
    </row>
    <row r="9129" spans="25:25" x14ac:dyDescent="0.2">
      <c r="Y9129" s="18"/>
    </row>
    <row r="9130" spans="25:25" x14ac:dyDescent="0.2">
      <c r="Y9130" s="18"/>
    </row>
    <row r="9131" spans="25:25" x14ac:dyDescent="0.2">
      <c r="Y9131" s="18"/>
    </row>
    <row r="9132" spans="25:25" x14ac:dyDescent="0.2">
      <c r="Y9132" s="18"/>
    </row>
    <row r="9133" spans="25:25" x14ac:dyDescent="0.2">
      <c r="Y9133" s="18"/>
    </row>
    <row r="9134" spans="25:25" x14ac:dyDescent="0.2">
      <c r="Y9134" s="18"/>
    </row>
    <row r="9135" spans="25:25" x14ac:dyDescent="0.2">
      <c r="Y9135" s="18"/>
    </row>
    <row r="9136" spans="25:25" x14ac:dyDescent="0.2">
      <c r="Y9136" s="18"/>
    </row>
    <row r="9137" spans="25:25" x14ac:dyDescent="0.2">
      <c r="Y9137" s="18"/>
    </row>
    <row r="9138" spans="25:25" x14ac:dyDescent="0.2">
      <c r="Y9138" s="18"/>
    </row>
    <row r="9139" spans="25:25" x14ac:dyDescent="0.2">
      <c r="Y9139" s="18"/>
    </row>
    <row r="9140" spans="25:25" x14ac:dyDescent="0.2">
      <c r="Y9140" s="18"/>
    </row>
    <row r="9141" spans="25:25" x14ac:dyDescent="0.2">
      <c r="Y9141" s="18"/>
    </row>
    <row r="9142" spans="25:25" x14ac:dyDescent="0.2">
      <c r="Y9142" s="18"/>
    </row>
    <row r="9143" spans="25:25" x14ac:dyDescent="0.2">
      <c r="Y9143" s="18"/>
    </row>
    <row r="9144" spans="25:25" x14ac:dyDescent="0.2">
      <c r="Y9144" s="18"/>
    </row>
    <row r="9145" spans="25:25" x14ac:dyDescent="0.2">
      <c r="Y9145" s="18"/>
    </row>
    <row r="9146" spans="25:25" x14ac:dyDescent="0.2">
      <c r="Y9146" s="18"/>
    </row>
    <row r="9147" spans="25:25" x14ac:dyDescent="0.2">
      <c r="Y9147" s="18"/>
    </row>
    <row r="9148" spans="25:25" x14ac:dyDescent="0.2">
      <c r="Y9148" s="18"/>
    </row>
    <row r="9149" spans="25:25" x14ac:dyDescent="0.2">
      <c r="Y9149" s="18"/>
    </row>
    <row r="9150" spans="25:25" x14ac:dyDescent="0.2">
      <c r="Y9150" s="18"/>
    </row>
    <row r="9151" spans="25:25" x14ac:dyDescent="0.2">
      <c r="Y9151" s="18"/>
    </row>
    <row r="9152" spans="25:25" x14ac:dyDescent="0.2">
      <c r="Y9152" s="18"/>
    </row>
    <row r="9153" spans="25:25" x14ac:dyDescent="0.2">
      <c r="Y9153" s="18"/>
    </row>
    <row r="9154" spans="25:25" x14ac:dyDescent="0.2">
      <c r="Y9154" s="18"/>
    </row>
    <row r="9155" spans="25:25" x14ac:dyDescent="0.2">
      <c r="Y9155" s="18"/>
    </row>
    <row r="9156" spans="25:25" x14ac:dyDescent="0.2">
      <c r="Y9156" s="18"/>
    </row>
    <row r="9157" spans="25:25" x14ac:dyDescent="0.2">
      <c r="Y9157" s="18"/>
    </row>
    <row r="9158" spans="25:25" x14ac:dyDescent="0.2">
      <c r="Y9158" s="18"/>
    </row>
    <row r="9159" spans="25:25" x14ac:dyDescent="0.2">
      <c r="Y9159" s="18"/>
    </row>
    <row r="9160" spans="25:25" x14ac:dyDescent="0.2">
      <c r="Y9160" s="18"/>
    </row>
    <row r="9161" spans="25:25" x14ac:dyDescent="0.2">
      <c r="Y9161" s="18"/>
    </row>
    <row r="9162" spans="25:25" x14ac:dyDescent="0.2">
      <c r="Y9162" s="18"/>
    </row>
    <row r="9163" spans="25:25" x14ac:dyDescent="0.2">
      <c r="Y9163" s="18"/>
    </row>
    <row r="9164" spans="25:25" x14ac:dyDescent="0.2">
      <c r="Y9164" s="18"/>
    </row>
    <row r="9165" spans="25:25" x14ac:dyDescent="0.2">
      <c r="Y9165" s="18"/>
    </row>
    <row r="9166" spans="25:25" x14ac:dyDescent="0.2">
      <c r="Y9166" s="18"/>
    </row>
    <row r="9167" spans="25:25" x14ac:dyDescent="0.2">
      <c r="Y9167" s="18"/>
    </row>
    <row r="9168" spans="25:25" x14ac:dyDescent="0.2">
      <c r="Y9168" s="18"/>
    </row>
    <row r="9169" spans="25:25" x14ac:dyDescent="0.2">
      <c r="Y9169" s="18"/>
    </row>
    <row r="9170" spans="25:25" x14ac:dyDescent="0.2">
      <c r="Y9170" s="18"/>
    </row>
    <row r="9171" spans="25:25" x14ac:dyDescent="0.2">
      <c r="Y9171" s="18"/>
    </row>
    <row r="9172" spans="25:25" x14ac:dyDescent="0.2">
      <c r="Y9172" s="18"/>
    </row>
    <row r="9173" spans="25:25" x14ac:dyDescent="0.2">
      <c r="Y9173" s="18"/>
    </row>
    <row r="9174" spans="25:25" x14ac:dyDescent="0.2">
      <c r="Y9174" s="18"/>
    </row>
    <row r="9175" spans="25:25" x14ac:dyDescent="0.2">
      <c r="Y9175" s="18"/>
    </row>
    <row r="9176" spans="25:25" x14ac:dyDescent="0.2">
      <c r="Y9176" s="18"/>
    </row>
    <row r="9177" spans="25:25" x14ac:dyDescent="0.2">
      <c r="Y9177" s="18"/>
    </row>
    <row r="9178" spans="25:25" x14ac:dyDescent="0.2">
      <c r="Y9178" s="18"/>
    </row>
    <row r="9179" spans="25:25" x14ac:dyDescent="0.2">
      <c r="Y9179" s="18"/>
    </row>
    <row r="9180" spans="25:25" x14ac:dyDescent="0.2">
      <c r="Y9180" s="18"/>
    </row>
    <row r="9181" spans="25:25" x14ac:dyDescent="0.2">
      <c r="Y9181" s="18"/>
    </row>
    <row r="9182" spans="25:25" x14ac:dyDescent="0.2">
      <c r="Y9182" s="18"/>
    </row>
    <row r="9183" spans="25:25" x14ac:dyDescent="0.2">
      <c r="Y9183" s="18"/>
    </row>
    <row r="9184" spans="25:25" x14ac:dyDescent="0.2">
      <c r="Y9184" s="18"/>
    </row>
    <row r="9185" spans="25:25" x14ac:dyDescent="0.2">
      <c r="Y9185" s="18"/>
    </row>
    <row r="9186" spans="25:25" x14ac:dyDescent="0.2">
      <c r="Y9186" s="18"/>
    </row>
    <row r="9187" spans="25:25" x14ac:dyDescent="0.2">
      <c r="Y9187" s="18"/>
    </row>
    <row r="9188" spans="25:25" x14ac:dyDescent="0.2">
      <c r="Y9188" s="18"/>
    </row>
    <row r="9189" spans="25:25" x14ac:dyDescent="0.2">
      <c r="Y9189" s="18"/>
    </row>
    <row r="9190" spans="25:25" x14ac:dyDescent="0.2">
      <c r="Y9190" s="18"/>
    </row>
    <row r="9191" spans="25:25" x14ac:dyDescent="0.2">
      <c r="Y9191" s="18"/>
    </row>
    <row r="9192" spans="25:25" x14ac:dyDescent="0.2">
      <c r="Y9192" s="18"/>
    </row>
    <row r="9193" spans="25:25" x14ac:dyDescent="0.2">
      <c r="Y9193" s="18"/>
    </row>
    <row r="9194" spans="25:25" x14ac:dyDescent="0.2">
      <c r="Y9194" s="18"/>
    </row>
    <row r="9195" spans="25:25" x14ac:dyDescent="0.2">
      <c r="Y9195" s="18"/>
    </row>
    <row r="9196" spans="25:25" x14ac:dyDescent="0.2">
      <c r="Y9196" s="18"/>
    </row>
    <row r="9197" spans="25:25" x14ac:dyDescent="0.2">
      <c r="Y9197" s="18"/>
    </row>
    <row r="9198" spans="25:25" x14ac:dyDescent="0.2">
      <c r="Y9198" s="18"/>
    </row>
    <row r="9199" spans="25:25" x14ac:dyDescent="0.2">
      <c r="Y9199" s="18"/>
    </row>
    <row r="9200" spans="25:25" x14ac:dyDescent="0.2">
      <c r="Y9200" s="18"/>
    </row>
    <row r="9201" spans="25:25" x14ac:dyDescent="0.2">
      <c r="Y9201" s="18"/>
    </row>
    <row r="9202" spans="25:25" x14ac:dyDescent="0.2">
      <c r="Y9202" s="18"/>
    </row>
    <row r="9203" spans="25:25" x14ac:dyDescent="0.2">
      <c r="Y9203" s="18"/>
    </row>
    <row r="9204" spans="25:25" x14ac:dyDescent="0.2">
      <c r="Y9204" s="18"/>
    </row>
    <row r="9205" spans="25:25" x14ac:dyDescent="0.2">
      <c r="Y9205" s="18"/>
    </row>
    <row r="9206" spans="25:25" x14ac:dyDescent="0.2">
      <c r="Y9206" s="18"/>
    </row>
    <row r="9207" spans="25:25" x14ac:dyDescent="0.2">
      <c r="Y9207" s="18"/>
    </row>
    <row r="9208" spans="25:25" x14ac:dyDescent="0.2">
      <c r="Y9208" s="18"/>
    </row>
    <row r="9209" spans="25:25" x14ac:dyDescent="0.2">
      <c r="Y9209" s="18"/>
    </row>
    <row r="9210" spans="25:25" x14ac:dyDescent="0.2">
      <c r="Y9210" s="18"/>
    </row>
    <row r="9211" spans="25:25" x14ac:dyDescent="0.2">
      <c r="Y9211" s="18"/>
    </row>
    <row r="9212" spans="25:25" x14ac:dyDescent="0.2">
      <c r="Y9212" s="18"/>
    </row>
    <row r="9213" spans="25:25" x14ac:dyDescent="0.2">
      <c r="Y9213" s="18"/>
    </row>
    <row r="9214" spans="25:25" x14ac:dyDescent="0.2">
      <c r="Y9214" s="18"/>
    </row>
    <row r="9215" spans="25:25" x14ac:dyDescent="0.2">
      <c r="Y9215" s="18"/>
    </row>
    <row r="9216" spans="25:25" x14ac:dyDescent="0.2">
      <c r="Y9216" s="18"/>
    </row>
    <row r="9217" spans="25:25" x14ac:dyDescent="0.2">
      <c r="Y9217" s="18"/>
    </row>
    <row r="9218" spans="25:25" x14ac:dyDescent="0.2">
      <c r="Y9218" s="18"/>
    </row>
    <row r="9219" spans="25:25" x14ac:dyDescent="0.2">
      <c r="Y9219" s="18"/>
    </row>
    <row r="9220" spans="25:25" x14ac:dyDescent="0.2">
      <c r="Y9220" s="18"/>
    </row>
    <row r="9221" spans="25:25" x14ac:dyDescent="0.2">
      <c r="Y9221" s="18"/>
    </row>
    <row r="9222" spans="25:25" x14ac:dyDescent="0.2">
      <c r="Y9222" s="18"/>
    </row>
    <row r="9223" spans="25:25" x14ac:dyDescent="0.2">
      <c r="Y9223" s="18"/>
    </row>
    <row r="9224" spans="25:25" x14ac:dyDescent="0.2">
      <c r="Y9224" s="18"/>
    </row>
    <row r="9225" spans="25:25" x14ac:dyDescent="0.2">
      <c r="Y9225" s="18"/>
    </row>
    <row r="9226" spans="25:25" x14ac:dyDescent="0.2">
      <c r="Y9226" s="18"/>
    </row>
    <row r="9227" spans="25:25" x14ac:dyDescent="0.2">
      <c r="Y9227" s="18"/>
    </row>
    <row r="9228" spans="25:25" x14ac:dyDescent="0.2">
      <c r="Y9228" s="18"/>
    </row>
    <row r="9229" spans="25:25" x14ac:dyDescent="0.2">
      <c r="Y9229" s="18"/>
    </row>
    <row r="9230" spans="25:25" x14ac:dyDescent="0.2">
      <c r="Y9230" s="18"/>
    </row>
    <row r="9231" spans="25:25" x14ac:dyDescent="0.2">
      <c r="Y9231" s="18"/>
    </row>
    <row r="9232" spans="25:25" x14ac:dyDescent="0.2">
      <c r="Y9232" s="18"/>
    </row>
    <row r="9233" spans="25:25" x14ac:dyDescent="0.2">
      <c r="Y9233" s="18"/>
    </row>
    <row r="9234" spans="25:25" x14ac:dyDescent="0.2">
      <c r="Y9234" s="18"/>
    </row>
    <row r="9235" spans="25:25" x14ac:dyDescent="0.2">
      <c r="Y9235" s="18"/>
    </row>
    <row r="9236" spans="25:25" x14ac:dyDescent="0.2">
      <c r="Y9236" s="18"/>
    </row>
    <row r="9237" spans="25:25" x14ac:dyDescent="0.2">
      <c r="Y9237" s="18"/>
    </row>
    <row r="9238" spans="25:25" x14ac:dyDescent="0.2">
      <c r="Y9238" s="18"/>
    </row>
    <row r="9239" spans="25:25" x14ac:dyDescent="0.2">
      <c r="Y9239" s="18"/>
    </row>
    <row r="9240" spans="25:25" x14ac:dyDescent="0.2">
      <c r="Y9240" s="18"/>
    </row>
    <row r="9241" spans="25:25" x14ac:dyDescent="0.2">
      <c r="Y9241" s="18"/>
    </row>
    <row r="9242" spans="25:25" x14ac:dyDescent="0.2">
      <c r="Y9242" s="18"/>
    </row>
    <row r="9243" spans="25:25" x14ac:dyDescent="0.2">
      <c r="Y9243" s="18"/>
    </row>
    <row r="9244" spans="25:25" x14ac:dyDescent="0.2">
      <c r="Y9244" s="18"/>
    </row>
    <row r="9245" spans="25:25" x14ac:dyDescent="0.2">
      <c r="Y9245" s="18"/>
    </row>
    <row r="9246" spans="25:25" x14ac:dyDescent="0.2">
      <c r="Y9246" s="18"/>
    </row>
    <row r="9247" spans="25:25" x14ac:dyDescent="0.2">
      <c r="Y9247" s="18"/>
    </row>
    <row r="9248" spans="25:25" x14ac:dyDescent="0.2">
      <c r="Y9248" s="18"/>
    </row>
    <row r="9249" spans="25:25" x14ac:dyDescent="0.2">
      <c r="Y9249" s="18"/>
    </row>
    <row r="9250" spans="25:25" x14ac:dyDescent="0.2">
      <c r="Y9250" s="18"/>
    </row>
    <row r="9251" spans="25:25" x14ac:dyDescent="0.2">
      <c r="Y9251" s="18"/>
    </row>
    <row r="9252" spans="25:25" x14ac:dyDescent="0.2">
      <c r="Y9252" s="18"/>
    </row>
    <row r="9253" spans="25:25" x14ac:dyDescent="0.2">
      <c r="Y9253" s="18"/>
    </row>
    <row r="9254" spans="25:25" x14ac:dyDescent="0.2">
      <c r="Y9254" s="18"/>
    </row>
    <row r="9255" spans="25:25" x14ac:dyDescent="0.2">
      <c r="Y9255" s="18"/>
    </row>
    <row r="9256" spans="25:25" x14ac:dyDescent="0.2">
      <c r="Y9256" s="18"/>
    </row>
    <row r="9257" spans="25:25" x14ac:dyDescent="0.2">
      <c r="Y9257" s="18"/>
    </row>
    <row r="9258" spans="25:25" x14ac:dyDescent="0.2">
      <c r="Y9258" s="18"/>
    </row>
    <row r="9259" spans="25:25" x14ac:dyDescent="0.2">
      <c r="Y9259" s="18"/>
    </row>
    <row r="9260" spans="25:25" x14ac:dyDescent="0.2">
      <c r="Y9260" s="18"/>
    </row>
    <row r="9261" spans="25:25" x14ac:dyDescent="0.2">
      <c r="Y9261" s="18"/>
    </row>
    <row r="9262" spans="25:25" x14ac:dyDescent="0.2">
      <c r="Y9262" s="18"/>
    </row>
    <row r="9263" spans="25:25" x14ac:dyDescent="0.2">
      <c r="Y9263" s="18"/>
    </row>
    <row r="9264" spans="25:25" x14ac:dyDescent="0.2">
      <c r="Y9264" s="18"/>
    </row>
    <row r="9265" spans="25:25" x14ac:dyDescent="0.2">
      <c r="Y9265" s="18"/>
    </row>
    <row r="9266" spans="25:25" x14ac:dyDescent="0.2">
      <c r="Y9266" s="18"/>
    </row>
    <row r="9267" spans="25:25" x14ac:dyDescent="0.2">
      <c r="Y9267" s="18"/>
    </row>
    <row r="9268" spans="25:25" x14ac:dyDescent="0.2">
      <c r="Y9268" s="18"/>
    </row>
    <row r="9269" spans="25:25" x14ac:dyDescent="0.2">
      <c r="Y9269" s="18"/>
    </row>
    <row r="9270" spans="25:25" x14ac:dyDescent="0.2">
      <c r="Y9270" s="18"/>
    </row>
    <row r="9271" spans="25:25" x14ac:dyDescent="0.2">
      <c r="Y9271" s="18"/>
    </row>
    <row r="9272" spans="25:25" x14ac:dyDescent="0.2">
      <c r="Y9272" s="18"/>
    </row>
    <row r="9273" spans="25:25" x14ac:dyDescent="0.2">
      <c r="Y9273" s="18"/>
    </row>
    <row r="9274" spans="25:25" x14ac:dyDescent="0.2">
      <c r="Y9274" s="18"/>
    </row>
    <row r="9275" spans="25:25" x14ac:dyDescent="0.2">
      <c r="Y9275" s="18"/>
    </row>
    <row r="9276" spans="25:25" x14ac:dyDescent="0.2">
      <c r="Y9276" s="18"/>
    </row>
    <row r="9277" spans="25:25" x14ac:dyDescent="0.2">
      <c r="Y9277" s="18"/>
    </row>
    <row r="9278" spans="25:25" x14ac:dyDescent="0.2">
      <c r="Y9278" s="18"/>
    </row>
    <row r="9279" spans="25:25" x14ac:dyDescent="0.2">
      <c r="Y9279" s="18"/>
    </row>
    <row r="9280" spans="25:25" x14ac:dyDescent="0.2">
      <c r="Y9280" s="18"/>
    </row>
    <row r="9281" spans="25:25" x14ac:dyDescent="0.2">
      <c r="Y9281" s="18"/>
    </row>
    <row r="9282" spans="25:25" x14ac:dyDescent="0.2">
      <c r="Y9282" s="18"/>
    </row>
    <row r="9283" spans="25:25" x14ac:dyDescent="0.2">
      <c r="Y9283" s="18"/>
    </row>
    <row r="9284" spans="25:25" x14ac:dyDescent="0.2">
      <c r="Y9284" s="18"/>
    </row>
    <row r="9285" spans="25:25" x14ac:dyDescent="0.2">
      <c r="Y9285" s="18"/>
    </row>
    <row r="9286" spans="25:25" x14ac:dyDescent="0.2">
      <c r="Y9286" s="18"/>
    </row>
    <row r="9287" spans="25:25" x14ac:dyDescent="0.2">
      <c r="Y9287" s="18"/>
    </row>
    <row r="9288" spans="25:25" x14ac:dyDescent="0.2">
      <c r="Y9288" s="18"/>
    </row>
    <row r="9289" spans="25:25" x14ac:dyDescent="0.2">
      <c r="Y9289" s="18"/>
    </row>
    <row r="9290" spans="25:25" x14ac:dyDescent="0.2">
      <c r="Y9290" s="18"/>
    </row>
    <row r="9291" spans="25:25" x14ac:dyDescent="0.2">
      <c r="Y9291" s="18"/>
    </row>
    <row r="9292" spans="25:25" x14ac:dyDescent="0.2">
      <c r="Y9292" s="18"/>
    </row>
    <row r="9293" spans="25:25" x14ac:dyDescent="0.2">
      <c r="Y9293" s="18"/>
    </row>
    <row r="9294" spans="25:25" x14ac:dyDescent="0.2">
      <c r="Y9294" s="18"/>
    </row>
    <row r="9295" spans="25:25" x14ac:dyDescent="0.2">
      <c r="Y9295" s="18"/>
    </row>
    <row r="9296" spans="25:25" x14ac:dyDescent="0.2">
      <c r="Y9296" s="18"/>
    </row>
    <row r="9297" spans="25:25" x14ac:dyDescent="0.2">
      <c r="Y9297" s="18"/>
    </row>
    <row r="9298" spans="25:25" x14ac:dyDescent="0.2">
      <c r="Y9298" s="18"/>
    </row>
    <row r="9299" spans="25:25" x14ac:dyDescent="0.2">
      <c r="Y9299" s="18"/>
    </row>
    <row r="9300" spans="25:25" x14ac:dyDescent="0.2">
      <c r="Y9300" s="18"/>
    </row>
    <row r="9301" spans="25:25" x14ac:dyDescent="0.2">
      <c r="Y9301" s="18"/>
    </row>
    <row r="9302" spans="25:25" x14ac:dyDescent="0.2">
      <c r="Y9302" s="18"/>
    </row>
    <row r="9303" spans="25:25" x14ac:dyDescent="0.2">
      <c r="Y9303" s="18"/>
    </row>
    <row r="9304" spans="25:25" x14ac:dyDescent="0.2">
      <c r="Y9304" s="18"/>
    </row>
    <row r="9305" spans="25:25" x14ac:dyDescent="0.2">
      <c r="Y9305" s="18"/>
    </row>
    <row r="9306" spans="25:25" x14ac:dyDescent="0.2">
      <c r="Y9306" s="18"/>
    </row>
    <row r="9307" spans="25:25" x14ac:dyDescent="0.2">
      <c r="Y9307" s="18"/>
    </row>
    <row r="9308" spans="25:25" x14ac:dyDescent="0.2">
      <c r="Y9308" s="18"/>
    </row>
    <row r="9309" spans="25:25" x14ac:dyDescent="0.2">
      <c r="Y9309" s="18"/>
    </row>
    <row r="9310" spans="25:25" x14ac:dyDescent="0.2">
      <c r="Y9310" s="18"/>
    </row>
    <row r="9311" spans="25:25" x14ac:dyDescent="0.2">
      <c r="Y9311" s="18"/>
    </row>
    <row r="9312" spans="25:25" x14ac:dyDescent="0.2">
      <c r="Y9312" s="18"/>
    </row>
    <row r="9313" spans="25:25" x14ac:dyDescent="0.2">
      <c r="Y9313" s="18"/>
    </row>
    <row r="9314" spans="25:25" x14ac:dyDescent="0.2">
      <c r="Y9314" s="18"/>
    </row>
    <row r="9315" spans="25:25" x14ac:dyDescent="0.2">
      <c r="Y9315" s="18"/>
    </row>
    <row r="9316" spans="25:25" x14ac:dyDescent="0.2">
      <c r="Y9316" s="18"/>
    </row>
    <row r="9317" spans="25:25" x14ac:dyDescent="0.2">
      <c r="Y9317" s="18"/>
    </row>
    <row r="9318" spans="25:25" x14ac:dyDescent="0.2">
      <c r="Y9318" s="18"/>
    </row>
    <row r="9319" spans="25:25" x14ac:dyDescent="0.2">
      <c r="Y9319" s="18"/>
    </row>
    <row r="9320" spans="25:25" x14ac:dyDescent="0.2">
      <c r="Y9320" s="18"/>
    </row>
    <row r="9321" spans="25:25" x14ac:dyDescent="0.2">
      <c r="Y9321" s="18"/>
    </row>
    <row r="9322" spans="25:25" x14ac:dyDescent="0.2">
      <c r="Y9322" s="18"/>
    </row>
    <row r="9323" spans="25:25" x14ac:dyDescent="0.2">
      <c r="Y9323" s="18"/>
    </row>
    <row r="9324" spans="25:25" x14ac:dyDescent="0.2">
      <c r="Y9324" s="18"/>
    </row>
    <row r="9325" spans="25:25" x14ac:dyDescent="0.2">
      <c r="Y9325" s="18"/>
    </row>
    <row r="9326" spans="25:25" x14ac:dyDescent="0.2">
      <c r="Y9326" s="18"/>
    </row>
    <row r="9327" spans="25:25" x14ac:dyDescent="0.2">
      <c r="Y9327" s="18"/>
    </row>
    <row r="9328" spans="25:25" x14ac:dyDescent="0.2">
      <c r="Y9328" s="18"/>
    </row>
    <row r="9329" spans="25:25" x14ac:dyDescent="0.2">
      <c r="Y9329" s="18"/>
    </row>
    <row r="9330" spans="25:25" x14ac:dyDescent="0.2">
      <c r="Y9330" s="18"/>
    </row>
    <row r="9331" spans="25:25" x14ac:dyDescent="0.2">
      <c r="Y9331" s="18"/>
    </row>
    <row r="9332" spans="25:25" x14ac:dyDescent="0.2">
      <c r="Y9332" s="18"/>
    </row>
    <row r="9333" spans="25:25" x14ac:dyDescent="0.2">
      <c r="Y9333" s="18"/>
    </row>
    <row r="9334" spans="25:25" x14ac:dyDescent="0.2">
      <c r="Y9334" s="18"/>
    </row>
    <row r="9335" spans="25:25" x14ac:dyDescent="0.2">
      <c r="Y9335" s="18"/>
    </row>
    <row r="9336" spans="25:25" x14ac:dyDescent="0.2">
      <c r="Y9336" s="18"/>
    </row>
    <row r="9337" spans="25:25" x14ac:dyDescent="0.2">
      <c r="Y9337" s="18"/>
    </row>
    <row r="9338" spans="25:25" x14ac:dyDescent="0.2">
      <c r="Y9338" s="18"/>
    </row>
    <row r="9339" spans="25:25" x14ac:dyDescent="0.2">
      <c r="Y9339" s="18"/>
    </row>
    <row r="9340" spans="25:25" x14ac:dyDescent="0.2">
      <c r="Y9340" s="18"/>
    </row>
    <row r="9341" spans="25:25" x14ac:dyDescent="0.2">
      <c r="Y9341" s="18"/>
    </row>
    <row r="9342" spans="25:25" x14ac:dyDescent="0.2">
      <c r="Y9342" s="18"/>
    </row>
    <row r="9343" spans="25:25" x14ac:dyDescent="0.2">
      <c r="Y9343" s="18"/>
    </row>
    <row r="9344" spans="25:25" x14ac:dyDescent="0.2">
      <c r="Y9344" s="18"/>
    </row>
    <row r="9345" spans="25:25" x14ac:dyDescent="0.2">
      <c r="Y9345" s="18"/>
    </row>
    <row r="9346" spans="25:25" x14ac:dyDescent="0.2">
      <c r="Y9346" s="18"/>
    </row>
    <row r="9347" spans="25:25" x14ac:dyDescent="0.2">
      <c r="Y9347" s="18"/>
    </row>
    <row r="9348" spans="25:25" x14ac:dyDescent="0.2">
      <c r="Y9348" s="18"/>
    </row>
    <row r="9349" spans="25:25" x14ac:dyDescent="0.2">
      <c r="Y9349" s="18"/>
    </row>
    <row r="9350" spans="25:25" x14ac:dyDescent="0.2">
      <c r="Y9350" s="18"/>
    </row>
    <row r="9351" spans="25:25" x14ac:dyDescent="0.2">
      <c r="Y9351" s="18"/>
    </row>
    <row r="9352" spans="25:25" x14ac:dyDescent="0.2">
      <c r="Y9352" s="18"/>
    </row>
    <row r="9353" spans="25:25" x14ac:dyDescent="0.2">
      <c r="Y9353" s="18"/>
    </row>
    <row r="9354" spans="25:25" x14ac:dyDescent="0.2">
      <c r="Y9354" s="18"/>
    </row>
    <row r="9355" spans="25:25" x14ac:dyDescent="0.2">
      <c r="Y9355" s="18"/>
    </row>
    <row r="9356" spans="25:25" x14ac:dyDescent="0.2">
      <c r="Y9356" s="18"/>
    </row>
    <row r="9357" spans="25:25" x14ac:dyDescent="0.2">
      <c r="Y9357" s="18"/>
    </row>
    <row r="9358" spans="25:25" x14ac:dyDescent="0.2">
      <c r="Y9358" s="18"/>
    </row>
    <row r="9359" spans="25:25" x14ac:dyDescent="0.2">
      <c r="Y9359" s="18"/>
    </row>
    <row r="9360" spans="25:25" x14ac:dyDescent="0.2">
      <c r="Y9360" s="18"/>
    </row>
    <row r="9361" spans="25:25" x14ac:dyDescent="0.2">
      <c r="Y9361" s="18"/>
    </row>
    <row r="9362" spans="25:25" x14ac:dyDescent="0.2">
      <c r="Y9362" s="18"/>
    </row>
    <row r="9363" spans="25:25" x14ac:dyDescent="0.2">
      <c r="Y9363" s="18"/>
    </row>
    <row r="9364" spans="25:25" x14ac:dyDescent="0.2">
      <c r="Y9364" s="18"/>
    </row>
    <row r="9365" spans="25:25" x14ac:dyDescent="0.2">
      <c r="Y9365" s="18"/>
    </row>
    <row r="9366" spans="25:25" x14ac:dyDescent="0.2">
      <c r="Y9366" s="18"/>
    </row>
    <row r="9367" spans="25:25" x14ac:dyDescent="0.2">
      <c r="Y9367" s="18"/>
    </row>
    <row r="9368" spans="25:25" x14ac:dyDescent="0.2">
      <c r="Y9368" s="18"/>
    </row>
    <row r="9369" spans="25:25" x14ac:dyDescent="0.2">
      <c r="Y9369" s="18"/>
    </row>
    <row r="9370" spans="25:25" x14ac:dyDescent="0.2">
      <c r="Y9370" s="18"/>
    </row>
    <row r="9371" spans="25:25" x14ac:dyDescent="0.2">
      <c r="Y9371" s="18"/>
    </row>
    <row r="9372" spans="25:25" x14ac:dyDescent="0.2">
      <c r="Y9372" s="18"/>
    </row>
    <row r="9373" spans="25:25" x14ac:dyDescent="0.2">
      <c r="Y9373" s="18"/>
    </row>
    <row r="9374" spans="25:25" x14ac:dyDescent="0.2">
      <c r="Y9374" s="18"/>
    </row>
    <row r="9375" spans="25:25" x14ac:dyDescent="0.2">
      <c r="Y9375" s="18"/>
    </row>
    <row r="9376" spans="25:25" x14ac:dyDescent="0.2">
      <c r="Y9376" s="18"/>
    </row>
    <row r="9377" spans="25:25" x14ac:dyDescent="0.2">
      <c r="Y9377" s="18"/>
    </row>
    <row r="9378" spans="25:25" x14ac:dyDescent="0.2">
      <c r="Y9378" s="18"/>
    </row>
    <row r="9379" spans="25:25" x14ac:dyDescent="0.2">
      <c r="Y9379" s="18"/>
    </row>
    <row r="9380" spans="25:25" x14ac:dyDescent="0.2">
      <c r="Y9380" s="18"/>
    </row>
    <row r="9381" spans="25:25" x14ac:dyDescent="0.2">
      <c r="Y9381" s="18"/>
    </row>
    <row r="9382" spans="25:25" x14ac:dyDescent="0.2">
      <c r="Y9382" s="18"/>
    </row>
    <row r="9383" spans="25:25" x14ac:dyDescent="0.2">
      <c r="Y9383" s="18"/>
    </row>
    <row r="9384" spans="25:25" x14ac:dyDescent="0.2">
      <c r="Y9384" s="18"/>
    </row>
    <row r="9385" spans="25:25" x14ac:dyDescent="0.2">
      <c r="Y9385" s="18"/>
    </row>
    <row r="9386" spans="25:25" x14ac:dyDescent="0.2">
      <c r="Y9386" s="18"/>
    </row>
    <row r="9387" spans="25:25" x14ac:dyDescent="0.2">
      <c r="Y9387" s="18"/>
    </row>
    <row r="9388" spans="25:25" x14ac:dyDescent="0.2">
      <c r="Y9388" s="18"/>
    </row>
    <row r="9389" spans="25:25" x14ac:dyDescent="0.2">
      <c r="Y9389" s="18"/>
    </row>
    <row r="9390" spans="25:25" x14ac:dyDescent="0.2">
      <c r="Y9390" s="18"/>
    </row>
    <row r="9391" spans="25:25" x14ac:dyDescent="0.2">
      <c r="Y9391" s="18"/>
    </row>
    <row r="9392" spans="25:25" x14ac:dyDescent="0.2">
      <c r="Y9392" s="18"/>
    </row>
    <row r="9393" spans="25:25" x14ac:dyDescent="0.2">
      <c r="Y9393" s="18"/>
    </row>
    <row r="9394" spans="25:25" x14ac:dyDescent="0.2">
      <c r="Y9394" s="18"/>
    </row>
    <row r="9395" spans="25:25" x14ac:dyDescent="0.2">
      <c r="Y9395" s="18"/>
    </row>
    <row r="9396" spans="25:25" x14ac:dyDescent="0.2">
      <c r="Y9396" s="18"/>
    </row>
    <row r="9397" spans="25:25" x14ac:dyDescent="0.2">
      <c r="Y9397" s="18"/>
    </row>
    <row r="9398" spans="25:25" x14ac:dyDescent="0.2">
      <c r="Y9398" s="18"/>
    </row>
    <row r="9399" spans="25:25" x14ac:dyDescent="0.2">
      <c r="Y9399" s="18"/>
    </row>
    <row r="9400" spans="25:25" x14ac:dyDescent="0.2">
      <c r="Y9400" s="18"/>
    </row>
    <row r="9401" spans="25:25" x14ac:dyDescent="0.2">
      <c r="Y9401" s="18"/>
    </row>
    <row r="9402" spans="25:25" x14ac:dyDescent="0.2">
      <c r="Y9402" s="18"/>
    </row>
    <row r="9403" spans="25:25" x14ac:dyDescent="0.2">
      <c r="Y9403" s="18"/>
    </row>
    <row r="9404" spans="25:25" x14ac:dyDescent="0.2">
      <c r="Y9404" s="18"/>
    </row>
    <row r="9405" spans="25:25" x14ac:dyDescent="0.2">
      <c r="Y9405" s="18"/>
    </row>
    <row r="9406" spans="25:25" x14ac:dyDescent="0.2">
      <c r="Y9406" s="18"/>
    </row>
    <row r="9407" spans="25:25" x14ac:dyDescent="0.2">
      <c r="Y9407" s="18"/>
    </row>
    <row r="9408" spans="25:25" x14ac:dyDescent="0.2">
      <c r="Y9408" s="18"/>
    </row>
    <row r="9409" spans="25:25" x14ac:dyDescent="0.2">
      <c r="Y9409" s="18"/>
    </row>
    <row r="9410" spans="25:25" x14ac:dyDescent="0.2">
      <c r="Y9410" s="18"/>
    </row>
    <row r="9411" spans="25:25" x14ac:dyDescent="0.2">
      <c r="Y9411" s="18"/>
    </row>
    <row r="9412" spans="25:25" x14ac:dyDescent="0.2">
      <c r="Y9412" s="18"/>
    </row>
    <row r="9413" spans="25:25" x14ac:dyDescent="0.2">
      <c r="Y9413" s="18"/>
    </row>
    <row r="9414" spans="25:25" x14ac:dyDescent="0.2">
      <c r="Y9414" s="18"/>
    </row>
    <row r="9415" spans="25:25" x14ac:dyDescent="0.2">
      <c r="Y9415" s="18"/>
    </row>
    <row r="9416" spans="25:25" x14ac:dyDescent="0.2">
      <c r="Y9416" s="18"/>
    </row>
    <row r="9417" spans="25:25" x14ac:dyDescent="0.2">
      <c r="Y9417" s="18"/>
    </row>
    <row r="9418" spans="25:25" x14ac:dyDescent="0.2">
      <c r="Y9418" s="18"/>
    </row>
    <row r="9419" spans="25:25" x14ac:dyDescent="0.2">
      <c r="Y9419" s="18"/>
    </row>
    <row r="9420" spans="25:25" x14ac:dyDescent="0.2">
      <c r="Y9420" s="18"/>
    </row>
    <row r="9421" spans="25:25" x14ac:dyDescent="0.2">
      <c r="Y9421" s="18"/>
    </row>
    <row r="9422" spans="25:25" x14ac:dyDescent="0.2">
      <c r="Y9422" s="18"/>
    </row>
    <row r="9423" spans="25:25" x14ac:dyDescent="0.2">
      <c r="Y9423" s="18"/>
    </row>
    <row r="9424" spans="25:25" x14ac:dyDescent="0.2">
      <c r="Y9424" s="18"/>
    </row>
    <row r="9425" spans="25:25" x14ac:dyDescent="0.2">
      <c r="Y9425" s="18"/>
    </row>
    <row r="9426" spans="25:25" x14ac:dyDescent="0.2">
      <c r="Y9426" s="18"/>
    </row>
    <row r="9427" spans="25:25" x14ac:dyDescent="0.2">
      <c r="Y9427" s="18"/>
    </row>
    <row r="9428" spans="25:25" x14ac:dyDescent="0.2">
      <c r="Y9428" s="18"/>
    </row>
    <row r="9429" spans="25:25" x14ac:dyDescent="0.2">
      <c r="Y9429" s="18"/>
    </row>
    <row r="9430" spans="25:25" x14ac:dyDescent="0.2">
      <c r="Y9430" s="18"/>
    </row>
    <row r="9431" spans="25:25" x14ac:dyDescent="0.2">
      <c r="Y9431" s="18"/>
    </row>
    <row r="9432" spans="25:25" x14ac:dyDescent="0.2">
      <c r="Y9432" s="18"/>
    </row>
    <row r="9433" spans="25:25" x14ac:dyDescent="0.2">
      <c r="Y9433" s="18"/>
    </row>
    <row r="9434" spans="25:25" x14ac:dyDescent="0.2">
      <c r="Y9434" s="18"/>
    </row>
    <row r="9435" spans="25:25" x14ac:dyDescent="0.2">
      <c r="Y9435" s="18"/>
    </row>
    <row r="9436" spans="25:25" x14ac:dyDescent="0.2">
      <c r="Y9436" s="18"/>
    </row>
    <row r="9437" spans="25:25" x14ac:dyDescent="0.2">
      <c r="Y9437" s="18"/>
    </row>
    <row r="9438" spans="25:25" x14ac:dyDescent="0.2">
      <c r="Y9438" s="18"/>
    </row>
    <row r="9439" spans="25:25" x14ac:dyDescent="0.2">
      <c r="Y9439" s="18"/>
    </row>
    <row r="9440" spans="25:25" x14ac:dyDescent="0.2">
      <c r="Y9440" s="18"/>
    </row>
    <row r="9441" spans="25:25" x14ac:dyDescent="0.2">
      <c r="Y9441" s="18"/>
    </row>
    <row r="9442" spans="25:25" x14ac:dyDescent="0.2">
      <c r="Y9442" s="18"/>
    </row>
    <row r="9443" spans="25:25" x14ac:dyDescent="0.2">
      <c r="Y9443" s="18"/>
    </row>
    <row r="9444" spans="25:25" x14ac:dyDescent="0.2">
      <c r="Y9444" s="18"/>
    </row>
    <row r="9445" spans="25:25" x14ac:dyDescent="0.2">
      <c r="Y9445" s="18"/>
    </row>
    <row r="9446" spans="25:25" x14ac:dyDescent="0.2">
      <c r="Y9446" s="18"/>
    </row>
    <row r="9447" spans="25:25" x14ac:dyDescent="0.2">
      <c r="Y9447" s="18"/>
    </row>
    <row r="9448" spans="25:25" x14ac:dyDescent="0.2">
      <c r="Y9448" s="18"/>
    </row>
    <row r="9449" spans="25:25" x14ac:dyDescent="0.2">
      <c r="Y9449" s="18"/>
    </row>
    <row r="9450" spans="25:25" x14ac:dyDescent="0.2">
      <c r="Y9450" s="18"/>
    </row>
    <row r="9451" spans="25:25" x14ac:dyDescent="0.2">
      <c r="Y9451" s="18"/>
    </row>
    <row r="9452" spans="25:25" x14ac:dyDescent="0.2">
      <c r="Y9452" s="18"/>
    </row>
    <row r="9453" spans="25:25" x14ac:dyDescent="0.2">
      <c r="Y9453" s="18"/>
    </row>
    <row r="9454" spans="25:25" x14ac:dyDescent="0.2">
      <c r="Y9454" s="18"/>
    </row>
    <row r="9455" spans="25:25" x14ac:dyDescent="0.2">
      <c r="Y9455" s="18"/>
    </row>
    <row r="9456" spans="25:25" x14ac:dyDescent="0.2">
      <c r="Y9456" s="18"/>
    </row>
    <row r="9457" spans="25:25" x14ac:dyDescent="0.2">
      <c r="Y9457" s="18"/>
    </row>
    <row r="9458" spans="25:25" x14ac:dyDescent="0.2">
      <c r="Y9458" s="18"/>
    </row>
    <row r="9459" spans="25:25" x14ac:dyDescent="0.2">
      <c r="Y9459" s="18"/>
    </row>
    <row r="9460" spans="25:25" x14ac:dyDescent="0.2">
      <c r="Y9460" s="18"/>
    </row>
    <row r="9461" spans="25:25" x14ac:dyDescent="0.2">
      <c r="Y9461" s="18"/>
    </row>
    <row r="9462" spans="25:25" x14ac:dyDescent="0.2">
      <c r="Y9462" s="18"/>
    </row>
    <row r="9463" spans="25:25" x14ac:dyDescent="0.2">
      <c r="Y9463" s="18"/>
    </row>
    <row r="9464" spans="25:25" x14ac:dyDescent="0.2">
      <c r="Y9464" s="18"/>
    </row>
    <row r="9465" spans="25:25" x14ac:dyDescent="0.2">
      <c r="Y9465" s="18"/>
    </row>
    <row r="9466" spans="25:25" x14ac:dyDescent="0.2">
      <c r="Y9466" s="18"/>
    </row>
    <row r="9467" spans="25:25" x14ac:dyDescent="0.2">
      <c r="Y9467" s="18"/>
    </row>
    <row r="9468" spans="25:25" x14ac:dyDescent="0.2">
      <c r="Y9468" s="18"/>
    </row>
    <row r="9469" spans="25:25" x14ac:dyDescent="0.2">
      <c r="Y9469" s="18"/>
    </row>
    <row r="9470" spans="25:25" x14ac:dyDescent="0.2">
      <c r="Y9470" s="18"/>
    </row>
    <row r="9471" spans="25:25" x14ac:dyDescent="0.2">
      <c r="Y9471" s="18"/>
    </row>
    <row r="9472" spans="25:25" x14ac:dyDescent="0.2">
      <c r="Y9472" s="18"/>
    </row>
    <row r="9473" spans="25:25" x14ac:dyDescent="0.2">
      <c r="Y9473" s="18"/>
    </row>
    <row r="9474" spans="25:25" x14ac:dyDescent="0.2">
      <c r="Y9474" s="18"/>
    </row>
    <row r="9475" spans="25:25" x14ac:dyDescent="0.2">
      <c r="Y9475" s="18"/>
    </row>
    <row r="9476" spans="25:25" x14ac:dyDescent="0.2">
      <c r="Y9476" s="18"/>
    </row>
    <row r="9477" spans="25:25" x14ac:dyDescent="0.2">
      <c r="Y9477" s="18"/>
    </row>
    <row r="9478" spans="25:25" x14ac:dyDescent="0.2">
      <c r="Y9478" s="18"/>
    </row>
    <row r="9479" spans="25:25" x14ac:dyDescent="0.2">
      <c r="Y9479" s="18"/>
    </row>
    <row r="9480" spans="25:25" x14ac:dyDescent="0.2">
      <c r="Y9480" s="18"/>
    </row>
    <row r="9481" spans="25:25" x14ac:dyDescent="0.2">
      <c r="Y9481" s="18"/>
    </row>
    <row r="9482" spans="25:25" x14ac:dyDescent="0.2">
      <c r="Y9482" s="18"/>
    </row>
    <row r="9483" spans="25:25" x14ac:dyDescent="0.2">
      <c r="Y9483" s="18"/>
    </row>
    <row r="9484" spans="25:25" x14ac:dyDescent="0.2">
      <c r="Y9484" s="18"/>
    </row>
    <row r="9485" spans="25:25" x14ac:dyDescent="0.2">
      <c r="Y9485" s="18"/>
    </row>
    <row r="9486" spans="25:25" x14ac:dyDescent="0.2">
      <c r="Y9486" s="18"/>
    </row>
    <row r="9487" spans="25:25" x14ac:dyDescent="0.2">
      <c r="Y9487" s="18"/>
    </row>
    <row r="9488" spans="25:25" x14ac:dyDescent="0.2">
      <c r="Y9488" s="18"/>
    </row>
    <row r="9489" spans="25:25" x14ac:dyDescent="0.2">
      <c r="Y9489" s="18"/>
    </row>
    <row r="9490" spans="25:25" x14ac:dyDescent="0.2">
      <c r="Y9490" s="18"/>
    </row>
    <row r="9491" spans="25:25" x14ac:dyDescent="0.2">
      <c r="Y9491" s="18"/>
    </row>
    <row r="9492" spans="25:25" x14ac:dyDescent="0.2">
      <c r="Y9492" s="18"/>
    </row>
    <row r="9493" spans="25:25" x14ac:dyDescent="0.2">
      <c r="Y9493" s="18"/>
    </row>
    <row r="9494" spans="25:25" x14ac:dyDescent="0.2">
      <c r="Y9494" s="18"/>
    </row>
    <row r="9495" spans="25:25" x14ac:dyDescent="0.2">
      <c r="Y9495" s="18"/>
    </row>
    <row r="9496" spans="25:25" x14ac:dyDescent="0.2">
      <c r="Y9496" s="18"/>
    </row>
    <row r="9497" spans="25:25" x14ac:dyDescent="0.2">
      <c r="Y9497" s="18"/>
    </row>
    <row r="9498" spans="25:25" x14ac:dyDescent="0.2">
      <c r="Y9498" s="18"/>
    </row>
    <row r="9499" spans="25:25" x14ac:dyDescent="0.2">
      <c r="Y9499" s="18"/>
    </row>
    <row r="9500" spans="25:25" x14ac:dyDescent="0.2">
      <c r="Y9500" s="18"/>
    </row>
    <row r="9501" spans="25:25" x14ac:dyDescent="0.2">
      <c r="Y9501" s="18"/>
    </row>
    <row r="9502" spans="25:25" x14ac:dyDescent="0.2">
      <c r="Y9502" s="18"/>
    </row>
    <row r="9503" spans="25:25" x14ac:dyDescent="0.2">
      <c r="Y9503" s="18"/>
    </row>
    <row r="9504" spans="25:25" x14ac:dyDescent="0.2">
      <c r="Y9504" s="18"/>
    </row>
    <row r="9505" spans="25:25" x14ac:dyDescent="0.2">
      <c r="Y9505" s="18"/>
    </row>
    <row r="9506" spans="25:25" x14ac:dyDescent="0.2">
      <c r="Y9506" s="18"/>
    </row>
    <row r="9507" spans="25:25" x14ac:dyDescent="0.2">
      <c r="Y9507" s="18"/>
    </row>
    <row r="9508" spans="25:25" x14ac:dyDescent="0.2">
      <c r="Y9508" s="18"/>
    </row>
    <row r="9509" spans="25:25" x14ac:dyDescent="0.2">
      <c r="Y9509" s="18"/>
    </row>
    <row r="9510" spans="25:25" x14ac:dyDescent="0.2">
      <c r="Y9510" s="18"/>
    </row>
    <row r="9511" spans="25:25" x14ac:dyDescent="0.2">
      <c r="Y9511" s="18"/>
    </row>
    <row r="9512" spans="25:25" x14ac:dyDescent="0.2">
      <c r="Y9512" s="18"/>
    </row>
    <row r="9513" spans="25:25" x14ac:dyDescent="0.2">
      <c r="Y9513" s="18"/>
    </row>
    <row r="9514" spans="25:25" x14ac:dyDescent="0.2">
      <c r="Y9514" s="18"/>
    </row>
    <row r="9515" spans="25:25" x14ac:dyDescent="0.2">
      <c r="Y9515" s="18"/>
    </row>
    <row r="9516" spans="25:25" x14ac:dyDescent="0.2">
      <c r="Y9516" s="18"/>
    </row>
    <row r="9517" spans="25:25" x14ac:dyDescent="0.2">
      <c r="Y9517" s="18"/>
    </row>
    <row r="9518" spans="25:25" x14ac:dyDescent="0.2">
      <c r="Y9518" s="18"/>
    </row>
    <row r="9519" spans="25:25" x14ac:dyDescent="0.2">
      <c r="Y9519" s="18"/>
    </row>
    <row r="9520" spans="25:25" x14ac:dyDescent="0.2">
      <c r="Y9520" s="18"/>
    </row>
    <row r="9521" spans="25:25" x14ac:dyDescent="0.2">
      <c r="Y9521" s="18"/>
    </row>
    <row r="9522" spans="25:25" x14ac:dyDescent="0.2">
      <c r="Y9522" s="18"/>
    </row>
    <row r="9523" spans="25:25" x14ac:dyDescent="0.2">
      <c r="Y9523" s="18"/>
    </row>
    <row r="9524" spans="25:25" x14ac:dyDescent="0.2">
      <c r="Y9524" s="18"/>
    </row>
    <row r="9525" spans="25:25" x14ac:dyDescent="0.2">
      <c r="Y9525" s="18"/>
    </row>
    <row r="9526" spans="25:25" x14ac:dyDescent="0.2">
      <c r="Y9526" s="18"/>
    </row>
    <row r="9527" spans="25:25" x14ac:dyDescent="0.2">
      <c r="Y9527" s="18"/>
    </row>
    <row r="9528" spans="25:25" x14ac:dyDescent="0.2">
      <c r="Y9528" s="18"/>
    </row>
    <row r="9529" spans="25:25" x14ac:dyDescent="0.2">
      <c r="Y9529" s="18"/>
    </row>
    <row r="9530" spans="25:25" x14ac:dyDescent="0.2">
      <c r="Y9530" s="18"/>
    </row>
    <row r="9531" spans="25:25" x14ac:dyDescent="0.2">
      <c r="Y9531" s="18"/>
    </row>
    <row r="9532" spans="25:25" x14ac:dyDescent="0.2">
      <c r="Y9532" s="18"/>
    </row>
    <row r="9533" spans="25:25" x14ac:dyDescent="0.2">
      <c r="Y9533" s="18"/>
    </row>
    <row r="9534" spans="25:25" x14ac:dyDescent="0.2">
      <c r="Y9534" s="18"/>
    </row>
    <row r="9535" spans="25:25" x14ac:dyDescent="0.2">
      <c r="Y9535" s="18"/>
    </row>
    <row r="9536" spans="25:25" x14ac:dyDescent="0.2">
      <c r="Y9536" s="18"/>
    </row>
    <row r="9537" spans="25:25" x14ac:dyDescent="0.2">
      <c r="Y9537" s="18"/>
    </row>
    <row r="9538" spans="25:25" x14ac:dyDescent="0.2">
      <c r="Y9538" s="18"/>
    </row>
    <row r="9539" spans="25:25" x14ac:dyDescent="0.2">
      <c r="Y9539" s="18"/>
    </row>
    <row r="9540" spans="25:25" x14ac:dyDescent="0.2">
      <c r="Y9540" s="18"/>
    </row>
    <row r="9541" spans="25:25" x14ac:dyDescent="0.2">
      <c r="Y9541" s="18"/>
    </row>
    <row r="9542" spans="25:25" x14ac:dyDescent="0.2">
      <c r="Y9542" s="18"/>
    </row>
    <row r="9543" spans="25:25" x14ac:dyDescent="0.2">
      <c r="Y9543" s="18"/>
    </row>
    <row r="9544" spans="25:25" x14ac:dyDescent="0.2">
      <c r="Y9544" s="18"/>
    </row>
    <row r="9545" spans="25:25" x14ac:dyDescent="0.2">
      <c r="Y9545" s="18"/>
    </row>
    <row r="9546" spans="25:25" x14ac:dyDescent="0.2">
      <c r="Y9546" s="18"/>
    </row>
    <row r="9547" spans="25:25" x14ac:dyDescent="0.2">
      <c r="Y9547" s="18"/>
    </row>
    <row r="9548" spans="25:25" x14ac:dyDescent="0.2">
      <c r="Y9548" s="18"/>
    </row>
    <row r="9549" spans="25:25" x14ac:dyDescent="0.2">
      <c r="Y9549" s="18"/>
    </row>
    <row r="9550" spans="25:25" x14ac:dyDescent="0.2">
      <c r="Y9550" s="18"/>
    </row>
    <row r="9551" spans="25:25" x14ac:dyDescent="0.2">
      <c r="Y9551" s="18"/>
    </row>
    <row r="9552" spans="25:25" x14ac:dyDescent="0.2">
      <c r="Y9552" s="18"/>
    </row>
    <row r="9553" spans="25:25" x14ac:dyDescent="0.2">
      <c r="Y9553" s="18"/>
    </row>
    <row r="9554" spans="25:25" x14ac:dyDescent="0.2">
      <c r="Y9554" s="18"/>
    </row>
    <row r="9555" spans="25:25" x14ac:dyDescent="0.2">
      <c r="Y9555" s="18"/>
    </row>
    <row r="9556" spans="25:25" x14ac:dyDescent="0.2">
      <c r="Y9556" s="18"/>
    </row>
    <row r="9557" spans="25:25" x14ac:dyDescent="0.2">
      <c r="Y9557" s="18"/>
    </row>
    <row r="9558" spans="25:25" x14ac:dyDescent="0.2">
      <c r="Y9558" s="18"/>
    </row>
    <row r="9559" spans="25:25" x14ac:dyDescent="0.2">
      <c r="Y9559" s="18"/>
    </row>
    <row r="9560" spans="25:25" x14ac:dyDescent="0.2">
      <c r="Y9560" s="18"/>
    </row>
    <row r="9561" spans="25:25" x14ac:dyDescent="0.2">
      <c r="Y9561" s="18"/>
    </row>
    <row r="9562" spans="25:25" x14ac:dyDescent="0.2">
      <c r="Y9562" s="18"/>
    </row>
    <row r="9563" spans="25:25" x14ac:dyDescent="0.2">
      <c r="Y9563" s="18"/>
    </row>
    <row r="9564" spans="25:25" x14ac:dyDescent="0.2">
      <c r="Y9564" s="18"/>
    </row>
    <row r="9565" spans="25:25" x14ac:dyDescent="0.2">
      <c r="Y9565" s="18"/>
    </row>
    <row r="9566" spans="25:25" x14ac:dyDescent="0.2">
      <c r="Y9566" s="18"/>
    </row>
    <row r="9567" spans="25:25" x14ac:dyDescent="0.2">
      <c r="Y9567" s="18"/>
    </row>
    <row r="9568" spans="25:25" x14ac:dyDescent="0.2">
      <c r="Y9568" s="18"/>
    </row>
    <row r="9569" spans="25:25" x14ac:dyDescent="0.2">
      <c r="Y9569" s="18"/>
    </row>
    <row r="9570" spans="25:25" x14ac:dyDescent="0.2">
      <c r="Y9570" s="18"/>
    </row>
    <row r="9571" spans="25:25" x14ac:dyDescent="0.2">
      <c r="Y9571" s="18"/>
    </row>
    <row r="9572" spans="25:25" x14ac:dyDescent="0.2">
      <c r="Y9572" s="18"/>
    </row>
    <row r="9573" spans="25:25" x14ac:dyDescent="0.2">
      <c r="Y9573" s="18"/>
    </row>
    <row r="9574" spans="25:25" x14ac:dyDescent="0.2">
      <c r="Y9574" s="18"/>
    </row>
    <row r="9575" spans="25:25" x14ac:dyDescent="0.2">
      <c r="Y9575" s="18"/>
    </row>
    <row r="9576" spans="25:25" x14ac:dyDescent="0.2">
      <c r="Y9576" s="18"/>
    </row>
    <row r="9577" spans="25:25" x14ac:dyDescent="0.2">
      <c r="Y9577" s="18"/>
    </row>
    <row r="9578" spans="25:25" x14ac:dyDescent="0.2">
      <c r="Y9578" s="18"/>
    </row>
    <row r="9579" spans="25:25" x14ac:dyDescent="0.2">
      <c r="Y9579" s="18"/>
    </row>
    <row r="9580" spans="25:25" x14ac:dyDescent="0.2">
      <c r="Y9580" s="18"/>
    </row>
    <row r="9581" spans="25:25" x14ac:dyDescent="0.2">
      <c r="Y9581" s="18"/>
    </row>
    <row r="9582" spans="25:25" x14ac:dyDescent="0.2">
      <c r="Y9582" s="18"/>
    </row>
    <row r="9583" spans="25:25" x14ac:dyDescent="0.2">
      <c r="Y9583" s="18"/>
    </row>
    <row r="9584" spans="25:25" x14ac:dyDescent="0.2">
      <c r="Y9584" s="18"/>
    </row>
    <row r="9585" spans="25:25" x14ac:dyDescent="0.2">
      <c r="Y9585" s="18"/>
    </row>
    <row r="9586" spans="25:25" x14ac:dyDescent="0.2">
      <c r="Y9586" s="18"/>
    </row>
    <row r="9587" spans="25:25" x14ac:dyDescent="0.2">
      <c r="Y9587" s="18"/>
    </row>
    <row r="9588" spans="25:25" x14ac:dyDescent="0.2">
      <c r="Y9588" s="18"/>
    </row>
    <row r="9589" spans="25:25" x14ac:dyDescent="0.2">
      <c r="Y9589" s="18"/>
    </row>
    <row r="9590" spans="25:25" x14ac:dyDescent="0.2">
      <c r="Y9590" s="18"/>
    </row>
    <row r="9591" spans="25:25" x14ac:dyDescent="0.2">
      <c r="Y9591" s="18"/>
    </row>
    <row r="9592" spans="25:25" x14ac:dyDescent="0.2">
      <c r="Y9592" s="18"/>
    </row>
    <row r="9593" spans="25:25" x14ac:dyDescent="0.2">
      <c r="Y9593" s="18"/>
    </row>
    <row r="9594" spans="25:25" x14ac:dyDescent="0.2">
      <c r="Y9594" s="18"/>
    </row>
    <row r="9595" spans="25:25" x14ac:dyDescent="0.2">
      <c r="Y9595" s="18"/>
    </row>
    <row r="9596" spans="25:25" x14ac:dyDescent="0.2">
      <c r="Y9596" s="18"/>
    </row>
    <row r="9597" spans="25:25" x14ac:dyDescent="0.2">
      <c r="Y9597" s="18"/>
    </row>
    <row r="9598" spans="25:25" x14ac:dyDescent="0.2">
      <c r="Y9598" s="18"/>
    </row>
    <row r="9599" spans="25:25" x14ac:dyDescent="0.2">
      <c r="Y9599" s="18"/>
    </row>
    <row r="9600" spans="25:25" x14ac:dyDescent="0.2">
      <c r="Y9600" s="18"/>
    </row>
    <row r="9601" spans="25:25" x14ac:dyDescent="0.2">
      <c r="Y9601" s="18"/>
    </row>
    <row r="9602" spans="25:25" x14ac:dyDescent="0.2">
      <c r="Y9602" s="18"/>
    </row>
    <row r="9603" spans="25:25" x14ac:dyDescent="0.2">
      <c r="Y9603" s="18"/>
    </row>
    <row r="9604" spans="25:25" x14ac:dyDescent="0.2">
      <c r="Y9604" s="18"/>
    </row>
    <row r="9605" spans="25:25" x14ac:dyDescent="0.2">
      <c r="Y9605" s="18"/>
    </row>
    <row r="9606" spans="25:25" x14ac:dyDescent="0.2">
      <c r="Y9606" s="18"/>
    </row>
    <row r="9607" spans="25:25" x14ac:dyDescent="0.2">
      <c r="Y9607" s="18"/>
    </row>
    <row r="9608" spans="25:25" x14ac:dyDescent="0.2">
      <c r="Y9608" s="18"/>
    </row>
    <row r="9609" spans="25:25" x14ac:dyDescent="0.2">
      <c r="Y9609" s="18"/>
    </row>
    <row r="9610" spans="25:25" x14ac:dyDescent="0.2">
      <c r="Y9610" s="18"/>
    </row>
    <row r="9611" spans="25:25" x14ac:dyDescent="0.2">
      <c r="Y9611" s="18"/>
    </row>
    <row r="9612" spans="25:25" x14ac:dyDescent="0.2">
      <c r="Y9612" s="18"/>
    </row>
    <row r="9613" spans="25:25" x14ac:dyDescent="0.2">
      <c r="Y9613" s="18"/>
    </row>
    <row r="9614" spans="25:25" x14ac:dyDescent="0.2">
      <c r="Y9614" s="18"/>
    </row>
    <row r="9615" spans="25:25" x14ac:dyDescent="0.2">
      <c r="Y9615" s="18"/>
    </row>
    <row r="9616" spans="25:25" x14ac:dyDescent="0.2">
      <c r="Y9616" s="18"/>
    </row>
    <row r="9617" spans="25:25" x14ac:dyDescent="0.2">
      <c r="Y9617" s="18"/>
    </row>
    <row r="9618" spans="25:25" x14ac:dyDescent="0.2">
      <c r="Y9618" s="18"/>
    </row>
    <row r="9619" spans="25:25" x14ac:dyDescent="0.2">
      <c r="Y9619" s="18"/>
    </row>
    <row r="9620" spans="25:25" x14ac:dyDescent="0.2">
      <c r="Y9620" s="18"/>
    </row>
    <row r="9621" spans="25:25" x14ac:dyDescent="0.2">
      <c r="Y9621" s="18"/>
    </row>
    <row r="9622" spans="25:25" x14ac:dyDescent="0.2">
      <c r="Y9622" s="18"/>
    </row>
    <row r="9623" spans="25:25" x14ac:dyDescent="0.2">
      <c r="Y9623" s="18"/>
    </row>
    <row r="9624" spans="25:25" x14ac:dyDescent="0.2">
      <c r="Y9624" s="18"/>
    </row>
    <row r="9625" spans="25:25" x14ac:dyDescent="0.2">
      <c r="Y9625" s="18"/>
    </row>
    <row r="9626" spans="25:25" x14ac:dyDescent="0.2">
      <c r="Y9626" s="18"/>
    </row>
    <row r="9627" spans="25:25" x14ac:dyDescent="0.2">
      <c r="Y9627" s="18"/>
    </row>
    <row r="9628" spans="25:25" x14ac:dyDescent="0.2">
      <c r="Y9628" s="18"/>
    </row>
    <row r="9629" spans="25:25" x14ac:dyDescent="0.2">
      <c r="Y9629" s="18"/>
    </row>
    <row r="9630" spans="25:25" x14ac:dyDescent="0.2">
      <c r="Y9630" s="18"/>
    </row>
    <row r="9631" spans="25:25" x14ac:dyDescent="0.2">
      <c r="Y9631" s="18"/>
    </row>
    <row r="9632" spans="25:25" x14ac:dyDescent="0.2">
      <c r="Y9632" s="18"/>
    </row>
    <row r="9633" spans="25:25" x14ac:dyDescent="0.2">
      <c r="Y9633" s="18"/>
    </row>
    <row r="9634" spans="25:25" x14ac:dyDescent="0.2">
      <c r="Y9634" s="18"/>
    </row>
    <row r="9635" spans="25:25" x14ac:dyDescent="0.2">
      <c r="Y9635" s="18"/>
    </row>
    <row r="9636" spans="25:25" x14ac:dyDescent="0.2">
      <c r="Y9636" s="18"/>
    </row>
    <row r="9637" spans="25:25" x14ac:dyDescent="0.2">
      <c r="Y9637" s="18"/>
    </row>
    <row r="9638" spans="25:25" x14ac:dyDescent="0.2">
      <c r="Y9638" s="18"/>
    </row>
    <row r="9639" spans="25:25" x14ac:dyDescent="0.2">
      <c r="Y9639" s="18"/>
    </row>
    <row r="9640" spans="25:25" x14ac:dyDescent="0.2">
      <c r="Y9640" s="18"/>
    </row>
    <row r="9641" spans="25:25" x14ac:dyDescent="0.2">
      <c r="Y9641" s="18"/>
    </row>
    <row r="9642" spans="25:25" x14ac:dyDescent="0.2">
      <c r="Y9642" s="18"/>
    </row>
    <row r="9643" spans="25:25" x14ac:dyDescent="0.2">
      <c r="Y9643" s="18"/>
    </row>
    <row r="9644" spans="25:25" x14ac:dyDescent="0.2">
      <c r="Y9644" s="18"/>
    </row>
    <row r="9645" spans="25:25" x14ac:dyDescent="0.2">
      <c r="Y9645" s="18"/>
    </row>
    <row r="9646" spans="25:25" x14ac:dyDescent="0.2">
      <c r="Y9646" s="18"/>
    </row>
    <row r="9647" spans="25:25" x14ac:dyDescent="0.2">
      <c r="Y9647" s="18"/>
    </row>
    <row r="9648" spans="25:25" x14ac:dyDescent="0.2">
      <c r="Y9648" s="18"/>
    </row>
    <row r="9649" spans="25:25" x14ac:dyDescent="0.2">
      <c r="Y9649" s="18"/>
    </row>
    <row r="9650" spans="25:25" x14ac:dyDescent="0.2">
      <c r="Y9650" s="18"/>
    </row>
    <row r="9651" spans="25:25" x14ac:dyDescent="0.2">
      <c r="Y9651" s="18"/>
    </row>
    <row r="9652" spans="25:25" x14ac:dyDescent="0.2">
      <c r="Y9652" s="18"/>
    </row>
    <row r="9653" spans="25:25" x14ac:dyDescent="0.2">
      <c r="Y9653" s="18"/>
    </row>
    <row r="9654" spans="25:25" x14ac:dyDescent="0.2">
      <c r="Y9654" s="18"/>
    </row>
    <row r="9655" spans="25:25" x14ac:dyDescent="0.2">
      <c r="Y9655" s="18"/>
    </row>
    <row r="9656" spans="25:25" x14ac:dyDescent="0.2">
      <c r="Y9656" s="18"/>
    </row>
    <row r="9657" spans="25:25" x14ac:dyDescent="0.2">
      <c r="Y9657" s="18"/>
    </row>
    <row r="9658" spans="25:25" x14ac:dyDescent="0.2">
      <c r="Y9658" s="18"/>
    </row>
    <row r="9659" spans="25:25" x14ac:dyDescent="0.2">
      <c r="Y9659" s="18"/>
    </row>
    <row r="9660" spans="25:25" x14ac:dyDescent="0.2">
      <c r="Y9660" s="18"/>
    </row>
    <row r="9661" spans="25:25" x14ac:dyDescent="0.2">
      <c r="Y9661" s="18"/>
    </row>
    <row r="9662" spans="25:25" x14ac:dyDescent="0.2">
      <c r="Y9662" s="18"/>
    </row>
    <row r="9663" spans="25:25" x14ac:dyDescent="0.2">
      <c r="Y9663" s="18"/>
    </row>
    <row r="9664" spans="25:25" x14ac:dyDescent="0.2">
      <c r="Y9664" s="18"/>
    </row>
    <row r="9665" spans="25:25" x14ac:dyDescent="0.2">
      <c r="Y9665" s="18"/>
    </row>
    <row r="9666" spans="25:25" x14ac:dyDescent="0.2">
      <c r="Y9666" s="18"/>
    </row>
    <row r="9667" spans="25:25" x14ac:dyDescent="0.2">
      <c r="Y9667" s="18"/>
    </row>
    <row r="9668" spans="25:25" x14ac:dyDescent="0.2">
      <c r="Y9668" s="18"/>
    </row>
    <row r="9669" spans="25:25" x14ac:dyDescent="0.2">
      <c r="Y9669" s="18"/>
    </row>
    <row r="9670" spans="25:25" x14ac:dyDescent="0.2">
      <c r="Y9670" s="18"/>
    </row>
    <row r="9671" spans="25:25" x14ac:dyDescent="0.2">
      <c r="Y9671" s="18"/>
    </row>
    <row r="9672" spans="25:25" x14ac:dyDescent="0.2">
      <c r="Y9672" s="18"/>
    </row>
    <row r="9673" spans="25:25" x14ac:dyDescent="0.2">
      <c r="Y9673" s="18"/>
    </row>
    <row r="9674" spans="25:25" x14ac:dyDescent="0.2">
      <c r="Y9674" s="18"/>
    </row>
    <row r="9675" spans="25:25" x14ac:dyDescent="0.2">
      <c r="Y9675" s="18"/>
    </row>
    <row r="9676" spans="25:25" x14ac:dyDescent="0.2">
      <c r="Y9676" s="18"/>
    </row>
    <row r="9677" spans="25:25" x14ac:dyDescent="0.2">
      <c r="Y9677" s="18"/>
    </row>
    <row r="9678" spans="25:25" x14ac:dyDescent="0.2">
      <c r="Y9678" s="18"/>
    </row>
    <row r="9679" spans="25:25" x14ac:dyDescent="0.2">
      <c r="Y9679" s="18"/>
    </row>
    <row r="9680" spans="25:25" x14ac:dyDescent="0.2">
      <c r="Y9680" s="18"/>
    </row>
    <row r="9681" spans="25:25" x14ac:dyDescent="0.2">
      <c r="Y9681" s="18"/>
    </row>
    <row r="9682" spans="25:25" x14ac:dyDescent="0.2">
      <c r="Y9682" s="18"/>
    </row>
    <row r="9683" spans="25:25" x14ac:dyDescent="0.2">
      <c r="Y9683" s="18"/>
    </row>
    <row r="9684" spans="25:25" x14ac:dyDescent="0.2">
      <c r="Y9684" s="18"/>
    </row>
    <row r="9685" spans="25:25" x14ac:dyDescent="0.2">
      <c r="Y9685" s="18"/>
    </row>
    <row r="9686" spans="25:25" x14ac:dyDescent="0.2">
      <c r="Y9686" s="18"/>
    </row>
    <row r="9687" spans="25:25" x14ac:dyDescent="0.2">
      <c r="Y9687" s="18"/>
    </row>
    <row r="9688" spans="25:25" x14ac:dyDescent="0.2">
      <c r="Y9688" s="18"/>
    </row>
    <row r="9689" spans="25:25" x14ac:dyDescent="0.2">
      <c r="Y9689" s="18"/>
    </row>
    <row r="9690" spans="25:25" x14ac:dyDescent="0.2">
      <c r="Y9690" s="18"/>
    </row>
    <row r="9691" spans="25:25" x14ac:dyDescent="0.2">
      <c r="Y9691" s="18"/>
    </row>
    <row r="9692" spans="25:25" x14ac:dyDescent="0.2">
      <c r="Y9692" s="18"/>
    </row>
    <row r="9693" spans="25:25" x14ac:dyDescent="0.2">
      <c r="Y9693" s="18"/>
    </row>
    <row r="9694" spans="25:25" x14ac:dyDescent="0.2">
      <c r="Y9694" s="18"/>
    </row>
    <row r="9695" spans="25:25" x14ac:dyDescent="0.2">
      <c r="Y9695" s="18"/>
    </row>
    <row r="9696" spans="25:25" x14ac:dyDescent="0.2">
      <c r="Y9696" s="18"/>
    </row>
    <row r="9697" spans="25:25" x14ac:dyDescent="0.2">
      <c r="Y9697" s="18"/>
    </row>
    <row r="9698" spans="25:25" x14ac:dyDescent="0.2">
      <c r="Y9698" s="18"/>
    </row>
    <row r="9699" spans="25:25" x14ac:dyDescent="0.2">
      <c r="Y9699" s="18"/>
    </row>
    <row r="9700" spans="25:25" x14ac:dyDescent="0.2">
      <c r="Y9700" s="18"/>
    </row>
    <row r="9701" spans="25:25" x14ac:dyDescent="0.2">
      <c r="Y9701" s="18"/>
    </row>
    <row r="9702" spans="25:25" x14ac:dyDescent="0.2">
      <c r="Y9702" s="18"/>
    </row>
    <row r="9703" spans="25:25" x14ac:dyDescent="0.2">
      <c r="Y9703" s="18"/>
    </row>
    <row r="9704" spans="25:25" x14ac:dyDescent="0.2">
      <c r="Y9704" s="18"/>
    </row>
    <row r="9705" spans="25:25" x14ac:dyDescent="0.2">
      <c r="Y9705" s="18"/>
    </row>
    <row r="9706" spans="25:25" x14ac:dyDescent="0.2">
      <c r="Y9706" s="18"/>
    </row>
    <row r="9707" spans="25:25" x14ac:dyDescent="0.2">
      <c r="Y9707" s="18"/>
    </row>
    <row r="9708" spans="25:25" x14ac:dyDescent="0.2">
      <c r="Y9708" s="18"/>
    </row>
    <row r="9709" spans="25:25" x14ac:dyDescent="0.2">
      <c r="Y9709" s="18"/>
    </row>
    <row r="9710" spans="25:25" x14ac:dyDescent="0.2">
      <c r="Y9710" s="18"/>
    </row>
    <row r="9711" spans="25:25" x14ac:dyDescent="0.2">
      <c r="Y9711" s="18"/>
    </row>
    <row r="9712" spans="25:25" x14ac:dyDescent="0.2">
      <c r="Y9712" s="18"/>
    </row>
    <row r="9713" spans="25:25" x14ac:dyDescent="0.2">
      <c r="Y9713" s="18"/>
    </row>
    <row r="9714" spans="25:25" x14ac:dyDescent="0.2">
      <c r="Y9714" s="18"/>
    </row>
    <row r="9715" spans="25:25" x14ac:dyDescent="0.2">
      <c r="Y9715" s="18"/>
    </row>
    <row r="9716" spans="25:25" x14ac:dyDescent="0.2">
      <c r="Y9716" s="18"/>
    </row>
    <row r="9717" spans="25:25" x14ac:dyDescent="0.2">
      <c r="Y9717" s="18"/>
    </row>
    <row r="9718" spans="25:25" x14ac:dyDescent="0.2">
      <c r="Y9718" s="18"/>
    </row>
    <row r="9719" spans="25:25" x14ac:dyDescent="0.2">
      <c r="Y9719" s="18"/>
    </row>
    <row r="9720" spans="25:25" x14ac:dyDescent="0.2">
      <c r="Y9720" s="18"/>
    </row>
    <row r="9721" spans="25:25" x14ac:dyDescent="0.2">
      <c r="Y9721" s="18"/>
    </row>
    <row r="9722" spans="25:25" x14ac:dyDescent="0.2">
      <c r="Y9722" s="18"/>
    </row>
    <row r="9723" spans="25:25" x14ac:dyDescent="0.2">
      <c r="Y9723" s="18"/>
    </row>
    <row r="9724" spans="25:25" x14ac:dyDescent="0.2">
      <c r="Y9724" s="18"/>
    </row>
    <row r="9725" spans="25:25" x14ac:dyDescent="0.2">
      <c r="Y9725" s="18"/>
    </row>
    <row r="9726" spans="25:25" x14ac:dyDescent="0.2">
      <c r="Y9726" s="18"/>
    </row>
    <row r="9727" spans="25:25" x14ac:dyDescent="0.2">
      <c r="Y9727" s="18"/>
    </row>
    <row r="9728" spans="25:25" x14ac:dyDescent="0.2">
      <c r="Y9728" s="18"/>
    </row>
    <row r="9729" spans="25:25" x14ac:dyDescent="0.2">
      <c r="Y9729" s="18"/>
    </row>
    <row r="9730" spans="25:25" x14ac:dyDescent="0.2">
      <c r="Y9730" s="18"/>
    </row>
    <row r="9731" spans="25:25" x14ac:dyDescent="0.2">
      <c r="Y9731" s="18"/>
    </row>
    <row r="9732" spans="25:25" x14ac:dyDescent="0.2">
      <c r="Y9732" s="18"/>
    </row>
    <row r="9733" spans="25:25" x14ac:dyDescent="0.2">
      <c r="Y9733" s="18"/>
    </row>
    <row r="9734" spans="25:25" x14ac:dyDescent="0.2">
      <c r="Y9734" s="18"/>
    </row>
    <row r="9735" spans="25:25" x14ac:dyDescent="0.2">
      <c r="Y9735" s="18"/>
    </row>
    <row r="9736" spans="25:25" x14ac:dyDescent="0.2">
      <c r="Y9736" s="18"/>
    </row>
    <row r="9737" spans="25:25" x14ac:dyDescent="0.2">
      <c r="Y9737" s="18"/>
    </row>
    <row r="9738" spans="25:25" x14ac:dyDescent="0.2">
      <c r="Y9738" s="18"/>
    </row>
    <row r="9739" spans="25:25" x14ac:dyDescent="0.2">
      <c r="Y9739" s="18"/>
    </row>
    <row r="9740" spans="25:25" x14ac:dyDescent="0.2">
      <c r="Y9740" s="18"/>
    </row>
    <row r="9741" spans="25:25" x14ac:dyDescent="0.2">
      <c r="Y9741" s="18"/>
    </row>
    <row r="9742" spans="25:25" x14ac:dyDescent="0.2">
      <c r="Y9742" s="18"/>
    </row>
    <row r="9743" spans="25:25" x14ac:dyDescent="0.2">
      <c r="Y9743" s="18"/>
    </row>
    <row r="9744" spans="25:25" x14ac:dyDescent="0.2">
      <c r="Y9744" s="18"/>
    </row>
    <row r="9745" spans="25:25" x14ac:dyDescent="0.2">
      <c r="Y9745" s="18"/>
    </row>
    <row r="9746" spans="25:25" x14ac:dyDescent="0.2">
      <c r="Y9746" s="18"/>
    </row>
    <row r="9747" spans="25:25" x14ac:dyDescent="0.2">
      <c r="Y9747" s="18"/>
    </row>
    <row r="9748" spans="25:25" x14ac:dyDescent="0.2">
      <c r="Y9748" s="18"/>
    </row>
    <row r="9749" spans="25:25" x14ac:dyDescent="0.2">
      <c r="Y9749" s="18"/>
    </row>
    <row r="9750" spans="25:25" x14ac:dyDescent="0.2">
      <c r="Y9750" s="18"/>
    </row>
    <row r="9751" spans="25:25" x14ac:dyDescent="0.2">
      <c r="Y9751" s="18"/>
    </row>
    <row r="9752" spans="25:25" x14ac:dyDescent="0.2">
      <c r="Y9752" s="18"/>
    </row>
    <row r="9753" spans="25:25" x14ac:dyDescent="0.2">
      <c r="Y9753" s="18"/>
    </row>
    <row r="9754" spans="25:25" x14ac:dyDescent="0.2">
      <c r="Y9754" s="18"/>
    </row>
    <row r="9755" spans="25:25" x14ac:dyDescent="0.2">
      <c r="Y9755" s="18"/>
    </row>
    <row r="9756" spans="25:25" x14ac:dyDescent="0.2">
      <c r="Y9756" s="18"/>
    </row>
    <row r="9757" spans="25:25" x14ac:dyDescent="0.2">
      <c r="Y9757" s="18"/>
    </row>
    <row r="9758" spans="25:25" x14ac:dyDescent="0.2">
      <c r="Y9758" s="18"/>
    </row>
    <row r="9759" spans="25:25" x14ac:dyDescent="0.2">
      <c r="Y9759" s="18"/>
    </row>
    <row r="9760" spans="25:25" x14ac:dyDescent="0.2">
      <c r="Y9760" s="18"/>
    </row>
    <row r="9761" spans="25:25" x14ac:dyDescent="0.2">
      <c r="Y9761" s="18"/>
    </row>
    <row r="9762" spans="25:25" x14ac:dyDescent="0.2">
      <c r="Y9762" s="18"/>
    </row>
    <row r="9763" spans="25:25" x14ac:dyDescent="0.2">
      <c r="Y9763" s="18"/>
    </row>
    <row r="9764" spans="25:25" x14ac:dyDescent="0.2">
      <c r="Y9764" s="18"/>
    </row>
    <row r="9765" spans="25:25" x14ac:dyDescent="0.2">
      <c r="Y9765" s="18"/>
    </row>
    <row r="9766" spans="25:25" x14ac:dyDescent="0.2">
      <c r="Y9766" s="18"/>
    </row>
    <row r="9767" spans="25:25" x14ac:dyDescent="0.2">
      <c r="Y9767" s="18"/>
    </row>
    <row r="9768" spans="25:25" x14ac:dyDescent="0.2">
      <c r="Y9768" s="18"/>
    </row>
    <row r="9769" spans="25:25" x14ac:dyDescent="0.2">
      <c r="Y9769" s="18"/>
    </row>
    <row r="9770" spans="25:25" x14ac:dyDescent="0.2">
      <c r="Y9770" s="18"/>
    </row>
    <row r="9771" spans="25:25" x14ac:dyDescent="0.2">
      <c r="Y9771" s="18"/>
    </row>
    <row r="9772" spans="25:25" x14ac:dyDescent="0.2">
      <c r="Y9772" s="18"/>
    </row>
    <row r="9773" spans="25:25" x14ac:dyDescent="0.2">
      <c r="Y9773" s="18"/>
    </row>
    <row r="9774" spans="25:25" x14ac:dyDescent="0.2">
      <c r="Y9774" s="18"/>
    </row>
    <row r="9775" spans="25:25" x14ac:dyDescent="0.2">
      <c r="Y9775" s="18"/>
    </row>
    <row r="9776" spans="25:25" x14ac:dyDescent="0.2">
      <c r="Y9776" s="18"/>
    </row>
    <row r="9777" spans="25:25" x14ac:dyDescent="0.2">
      <c r="Y9777" s="18"/>
    </row>
    <row r="9778" spans="25:25" x14ac:dyDescent="0.2">
      <c r="Y9778" s="18"/>
    </row>
    <row r="9779" spans="25:25" x14ac:dyDescent="0.2">
      <c r="Y9779" s="18"/>
    </row>
    <row r="9780" spans="25:25" x14ac:dyDescent="0.2">
      <c r="Y9780" s="18"/>
    </row>
    <row r="9781" spans="25:25" x14ac:dyDescent="0.2">
      <c r="Y9781" s="18"/>
    </row>
    <row r="9782" spans="25:25" x14ac:dyDescent="0.2">
      <c r="Y9782" s="18"/>
    </row>
    <row r="9783" spans="25:25" x14ac:dyDescent="0.2">
      <c r="Y9783" s="18"/>
    </row>
    <row r="9784" spans="25:25" x14ac:dyDescent="0.2">
      <c r="Y9784" s="18"/>
    </row>
    <row r="9785" spans="25:25" x14ac:dyDescent="0.2">
      <c r="Y9785" s="18"/>
    </row>
    <row r="9786" spans="25:25" x14ac:dyDescent="0.2">
      <c r="Y9786" s="18"/>
    </row>
    <row r="9787" spans="25:25" x14ac:dyDescent="0.2">
      <c r="Y9787" s="18"/>
    </row>
    <row r="9788" spans="25:25" x14ac:dyDescent="0.2">
      <c r="Y9788" s="18"/>
    </row>
    <row r="9789" spans="25:25" x14ac:dyDescent="0.2">
      <c r="Y9789" s="18"/>
    </row>
    <row r="9790" spans="25:25" x14ac:dyDescent="0.2">
      <c r="Y9790" s="18"/>
    </row>
    <row r="9791" spans="25:25" x14ac:dyDescent="0.2">
      <c r="Y9791" s="18"/>
    </row>
    <row r="9792" spans="25:25" x14ac:dyDescent="0.2">
      <c r="Y9792" s="18"/>
    </row>
    <row r="9793" spans="25:25" x14ac:dyDescent="0.2">
      <c r="Y9793" s="18"/>
    </row>
    <row r="9794" spans="25:25" x14ac:dyDescent="0.2">
      <c r="Y9794" s="18"/>
    </row>
    <row r="9795" spans="25:25" x14ac:dyDescent="0.2">
      <c r="Y9795" s="18"/>
    </row>
    <row r="9796" spans="25:25" x14ac:dyDescent="0.2">
      <c r="Y9796" s="18"/>
    </row>
    <row r="9797" spans="25:25" x14ac:dyDescent="0.2">
      <c r="Y9797" s="18"/>
    </row>
    <row r="9798" spans="25:25" x14ac:dyDescent="0.2">
      <c r="Y9798" s="18"/>
    </row>
    <row r="9799" spans="25:25" x14ac:dyDescent="0.2">
      <c r="Y9799" s="18"/>
    </row>
    <row r="9800" spans="25:25" x14ac:dyDescent="0.2">
      <c r="Y9800" s="18"/>
    </row>
    <row r="9801" spans="25:25" x14ac:dyDescent="0.2">
      <c r="Y9801" s="18"/>
    </row>
    <row r="9802" spans="25:25" x14ac:dyDescent="0.2">
      <c r="Y9802" s="18"/>
    </row>
    <row r="9803" spans="25:25" x14ac:dyDescent="0.2">
      <c r="Y9803" s="18"/>
    </row>
    <row r="9804" spans="25:25" x14ac:dyDescent="0.2">
      <c r="Y9804" s="18"/>
    </row>
    <row r="9805" spans="25:25" x14ac:dyDescent="0.2">
      <c r="Y9805" s="18"/>
    </row>
    <row r="9806" spans="25:25" x14ac:dyDescent="0.2">
      <c r="Y9806" s="18"/>
    </row>
    <row r="9807" spans="25:25" x14ac:dyDescent="0.2">
      <c r="Y9807" s="18"/>
    </row>
    <row r="9808" spans="25:25" x14ac:dyDescent="0.2">
      <c r="Y9808" s="18"/>
    </row>
    <row r="9809" spans="25:25" x14ac:dyDescent="0.2">
      <c r="Y9809" s="18"/>
    </row>
    <row r="9810" spans="25:25" x14ac:dyDescent="0.2">
      <c r="Y9810" s="18"/>
    </row>
    <row r="9811" spans="25:25" x14ac:dyDescent="0.2">
      <c r="Y9811" s="18"/>
    </row>
    <row r="9812" spans="25:25" x14ac:dyDescent="0.2">
      <c r="Y9812" s="18"/>
    </row>
    <row r="9813" spans="25:25" x14ac:dyDescent="0.2">
      <c r="Y9813" s="18"/>
    </row>
    <row r="9814" spans="25:25" x14ac:dyDescent="0.2">
      <c r="Y9814" s="18"/>
    </row>
    <row r="9815" spans="25:25" x14ac:dyDescent="0.2">
      <c r="Y9815" s="18"/>
    </row>
    <row r="9816" spans="25:25" x14ac:dyDescent="0.2">
      <c r="Y9816" s="18"/>
    </row>
    <row r="9817" spans="25:25" x14ac:dyDescent="0.2">
      <c r="Y9817" s="18"/>
    </row>
    <row r="9818" spans="25:25" x14ac:dyDescent="0.2">
      <c r="Y9818" s="18"/>
    </row>
    <row r="9819" spans="25:25" x14ac:dyDescent="0.2">
      <c r="Y9819" s="18"/>
    </row>
    <row r="9820" spans="25:25" x14ac:dyDescent="0.2">
      <c r="Y9820" s="18"/>
    </row>
    <row r="9821" spans="25:25" x14ac:dyDescent="0.2">
      <c r="Y9821" s="18"/>
    </row>
    <row r="9822" spans="25:25" x14ac:dyDescent="0.2">
      <c r="Y9822" s="18"/>
    </row>
    <row r="9823" spans="25:25" x14ac:dyDescent="0.2">
      <c r="Y9823" s="18"/>
    </row>
    <row r="9824" spans="25:25" x14ac:dyDescent="0.2">
      <c r="Y9824" s="18"/>
    </row>
    <row r="9825" spans="25:25" x14ac:dyDescent="0.2">
      <c r="Y9825" s="18"/>
    </row>
    <row r="9826" spans="25:25" x14ac:dyDescent="0.2">
      <c r="Y9826" s="18"/>
    </row>
    <row r="9827" spans="25:25" x14ac:dyDescent="0.2">
      <c r="Y9827" s="18"/>
    </row>
    <row r="9828" spans="25:25" x14ac:dyDescent="0.2">
      <c r="Y9828" s="18"/>
    </row>
    <row r="9829" spans="25:25" x14ac:dyDescent="0.2">
      <c r="Y9829" s="18"/>
    </row>
    <row r="9830" spans="25:25" x14ac:dyDescent="0.2">
      <c r="Y9830" s="18"/>
    </row>
    <row r="9831" spans="25:25" x14ac:dyDescent="0.2">
      <c r="Y9831" s="18"/>
    </row>
    <row r="9832" spans="25:25" x14ac:dyDescent="0.2">
      <c r="Y9832" s="18"/>
    </row>
    <row r="9833" spans="25:25" x14ac:dyDescent="0.2">
      <c r="Y9833" s="18"/>
    </row>
    <row r="9834" spans="25:25" x14ac:dyDescent="0.2">
      <c r="Y9834" s="18"/>
    </row>
    <row r="9835" spans="25:25" x14ac:dyDescent="0.2">
      <c r="Y9835" s="18"/>
    </row>
    <row r="9836" spans="25:25" x14ac:dyDescent="0.2">
      <c r="Y9836" s="18"/>
    </row>
    <row r="9837" spans="25:25" x14ac:dyDescent="0.2">
      <c r="Y9837" s="18"/>
    </row>
    <row r="9838" spans="25:25" x14ac:dyDescent="0.2">
      <c r="Y9838" s="18"/>
    </row>
    <row r="9839" spans="25:25" x14ac:dyDescent="0.2">
      <c r="Y9839" s="18"/>
    </row>
    <row r="9840" spans="25:25" x14ac:dyDescent="0.2">
      <c r="Y9840" s="18"/>
    </row>
    <row r="9841" spans="25:25" x14ac:dyDescent="0.2">
      <c r="Y9841" s="18"/>
    </row>
    <row r="9842" spans="25:25" x14ac:dyDescent="0.2">
      <c r="Y9842" s="18"/>
    </row>
    <row r="9843" spans="25:25" x14ac:dyDescent="0.2">
      <c r="Y9843" s="18"/>
    </row>
    <row r="9844" spans="25:25" x14ac:dyDescent="0.2">
      <c r="Y9844" s="18"/>
    </row>
    <row r="9845" spans="25:25" x14ac:dyDescent="0.2">
      <c r="Y9845" s="18"/>
    </row>
    <row r="9846" spans="25:25" x14ac:dyDescent="0.2">
      <c r="Y9846" s="18"/>
    </row>
    <row r="9847" spans="25:25" x14ac:dyDescent="0.2">
      <c r="Y9847" s="18"/>
    </row>
    <row r="9848" spans="25:25" x14ac:dyDescent="0.2">
      <c r="Y9848" s="18"/>
    </row>
    <row r="9849" spans="25:25" x14ac:dyDescent="0.2">
      <c r="Y9849" s="18"/>
    </row>
    <row r="9850" spans="25:25" x14ac:dyDescent="0.2">
      <c r="Y9850" s="18"/>
    </row>
    <row r="9851" spans="25:25" x14ac:dyDescent="0.2">
      <c r="Y9851" s="18"/>
    </row>
    <row r="9852" spans="25:25" x14ac:dyDescent="0.2">
      <c r="Y9852" s="18"/>
    </row>
    <row r="9853" spans="25:25" x14ac:dyDescent="0.2">
      <c r="Y9853" s="18"/>
    </row>
    <row r="9854" spans="25:25" x14ac:dyDescent="0.2">
      <c r="Y9854" s="18"/>
    </row>
    <row r="9855" spans="25:25" x14ac:dyDescent="0.2">
      <c r="Y9855" s="18"/>
    </row>
    <row r="9856" spans="25:25" x14ac:dyDescent="0.2">
      <c r="Y9856" s="18"/>
    </row>
    <row r="9857" spans="25:25" x14ac:dyDescent="0.2">
      <c r="Y9857" s="18"/>
    </row>
    <row r="9858" spans="25:25" x14ac:dyDescent="0.2">
      <c r="Y9858" s="18"/>
    </row>
    <row r="9859" spans="25:25" x14ac:dyDescent="0.2">
      <c r="Y9859" s="18"/>
    </row>
    <row r="9860" spans="25:25" x14ac:dyDescent="0.2">
      <c r="Y9860" s="18"/>
    </row>
    <row r="9861" spans="25:25" x14ac:dyDescent="0.2">
      <c r="Y9861" s="18"/>
    </row>
    <row r="9862" spans="25:25" x14ac:dyDescent="0.2">
      <c r="Y9862" s="18"/>
    </row>
    <row r="9863" spans="25:25" x14ac:dyDescent="0.2">
      <c r="Y9863" s="18"/>
    </row>
    <row r="9864" spans="25:25" x14ac:dyDescent="0.2">
      <c r="Y9864" s="18"/>
    </row>
    <row r="9865" spans="25:25" x14ac:dyDescent="0.2">
      <c r="Y9865" s="18"/>
    </row>
    <row r="9866" spans="25:25" x14ac:dyDescent="0.2">
      <c r="Y9866" s="18"/>
    </row>
    <row r="9867" spans="25:25" x14ac:dyDescent="0.2">
      <c r="Y9867" s="18"/>
    </row>
    <row r="9868" spans="25:25" x14ac:dyDescent="0.2">
      <c r="Y9868" s="18"/>
    </row>
    <row r="9869" spans="25:25" x14ac:dyDescent="0.2">
      <c r="Y9869" s="18"/>
    </row>
    <row r="9870" spans="25:25" x14ac:dyDescent="0.2">
      <c r="Y9870" s="18"/>
    </row>
    <row r="9871" spans="25:25" x14ac:dyDescent="0.2">
      <c r="Y9871" s="18"/>
    </row>
    <row r="9872" spans="25:25" x14ac:dyDescent="0.2">
      <c r="Y9872" s="18"/>
    </row>
    <row r="9873" spans="25:25" x14ac:dyDescent="0.2">
      <c r="Y9873" s="18"/>
    </row>
    <row r="9874" spans="25:25" x14ac:dyDescent="0.2">
      <c r="Y9874" s="18"/>
    </row>
    <row r="9875" spans="25:25" x14ac:dyDescent="0.2">
      <c r="Y9875" s="18"/>
    </row>
    <row r="9876" spans="25:25" x14ac:dyDescent="0.2">
      <c r="Y9876" s="18"/>
    </row>
    <row r="9877" spans="25:25" x14ac:dyDescent="0.2">
      <c r="Y9877" s="18"/>
    </row>
    <row r="9878" spans="25:25" x14ac:dyDescent="0.2">
      <c r="Y9878" s="18"/>
    </row>
    <row r="9879" spans="25:25" x14ac:dyDescent="0.2">
      <c r="Y9879" s="18"/>
    </row>
    <row r="9880" spans="25:25" x14ac:dyDescent="0.2">
      <c r="Y9880" s="18"/>
    </row>
    <row r="9881" spans="25:25" x14ac:dyDescent="0.2">
      <c r="Y9881" s="18"/>
    </row>
    <row r="9882" spans="25:25" x14ac:dyDescent="0.2">
      <c r="Y9882" s="18"/>
    </row>
    <row r="9883" spans="25:25" x14ac:dyDescent="0.2">
      <c r="Y9883" s="18"/>
    </row>
    <row r="9884" spans="25:25" x14ac:dyDescent="0.2">
      <c r="Y9884" s="18"/>
    </row>
    <row r="9885" spans="25:25" x14ac:dyDescent="0.2">
      <c r="Y9885" s="18"/>
    </row>
    <row r="9886" spans="25:25" x14ac:dyDescent="0.2">
      <c r="Y9886" s="18"/>
    </row>
    <row r="9887" spans="25:25" x14ac:dyDescent="0.2">
      <c r="Y9887" s="18"/>
    </row>
    <row r="9888" spans="25:25" x14ac:dyDescent="0.2">
      <c r="Y9888" s="18"/>
    </row>
    <row r="9889" spans="25:25" x14ac:dyDescent="0.2">
      <c r="Y9889" s="18"/>
    </row>
    <row r="9890" spans="25:25" x14ac:dyDescent="0.2">
      <c r="Y9890" s="18"/>
    </row>
    <row r="9891" spans="25:25" x14ac:dyDescent="0.2">
      <c r="Y9891" s="18"/>
    </row>
    <row r="9892" spans="25:25" x14ac:dyDescent="0.2">
      <c r="Y9892" s="18"/>
    </row>
    <row r="9893" spans="25:25" x14ac:dyDescent="0.2">
      <c r="Y9893" s="18"/>
    </row>
    <row r="9894" spans="25:25" x14ac:dyDescent="0.2">
      <c r="Y9894" s="18"/>
    </row>
    <row r="9895" spans="25:25" x14ac:dyDescent="0.2">
      <c r="Y9895" s="18"/>
    </row>
    <row r="9896" spans="25:25" x14ac:dyDescent="0.2">
      <c r="Y9896" s="18"/>
    </row>
    <row r="9897" spans="25:25" x14ac:dyDescent="0.2">
      <c r="Y9897" s="18"/>
    </row>
    <row r="9898" spans="25:25" x14ac:dyDescent="0.2">
      <c r="Y9898" s="18"/>
    </row>
    <row r="9899" spans="25:25" x14ac:dyDescent="0.2">
      <c r="Y9899" s="18"/>
    </row>
    <row r="9900" spans="25:25" x14ac:dyDescent="0.2">
      <c r="Y9900" s="18"/>
    </row>
    <row r="9901" spans="25:25" x14ac:dyDescent="0.2">
      <c r="Y9901" s="18"/>
    </row>
    <row r="9902" spans="25:25" x14ac:dyDescent="0.2">
      <c r="Y9902" s="18"/>
    </row>
    <row r="9903" spans="25:25" x14ac:dyDescent="0.2">
      <c r="Y9903" s="18"/>
    </row>
    <row r="9904" spans="25:25" x14ac:dyDescent="0.2">
      <c r="Y9904" s="18"/>
    </row>
    <row r="9905" spans="25:25" x14ac:dyDescent="0.2">
      <c r="Y9905" s="18"/>
    </row>
    <row r="9906" spans="25:25" x14ac:dyDescent="0.2">
      <c r="Y9906" s="18"/>
    </row>
    <row r="9907" spans="25:25" x14ac:dyDescent="0.2">
      <c r="Y9907" s="18"/>
    </row>
    <row r="9908" spans="25:25" x14ac:dyDescent="0.2">
      <c r="Y9908" s="18"/>
    </row>
    <row r="9909" spans="25:25" x14ac:dyDescent="0.2">
      <c r="Y9909" s="18"/>
    </row>
    <row r="9910" spans="25:25" x14ac:dyDescent="0.2">
      <c r="Y9910" s="18"/>
    </row>
    <row r="9911" spans="25:25" x14ac:dyDescent="0.2">
      <c r="Y9911" s="18"/>
    </row>
    <row r="9912" spans="25:25" x14ac:dyDescent="0.2">
      <c r="Y9912" s="18"/>
    </row>
    <row r="9913" spans="25:25" x14ac:dyDescent="0.2">
      <c r="Y9913" s="18"/>
    </row>
    <row r="9914" spans="25:25" x14ac:dyDescent="0.2">
      <c r="Y9914" s="18"/>
    </row>
    <row r="9915" spans="25:25" x14ac:dyDescent="0.2">
      <c r="Y9915" s="18"/>
    </row>
    <row r="9916" spans="25:25" x14ac:dyDescent="0.2">
      <c r="Y9916" s="18"/>
    </row>
    <row r="9917" spans="25:25" x14ac:dyDescent="0.2">
      <c r="Y9917" s="18"/>
    </row>
    <row r="9918" spans="25:25" x14ac:dyDescent="0.2">
      <c r="Y9918" s="18"/>
    </row>
    <row r="9919" spans="25:25" x14ac:dyDescent="0.2">
      <c r="Y9919" s="18"/>
    </row>
    <row r="9920" spans="25:25" x14ac:dyDescent="0.2">
      <c r="Y9920" s="18"/>
    </row>
    <row r="9921" spans="25:25" x14ac:dyDescent="0.2">
      <c r="Y9921" s="18"/>
    </row>
    <row r="9922" spans="25:25" x14ac:dyDescent="0.2">
      <c r="Y9922" s="18"/>
    </row>
    <row r="9923" spans="25:25" x14ac:dyDescent="0.2">
      <c r="Y9923" s="18"/>
    </row>
    <row r="9924" spans="25:25" x14ac:dyDescent="0.2">
      <c r="Y9924" s="18"/>
    </row>
    <row r="9925" spans="25:25" x14ac:dyDescent="0.2">
      <c r="Y9925" s="18"/>
    </row>
    <row r="9926" spans="25:25" x14ac:dyDescent="0.2">
      <c r="Y9926" s="18"/>
    </row>
    <row r="9927" spans="25:25" x14ac:dyDescent="0.2">
      <c r="Y9927" s="18"/>
    </row>
    <row r="9928" spans="25:25" x14ac:dyDescent="0.2">
      <c r="Y9928" s="18"/>
    </row>
    <row r="9929" spans="25:25" x14ac:dyDescent="0.2">
      <c r="Y9929" s="18"/>
    </row>
    <row r="9930" spans="25:25" x14ac:dyDescent="0.2">
      <c r="Y9930" s="18"/>
    </row>
    <row r="9931" spans="25:25" x14ac:dyDescent="0.2">
      <c r="Y9931" s="18"/>
    </row>
    <row r="9932" spans="25:25" x14ac:dyDescent="0.2">
      <c r="Y9932" s="18"/>
    </row>
    <row r="9933" spans="25:25" x14ac:dyDescent="0.2">
      <c r="Y9933" s="18"/>
    </row>
    <row r="9934" spans="25:25" x14ac:dyDescent="0.2">
      <c r="Y9934" s="18"/>
    </row>
    <row r="9935" spans="25:25" x14ac:dyDescent="0.2">
      <c r="Y9935" s="18"/>
    </row>
    <row r="9936" spans="25:25" x14ac:dyDescent="0.2">
      <c r="Y9936" s="18"/>
    </row>
    <row r="9937" spans="25:25" x14ac:dyDescent="0.2">
      <c r="Y9937" s="18"/>
    </row>
    <row r="9938" spans="25:25" x14ac:dyDescent="0.2">
      <c r="Y9938" s="18"/>
    </row>
    <row r="9939" spans="25:25" x14ac:dyDescent="0.2">
      <c r="Y9939" s="18"/>
    </row>
    <row r="9940" spans="25:25" x14ac:dyDescent="0.2">
      <c r="Y9940" s="18"/>
    </row>
    <row r="9941" spans="25:25" x14ac:dyDescent="0.2">
      <c r="Y9941" s="18"/>
    </row>
    <row r="9942" spans="25:25" x14ac:dyDescent="0.2">
      <c r="Y9942" s="18"/>
    </row>
    <row r="9943" spans="25:25" x14ac:dyDescent="0.2">
      <c r="Y9943" s="18"/>
    </row>
    <row r="9944" spans="25:25" x14ac:dyDescent="0.2">
      <c r="Y9944" s="18"/>
    </row>
    <row r="9945" spans="25:25" x14ac:dyDescent="0.2">
      <c r="Y9945" s="18"/>
    </row>
    <row r="9946" spans="25:25" x14ac:dyDescent="0.2">
      <c r="Y9946" s="18"/>
    </row>
    <row r="9947" spans="25:25" x14ac:dyDescent="0.2">
      <c r="Y9947" s="18"/>
    </row>
    <row r="9948" spans="25:25" x14ac:dyDescent="0.2">
      <c r="Y9948" s="18"/>
    </row>
    <row r="9949" spans="25:25" x14ac:dyDescent="0.2">
      <c r="Y9949" s="18"/>
    </row>
    <row r="9950" spans="25:25" x14ac:dyDescent="0.2">
      <c r="Y9950" s="18"/>
    </row>
    <row r="9951" spans="25:25" x14ac:dyDescent="0.2">
      <c r="Y9951" s="18"/>
    </row>
    <row r="9952" spans="25:25" x14ac:dyDescent="0.2">
      <c r="Y9952" s="18"/>
    </row>
    <row r="9953" spans="25:25" x14ac:dyDescent="0.2">
      <c r="Y9953" s="18"/>
    </row>
    <row r="9954" spans="25:25" x14ac:dyDescent="0.2">
      <c r="Y9954" s="18"/>
    </row>
    <row r="9955" spans="25:25" x14ac:dyDescent="0.2">
      <c r="Y9955" s="18"/>
    </row>
    <row r="9956" spans="25:25" x14ac:dyDescent="0.2">
      <c r="Y9956" s="18"/>
    </row>
    <row r="9957" spans="25:25" x14ac:dyDescent="0.2">
      <c r="Y9957" s="18"/>
    </row>
    <row r="9958" spans="25:25" x14ac:dyDescent="0.2">
      <c r="Y9958" s="18"/>
    </row>
    <row r="9959" spans="25:25" x14ac:dyDescent="0.2">
      <c r="Y9959" s="18"/>
    </row>
    <row r="9960" spans="25:25" x14ac:dyDescent="0.2">
      <c r="Y9960" s="18"/>
    </row>
    <row r="9961" spans="25:25" x14ac:dyDescent="0.2">
      <c r="Y9961" s="18"/>
    </row>
    <row r="9962" spans="25:25" x14ac:dyDescent="0.2">
      <c r="Y9962" s="18"/>
    </row>
    <row r="9963" spans="25:25" x14ac:dyDescent="0.2">
      <c r="Y9963" s="18"/>
    </row>
    <row r="9964" spans="25:25" x14ac:dyDescent="0.2">
      <c r="Y9964" s="18"/>
    </row>
    <row r="9965" spans="25:25" x14ac:dyDescent="0.2">
      <c r="Y9965" s="18"/>
    </row>
    <row r="9966" spans="25:25" x14ac:dyDescent="0.2">
      <c r="Y9966" s="18"/>
    </row>
    <row r="9967" spans="25:25" x14ac:dyDescent="0.2">
      <c r="Y9967" s="18"/>
    </row>
    <row r="9968" spans="25:25" x14ac:dyDescent="0.2">
      <c r="Y9968" s="18"/>
    </row>
    <row r="9969" spans="25:25" x14ac:dyDescent="0.2">
      <c r="Y9969" s="18"/>
    </row>
    <row r="9970" spans="25:25" x14ac:dyDescent="0.2">
      <c r="Y9970" s="18"/>
    </row>
    <row r="9971" spans="25:25" x14ac:dyDescent="0.2">
      <c r="Y9971" s="18"/>
    </row>
    <row r="9972" spans="25:25" x14ac:dyDescent="0.2">
      <c r="Y9972" s="18"/>
    </row>
    <row r="9973" spans="25:25" x14ac:dyDescent="0.2">
      <c r="Y9973" s="18"/>
    </row>
    <row r="9974" spans="25:25" x14ac:dyDescent="0.2">
      <c r="Y9974" s="18"/>
    </row>
    <row r="9975" spans="25:25" x14ac:dyDescent="0.2">
      <c r="Y9975" s="18"/>
    </row>
    <row r="9976" spans="25:25" x14ac:dyDescent="0.2">
      <c r="Y9976" s="18"/>
    </row>
    <row r="9977" spans="25:25" x14ac:dyDescent="0.2">
      <c r="Y9977" s="18"/>
    </row>
    <row r="9978" spans="25:25" x14ac:dyDescent="0.2">
      <c r="Y9978" s="18"/>
    </row>
    <row r="9979" spans="25:25" x14ac:dyDescent="0.2">
      <c r="Y9979" s="18"/>
    </row>
    <row r="9980" spans="25:25" x14ac:dyDescent="0.2">
      <c r="Y9980" s="18"/>
    </row>
    <row r="9981" spans="25:25" x14ac:dyDescent="0.2">
      <c r="Y9981" s="18"/>
    </row>
    <row r="9982" spans="25:25" x14ac:dyDescent="0.2">
      <c r="Y9982" s="18"/>
    </row>
    <row r="9983" spans="25:25" x14ac:dyDescent="0.2">
      <c r="Y9983" s="18"/>
    </row>
    <row r="9984" spans="25:25" x14ac:dyDescent="0.2">
      <c r="Y9984" s="18"/>
    </row>
    <row r="9985" spans="25:25" x14ac:dyDescent="0.2">
      <c r="Y9985" s="18"/>
    </row>
    <row r="9986" spans="25:25" x14ac:dyDescent="0.2">
      <c r="Y9986" s="18"/>
    </row>
    <row r="9987" spans="25:25" x14ac:dyDescent="0.2">
      <c r="Y9987" s="18"/>
    </row>
    <row r="9988" spans="25:25" x14ac:dyDescent="0.2">
      <c r="Y9988" s="18"/>
    </row>
    <row r="9989" spans="25:25" x14ac:dyDescent="0.2">
      <c r="Y9989" s="18"/>
    </row>
    <row r="9990" spans="25:25" x14ac:dyDescent="0.2">
      <c r="Y9990" s="18"/>
    </row>
    <row r="9991" spans="25:25" x14ac:dyDescent="0.2">
      <c r="Y9991" s="18"/>
    </row>
    <row r="9992" spans="25:25" x14ac:dyDescent="0.2">
      <c r="Y9992" s="18"/>
    </row>
    <row r="9993" spans="25:25" x14ac:dyDescent="0.2">
      <c r="Y9993" s="18"/>
    </row>
    <row r="9994" spans="25:25" x14ac:dyDescent="0.2">
      <c r="Y9994" s="18"/>
    </row>
    <row r="9995" spans="25:25" x14ac:dyDescent="0.2">
      <c r="Y9995" s="18"/>
    </row>
    <row r="9996" spans="25:25" x14ac:dyDescent="0.2">
      <c r="Y9996" s="18"/>
    </row>
    <row r="9997" spans="25:25" x14ac:dyDescent="0.2">
      <c r="Y9997" s="18"/>
    </row>
    <row r="9998" spans="25:25" x14ac:dyDescent="0.2">
      <c r="Y9998" s="18"/>
    </row>
    <row r="9999" spans="25:25" x14ac:dyDescent="0.2">
      <c r="Y9999" s="18"/>
    </row>
    <row r="10000" spans="25:25" x14ac:dyDescent="0.2">
      <c r="Y10000" s="18"/>
    </row>
  </sheetData>
  <pageMargins left="0.75" right="0.75" top="1" bottom="1" header="0.5" footer="0.5"/>
  <headerFooter alignWithMargins="0">
    <oddHeader>&amp;A</oddHeader>
    <oddFooter>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AP1000"/>
  <sheetViews>
    <sheetView topLeftCell="AG1" zoomScale="75" workbookViewId="0">
      <selection activeCell="AP37" sqref="AP37"/>
    </sheetView>
  </sheetViews>
  <sheetFormatPr defaultRowHeight="12.75" x14ac:dyDescent="0.2"/>
  <cols>
    <col min="1" max="1" width="16" style="199" customWidth="1"/>
    <col min="2" max="2" width="14.42578125" customWidth="1"/>
    <col min="3" max="3" width="15.85546875" bestFit="1" customWidth="1"/>
    <col min="4" max="4" width="14.5703125" bestFit="1" customWidth="1"/>
    <col min="6" max="6" width="23.5703125" bestFit="1" customWidth="1"/>
    <col min="7" max="7" width="20.85546875" bestFit="1" customWidth="1"/>
    <col min="8" max="8" width="15.85546875" bestFit="1" customWidth="1"/>
    <col min="9" max="9" width="18.42578125" bestFit="1" customWidth="1"/>
    <col min="10" max="10" width="15.85546875" bestFit="1" customWidth="1"/>
    <col min="11" max="11" width="12.140625" customWidth="1"/>
    <col min="12" max="12" width="18.28515625" customWidth="1"/>
    <col min="14" max="15" width="0" hidden="1" customWidth="1"/>
    <col min="16" max="16" width="12" style="198" hidden="1" customWidth="1"/>
    <col min="17" max="18" width="0" hidden="1" customWidth="1"/>
    <col min="19" max="19" width="17" customWidth="1"/>
    <col min="20" max="20" width="15.85546875" customWidth="1"/>
    <col min="21" max="21" width="12.42578125" customWidth="1"/>
    <col min="23" max="23" width="9.7109375" customWidth="1"/>
    <col min="24" max="24" width="9.85546875" customWidth="1"/>
    <col min="25" max="25" width="12.42578125" customWidth="1"/>
    <col min="27" max="27" width="19.28515625" customWidth="1"/>
    <col min="28" max="28" width="16.85546875" customWidth="1"/>
    <col min="29" max="29" width="12.7109375" customWidth="1"/>
    <col min="31" max="31" width="15.7109375" bestFit="1" customWidth="1"/>
    <col min="32" max="32" width="18.5703125" bestFit="1" customWidth="1"/>
    <col min="35" max="35" width="16" customWidth="1"/>
    <col min="36" max="36" width="17.42578125" customWidth="1"/>
    <col min="38" max="38" width="22.5703125" bestFit="1" customWidth="1"/>
    <col min="39" max="39" width="16.85546875" bestFit="1" customWidth="1"/>
    <col min="41" max="41" width="22.5703125" bestFit="1" customWidth="1"/>
    <col min="42" max="42" width="16.85546875" bestFit="1" customWidth="1"/>
  </cols>
  <sheetData>
    <row r="1" spans="1:42" ht="15.75" x14ac:dyDescent="0.25">
      <c r="A1" s="197" t="s">
        <v>87</v>
      </c>
      <c r="S1" s="197" t="s">
        <v>61</v>
      </c>
      <c r="AA1" s="197" t="s">
        <v>62</v>
      </c>
      <c r="AI1" s="197" t="s">
        <v>149</v>
      </c>
      <c r="AL1" s="208" t="s">
        <v>150</v>
      </c>
      <c r="AO1" s="208" t="s">
        <v>165</v>
      </c>
    </row>
    <row r="2" spans="1:42" x14ac:dyDescent="0.2">
      <c r="S2" s="199"/>
    </row>
    <row r="3" spans="1:42" x14ac:dyDescent="0.2">
      <c r="A3" s="200" t="s">
        <v>63</v>
      </c>
      <c r="B3" s="10" t="s">
        <v>48</v>
      </c>
      <c r="C3" s="200" t="s">
        <v>63</v>
      </c>
      <c r="D3" s="10" t="s">
        <v>48</v>
      </c>
      <c r="H3" s="200" t="s">
        <v>63</v>
      </c>
      <c r="I3" s="10" t="s">
        <v>48</v>
      </c>
      <c r="J3" s="200" t="s">
        <v>63</v>
      </c>
      <c r="K3" s="10" t="s">
        <v>48</v>
      </c>
      <c r="L3" s="201"/>
      <c r="M3" s="201"/>
      <c r="O3" s="202"/>
      <c r="S3" s="200" t="s">
        <v>63</v>
      </c>
      <c r="T3" s="10" t="s">
        <v>48</v>
      </c>
      <c r="AA3" s="200" t="s">
        <v>63</v>
      </c>
      <c r="AB3" s="10" t="s">
        <v>48</v>
      </c>
      <c r="AI3" s="200" t="s">
        <v>63</v>
      </c>
      <c r="AJ3" s="10" t="s">
        <v>48</v>
      </c>
      <c r="AL3" s="200" t="s">
        <v>63</v>
      </c>
      <c r="AM3" s="10" t="s">
        <v>48</v>
      </c>
      <c r="AO3" s="200" t="s">
        <v>63</v>
      </c>
      <c r="AP3" s="10" t="s">
        <v>48</v>
      </c>
    </row>
    <row r="4" spans="1:42" x14ac:dyDescent="0.2">
      <c r="A4" s="200" t="s">
        <v>64</v>
      </c>
      <c r="B4" s="11" t="s">
        <v>49</v>
      </c>
      <c r="C4" s="200" t="s">
        <v>64</v>
      </c>
      <c r="D4" s="11" t="s">
        <v>49</v>
      </c>
      <c r="H4" s="200" t="s">
        <v>64</v>
      </c>
      <c r="I4" s="11" t="s">
        <v>49</v>
      </c>
      <c r="J4" s="200" t="s">
        <v>64</v>
      </c>
      <c r="K4" s="11" t="s">
        <v>49</v>
      </c>
      <c r="L4" s="203"/>
      <c r="M4" s="201"/>
      <c r="O4" s="202"/>
      <c r="P4" s="204"/>
      <c r="S4" s="200" t="s">
        <v>64</v>
      </c>
      <c r="T4" s="11" t="s">
        <v>49</v>
      </c>
      <c r="AA4" s="200" t="s">
        <v>64</v>
      </c>
      <c r="AB4" s="11" t="s">
        <v>49</v>
      </c>
      <c r="AI4" s="200" t="s">
        <v>64</v>
      </c>
      <c r="AJ4" s="11" t="s">
        <v>49</v>
      </c>
      <c r="AL4" s="200" t="s">
        <v>64</v>
      </c>
      <c r="AM4" s="11" t="s">
        <v>49</v>
      </c>
      <c r="AO4" s="200" t="s">
        <v>64</v>
      </c>
      <c r="AP4" s="11" t="s">
        <v>49</v>
      </c>
    </row>
    <row r="5" spans="1:42" x14ac:dyDescent="0.2">
      <c r="A5" s="200" t="s">
        <v>65</v>
      </c>
      <c r="B5" s="11" t="s">
        <v>49</v>
      </c>
      <c r="C5" s="200" t="s">
        <v>65</v>
      </c>
      <c r="D5" s="11" t="s">
        <v>49</v>
      </c>
      <c r="H5" s="200" t="s">
        <v>65</v>
      </c>
      <c r="I5" s="11" t="s">
        <v>49</v>
      </c>
      <c r="J5" s="200" t="s">
        <v>65</v>
      </c>
      <c r="K5" s="11" t="s">
        <v>49</v>
      </c>
      <c r="L5" s="205"/>
      <c r="M5" s="205"/>
      <c r="O5" s="199"/>
      <c r="S5" s="200" t="s">
        <v>65</v>
      </c>
      <c r="T5" s="11" t="s">
        <v>49</v>
      </c>
      <c r="AA5" s="200" t="s">
        <v>65</v>
      </c>
      <c r="AB5" s="11" t="s">
        <v>49</v>
      </c>
      <c r="AI5" s="200" t="s">
        <v>65</v>
      </c>
      <c r="AJ5" s="11" t="s">
        <v>49</v>
      </c>
      <c r="AL5" s="200" t="s">
        <v>65</v>
      </c>
      <c r="AM5" s="11" t="s">
        <v>49</v>
      </c>
      <c r="AO5" s="200" t="s">
        <v>65</v>
      </c>
      <c r="AP5" s="11" t="s">
        <v>49</v>
      </c>
    </row>
    <row r="6" spans="1:42" x14ac:dyDescent="0.2">
      <c r="B6" s="201" t="s">
        <v>93</v>
      </c>
      <c r="C6" s="199"/>
      <c r="D6" s="201" t="s">
        <v>88</v>
      </c>
      <c r="H6" s="199"/>
      <c r="I6" s="201" t="s">
        <v>138</v>
      </c>
      <c r="J6" s="199"/>
      <c r="K6" s="201" t="s">
        <v>139</v>
      </c>
      <c r="L6" s="205"/>
      <c r="M6" s="205"/>
      <c r="O6" s="199"/>
      <c r="S6" s="199"/>
      <c r="T6" s="201" t="s">
        <v>66</v>
      </c>
      <c r="U6" s="201" t="s">
        <v>67</v>
      </c>
      <c r="AA6" s="199"/>
      <c r="AB6" s="201" t="s">
        <v>68</v>
      </c>
      <c r="AC6" s="201" t="s">
        <v>69</v>
      </c>
      <c r="AI6" s="199"/>
      <c r="AJ6" s="201" t="s">
        <v>68</v>
      </c>
      <c r="AL6" s="199"/>
      <c r="AM6" s="201" t="s">
        <v>68</v>
      </c>
      <c r="AO6" s="199"/>
      <c r="AP6" s="201" t="s">
        <v>68</v>
      </c>
    </row>
    <row r="7" spans="1:42" x14ac:dyDescent="0.2">
      <c r="A7" s="200" t="s">
        <v>70</v>
      </c>
      <c r="B7" s="206">
        <f>Interest!X5</f>
        <v>37188</v>
      </c>
      <c r="C7" s="200" t="s">
        <v>70</v>
      </c>
      <c r="D7" s="206">
        <f>B7</f>
        <v>37188</v>
      </c>
      <c r="H7" s="200" t="s">
        <v>70</v>
      </c>
      <c r="I7" s="206">
        <f>TradeDate</f>
        <v>37189</v>
      </c>
      <c r="J7" s="200" t="s">
        <v>70</v>
      </c>
      <c r="K7" s="206">
        <f>I7</f>
        <v>37189</v>
      </c>
      <c r="L7" s="205"/>
      <c r="M7" s="205"/>
      <c r="O7" s="199"/>
      <c r="S7" s="200" t="s">
        <v>70</v>
      </c>
      <c r="T7" s="206">
        <f>B7</f>
        <v>37188</v>
      </c>
      <c r="U7" s="206">
        <f>T7</f>
        <v>37188</v>
      </c>
      <c r="AA7" s="200" t="s">
        <v>70</v>
      </c>
      <c r="AB7" s="206">
        <f>TradeDate</f>
        <v>37189</v>
      </c>
      <c r="AC7" s="206">
        <f>AB7</f>
        <v>37189</v>
      </c>
      <c r="AI7" s="200" t="s">
        <v>70</v>
      </c>
      <c r="AJ7" s="206">
        <f>TradeDate</f>
        <v>37189</v>
      </c>
      <c r="AL7" s="200" t="s">
        <v>70</v>
      </c>
      <c r="AM7" s="206">
        <f>TradeDate</f>
        <v>37189</v>
      </c>
      <c r="AO7" s="200" t="s">
        <v>70</v>
      </c>
      <c r="AP7" s="206">
        <f>TradeDate</f>
        <v>37189</v>
      </c>
    </row>
    <row r="8" spans="1:42" x14ac:dyDescent="0.2">
      <c r="A8" s="200" t="s">
        <v>71</v>
      </c>
      <c r="B8" s="14">
        <f>DATE(YEAR(TradeDate),MONTH(TradeDate)+1,1)</f>
        <v>37196</v>
      </c>
      <c r="C8" s="200" t="s">
        <v>71</v>
      </c>
      <c r="D8" s="14">
        <f>B8</f>
        <v>37196</v>
      </c>
      <c r="H8" s="200" t="s">
        <v>71</v>
      </c>
      <c r="I8" s="14">
        <f>D8</f>
        <v>37196</v>
      </c>
      <c r="J8" s="200" t="s">
        <v>71</v>
      </c>
      <c r="K8" s="14">
        <f>I8</f>
        <v>37196</v>
      </c>
      <c r="L8" s="205"/>
      <c r="M8" s="205"/>
      <c r="O8" s="199"/>
      <c r="S8" s="200" t="s">
        <v>71</v>
      </c>
      <c r="T8" s="14">
        <f>B8</f>
        <v>37196</v>
      </c>
      <c r="U8" s="14">
        <f>T8</f>
        <v>37196</v>
      </c>
      <c r="AA8" s="200" t="s">
        <v>71</v>
      </c>
      <c r="AB8" s="14">
        <f>T8</f>
        <v>37196</v>
      </c>
      <c r="AC8" s="14">
        <f>AB8</f>
        <v>37196</v>
      </c>
      <c r="AI8" s="200" t="s">
        <v>71</v>
      </c>
      <c r="AJ8" s="14">
        <f>AB8</f>
        <v>37196</v>
      </c>
      <c r="AL8" s="200" t="s">
        <v>71</v>
      </c>
      <c r="AM8" s="14">
        <f>AJ8</f>
        <v>37196</v>
      </c>
      <c r="AO8" s="200" t="s">
        <v>71</v>
      </c>
      <c r="AP8" s="14">
        <f>AM8</f>
        <v>37196</v>
      </c>
    </row>
    <row r="9" spans="1:42" x14ac:dyDescent="0.2">
      <c r="A9" s="200" t="s">
        <v>72</v>
      </c>
      <c r="B9" s="207" t="s">
        <v>136</v>
      </c>
      <c r="C9" s="200" t="s">
        <v>72</v>
      </c>
      <c r="D9" s="207" t="s">
        <v>89</v>
      </c>
      <c r="H9" s="200" t="s">
        <v>72</v>
      </c>
      <c r="I9" s="207" t="s">
        <v>136</v>
      </c>
      <c r="J9" s="200" t="s">
        <v>72</v>
      </c>
      <c r="K9" s="207" t="s">
        <v>89</v>
      </c>
      <c r="L9" s="205"/>
      <c r="M9" s="205"/>
      <c r="O9" s="199"/>
      <c r="S9" s="200" t="s">
        <v>72</v>
      </c>
      <c r="T9" s="207" t="s">
        <v>73</v>
      </c>
      <c r="U9" s="207" t="s">
        <v>73</v>
      </c>
      <c r="AA9" s="200" t="s">
        <v>72</v>
      </c>
      <c r="AB9" s="207" t="s">
        <v>73</v>
      </c>
      <c r="AC9" s="207" t="s">
        <v>73</v>
      </c>
      <c r="AI9" s="200" t="s">
        <v>72</v>
      </c>
      <c r="AJ9" s="207" t="s">
        <v>73</v>
      </c>
      <c r="AL9" s="200" t="s">
        <v>72</v>
      </c>
      <c r="AM9" s="207" t="s">
        <v>73</v>
      </c>
      <c r="AO9" s="200" t="s">
        <v>72</v>
      </c>
      <c r="AP9" s="207" t="s">
        <v>73</v>
      </c>
    </row>
    <row r="10" spans="1:42" x14ac:dyDescent="0.2">
      <c r="A10" s="200" t="s">
        <v>74</v>
      </c>
      <c r="B10" s="207" t="s">
        <v>75</v>
      </c>
      <c r="C10" s="200" t="s">
        <v>74</v>
      </c>
      <c r="D10" s="207" t="s">
        <v>90</v>
      </c>
      <c r="H10" s="200" t="s">
        <v>74</v>
      </c>
      <c r="I10" s="207" t="s">
        <v>75</v>
      </c>
      <c r="J10" s="200" t="s">
        <v>74</v>
      </c>
      <c r="K10" s="207" t="s">
        <v>90</v>
      </c>
      <c r="L10" s="205"/>
      <c r="M10" s="205"/>
      <c r="O10" s="199"/>
      <c r="S10" s="200" t="s">
        <v>74</v>
      </c>
      <c r="T10" s="207" t="s">
        <v>75</v>
      </c>
      <c r="U10" s="207" t="s">
        <v>76</v>
      </c>
      <c r="W10" s="208" t="s">
        <v>141</v>
      </c>
      <c r="Y10" s="208" t="s">
        <v>142</v>
      </c>
      <c r="AA10" s="200" t="s">
        <v>74</v>
      </c>
      <c r="AB10" s="207" t="s">
        <v>75</v>
      </c>
      <c r="AC10" s="207" t="s">
        <v>76</v>
      </c>
      <c r="AH10" s="208"/>
      <c r="AI10" s="200" t="s">
        <v>74</v>
      </c>
      <c r="AJ10" s="207" t="s">
        <v>75</v>
      </c>
      <c r="AL10" s="200" t="s">
        <v>74</v>
      </c>
      <c r="AM10" s="207" t="s">
        <v>75</v>
      </c>
      <c r="AO10" s="200" t="s">
        <v>74</v>
      </c>
      <c r="AP10" s="207" t="s">
        <v>75</v>
      </c>
    </row>
    <row r="11" spans="1:42" x14ac:dyDescent="0.2">
      <c r="A11" s="200" t="s">
        <v>77</v>
      </c>
      <c r="B11" s="207" t="s">
        <v>137</v>
      </c>
      <c r="C11" s="200" t="s">
        <v>77</v>
      </c>
      <c r="D11" s="207" t="s">
        <v>91</v>
      </c>
      <c r="F11" s="238" t="s">
        <v>92</v>
      </c>
      <c r="G11" s="238" t="s">
        <v>173</v>
      </c>
      <c r="H11" s="200" t="s">
        <v>77</v>
      </c>
      <c r="I11" s="207" t="s">
        <v>137</v>
      </c>
      <c r="J11" s="200" t="s">
        <v>77</v>
      </c>
      <c r="K11" s="207" t="s">
        <v>91</v>
      </c>
      <c r="L11" s="238" t="s">
        <v>140</v>
      </c>
      <c r="M11" s="205"/>
      <c r="O11" s="199"/>
      <c r="S11" s="200" t="s">
        <v>77</v>
      </c>
      <c r="T11" s="207" t="s">
        <v>78</v>
      </c>
      <c r="U11" s="207" t="s">
        <v>78</v>
      </c>
      <c r="W11" t="s">
        <v>32</v>
      </c>
      <c r="X11" t="s">
        <v>79</v>
      </c>
      <c r="Y11" s="351" t="s">
        <v>32</v>
      </c>
      <c r="AA11" s="200" t="s">
        <v>77</v>
      </c>
      <c r="AB11" s="207" t="s">
        <v>78</v>
      </c>
      <c r="AC11" s="207" t="s">
        <v>78</v>
      </c>
      <c r="AI11" s="200" t="s">
        <v>77</v>
      </c>
      <c r="AJ11" s="207" t="s">
        <v>78</v>
      </c>
      <c r="AL11" s="200" t="s">
        <v>77</v>
      </c>
      <c r="AM11" s="207" t="s">
        <v>78</v>
      </c>
      <c r="AO11" s="200" t="s">
        <v>77</v>
      </c>
      <c r="AP11" s="207" t="s">
        <v>78</v>
      </c>
    </row>
    <row r="12" spans="1:42" x14ac:dyDescent="0.2">
      <c r="A12" s="196">
        <v>37196</v>
      </c>
      <c r="B12">
        <v>-0.6227360328101299</v>
      </c>
      <c r="C12" s="196">
        <v>37196</v>
      </c>
      <c r="D12">
        <v>1.5725643488583299</v>
      </c>
      <c r="F12" s="350">
        <f>(B12+T12)*D12/1.055056</f>
        <v>3.5150000000000006</v>
      </c>
      <c r="G12">
        <f>K12-D12</f>
        <v>4.8659003447992788E-4</v>
      </c>
      <c r="H12" s="196">
        <v>37196</v>
      </c>
      <c r="I12">
        <v>-0.62070792135588004</v>
      </c>
      <c r="J12" s="196">
        <v>37196</v>
      </c>
      <c r="K12">
        <v>1.5730509388928098</v>
      </c>
      <c r="L12" s="350">
        <f>IF(H12="",F12,(I12+AB12)*K12/1.055056)</f>
        <v>3.4550000000000036</v>
      </c>
      <c r="M12" s="205"/>
      <c r="O12" s="199"/>
      <c r="S12" s="196">
        <v>37196</v>
      </c>
      <c r="T12">
        <v>2.9810000000000003</v>
      </c>
      <c r="U12">
        <v>1.1499999999999999</v>
      </c>
      <c r="W12">
        <f>AB12-T12</f>
        <v>-4.3000000000000149E-2</v>
      </c>
      <c r="X12">
        <f t="shared" ref="X12:X75" si="0">AC12-U12</f>
        <v>0</v>
      </c>
      <c r="Y12" s="350">
        <f>I12-B12</f>
        <v>2.0281114542498591E-3</v>
      </c>
      <c r="AA12" s="196">
        <v>37196</v>
      </c>
      <c r="AB12">
        <v>2.9380000000000002</v>
      </c>
      <c r="AC12">
        <v>1.1499999999999999</v>
      </c>
      <c r="AI12" s="196">
        <v>37165</v>
      </c>
      <c r="AJ12">
        <v>0</v>
      </c>
      <c r="AK12" s="209"/>
      <c r="AL12" s="196">
        <v>37165</v>
      </c>
      <c r="AM12">
        <v>16.583385150000002</v>
      </c>
      <c r="AO12" s="196">
        <v>37165</v>
      </c>
      <c r="AP12">
        <v>-8.0858341493720012</v>
      </c>
    </row>
    <row r="13" spans="1:42" x14ac:dyDescent="0.2">
      <c r="A13" s="196">
        <v>37226</v>
      </c>
      <c r="B13">
        <v>-0.34499999999999997</v>
      </c>
      <c r="C13" s="196">
        <v>37226</v>
      </c>
      <c r="D13">
        <v>1.5730365713450698</v>
      </c>
      <c r="F13" s="350">
        <f t="shared" ref="F13:F76" si="1">(B13+T13)*D13/1.055056</f>
        <v>4.2134269182120834</v>
      </c>
      <c r="G13">
        <f t="shared" ref="G13:G76" si="2">K13-D13</f>
        <v>4.5783956304012996E-4</v>
      </c>
      <c r="H13" s="196">
        <v>37226</v>
      </c>
      <c r="I13">
        <v>-0.35499999999999998</v>
      </c>
      <c r="J13" s="196">
        <v>37226</v>
      </c>
      <c r="K13">
        <v>1.5734944109081099</v>
      </c>
      <c r="L13" s="350">
        <f t="shared" ref="L13:L76" si="3">IF(H13="",F13,(I13+AB13)*K13/1.055056)</f>
        <v>4.0983252464091828</v>
      </c>
      <c r="M13" s="205"/>
      <c r="O13" s="199"/>
      <c r="S13" s="196">
        <v>37226</v>
      </c>
      <c r="T13">
        <v>3.1710000000000003</v>
      </c>
      <c r="U13">
        <v>0.80500000000000005</v>
      </c>
      <c r="W13">
        <f t="shared" ref="W13:W76" si="4">AB13-T13</f>
        <v>-6.800000000000006E-2</v>
      </c>
      <c r="X13">
        <f t="shared" si="0"/>
        <v>-1.0000000000000009E-2</v>
      </c>
      <c r="Y13" s="350">
        <f t="shared" ref="Y13:Y76" si="5">I13-B13</f>
        <v>-1.0000000000000009E-2</v>
      </c>
      <c r="AA13" s="196">
        <v>37226</v>
      </c>
      <c r="AB13">
        <v>3.1030000000000002</v>
      </c>
      <c r="AC13">
        <v>0.79500000000000004</v>
      </c>
      <c r="AI13" s="196">
        <v>37196</v>
      </c>
      <c r="AJ13">
        <v>1.03736852</v>
      </c>
      <c r="AL13" s="196">
        <v>37196</v>
      </c>
      <c r="AM13">
        <v>1.04309E-2</v>
      </c>
      <c r="AO13" s="196">
        <v>37166</v>
      </c>
      <c r="AP13">
        <v>-8.0858341493720012</v>
      </c>
    </row>
    <row r="14" spans="1:42" x14ac:dyDescent="0.2">
      <c r="A14" s="196">
        <v>37257</v>
      </c>
      <c r="B14">
        <v>-0.43</v>
      </c>
      <c r="C14" s="196">
        <v>37257</v>
      </c>
      <c r="D14">
        <v>1.5733939380586899</v>
      </c>
      <c r="F14" s="350">
        <f t="shared" si="1"/>
        <v>4.3187744011862552</v>
      </c>
      <c r="G14">
        <f t="shared" si="2"/>
        <v>3.4068087263006142E-4</v>
      </c>
      <c r="H14" s="196">
        <v>37257</v>
      </c>
      <c r="I14">
        <v>-0.44</v>
      </c>
      <c r="J14" s="196">
        <v>37257</v>
      </c>
      <c r="K14">
        <v>1.5737346189313199</v>
      </c>
      <c r="L14" s="350">
        <f t="shared" si="3"/>
        <v>4.1914308616765448</v>
      </c>
      <c r="M14" s="205"/>
      <c r="O14" s="199"/>
      <c r="S14" s="196">
        <v>37257</v>
      </c>
      <c r="T14">
        <v>3.3260000000000001</v>
      </c>
      <c r="U14">
        <v>0.79249999999999998</v>
      </c>
      <c r="W14">
        <f t="shared" si="4"/>
        <v>-7.6000000000000068E-2</v>
      </c>
      <c r="X14">
        <f t="shared" si="0"/>
        <v>-7.4999999999999512E-3</v>
      </c>
      <c r="Y14" s="350">
        <f t="shared" si="5"/>
        <v>-1.0000000000000009E-2</v>
      </c>
      <c r="AA14" s="196">
        <v>37257</v>
      </c>
      <c r="AB14">
        <v>3.25</v>
      </c>
      <c r="AC14">
        <v>0.78500000000000003</v>
      </c>
      <c r="AI14" s="196">
        <v>37226</v>
      </c>
      <c r="AJ14">
        <v>147.8965795</v>
      </c>
      <c r="AL14" s="196">
        <v>37226</v>
      </c>
      <c r="AM14">
        <v>1.075417E-2</v>
      </c>
      <c r="AO14" s="196">
        <v>37167</v>
      </c>
      <c r="AP14">
        <v>-10.455334149372002</v>
      </c>
    </row>
    <row r="15" spans="1:42" x14ac:dyDescent="0.2">
      <c r="A15" s="196">
        <v>37288</v>
      </c>
      <c r="B15">
        <v>-0.44500000000000001</v>
      </c>
      <c r="C15" s="196">
        <v>37288</v>
      </c>
      <c r="D15">
        <v>1.5735870370358398</v>
      </c>
      <c r="F15" s="350">
        <f t="shared" si="1"/>
        <v>4.2894749838066186</v>
      </c>
      <c r="G15">
        <f t="shared" si="2"/>
        <v>2.1718857262009728E-4</v>
      </c>
      <c r="H15" s="196">
        <v>37288</v>
      </c>
      <c r="I15">
        <v>-0.47</v>
      </c>
      <c r="J15" s="196">
        <v>37288</v>
      </c>
      <c r="K15">
        <v>1.5738042256084599</v>
      </c>
      <c r="L15" s="350">
        <f t="shared" si="3"/>
        <v>4.1438825415336265</v>
      </c>
      <c r="M15" s="205"/>
      <c r="O15" s="199"/>
      <c r="S15" s="196">
        <v>37288</v>
      </c>
      <c r="T15">
        <v>3.3210000000000002</v>
      </c>
      <c r="U15">
        <v>0.73250000000000004</v>
      </c>
      <c r="W15">
        <f t="shared" si="4"/>
        <v>-7.2999999999999954E-2</v>
      </c>
      <c r="X15">
        <f t="shared" si="0"/>
        <v>-7.5000000000000622E-3</v>
      </c>
      <c r="Y15" s="350">
        <f t="shared" si="5"/>
        <v>-2.4999999999999967E-2</v>
      </c>
      <c r="AA15" s="196">
        <v>37288</v>
      </c>
      <c r="AB15">
        <v>3.2480000000000002</v>
      </c>
      <c r="AC15">
        <v>0.72499999999999998</v>
      </c>
      <c r="AI15" s="196">
        <v>37257</v>
      </c>
      <c r="AJ15">
        <v>-95.615304949999995</v>
      </c>
      <c r="AL15" s="196">
        <v>37257</v>
      </c>
      <c r="AM15">
        <v>-23.132735050000001</v>
      </c>
      <c r="AO15" s="196">
        <v>37168</v>
      </c>
      <c r="AP15">
        <v>-11.403134149372001</v>
      </c>
    </row>
    <row r="16" spans="1:42" x14ac:dyDescent="0.2">
      <c r="A16" s="196">
        <v>37316</v>
      </c>
      <c r="B16">
        <v>-0.46</v>
      </c>
      <c r="C16" s="196">
        <v>37316</v>
      </c>
      <c r="D16">
        <v>1.5736894012210398</v>
      </c>
      <c r="F16" s="350">
        <f t="shared" si="1"/>
        <v>4.1778863044427332</v>
      </c>
      <c r="G16">
        <f t="shared" si="2"/>
        <v>4.3971848661006341E-4</v>
      </c>
      <c r="H16" s="196">
        <v>37316</v>
      </c>
      <c r="I16">
        <v>-0.5</v>
      </c>
      <c r="J16" s="196">
        <v>37316</v>
      </c>
      <c r="K16">
        <v>1.5741291197076499</v>
      </c>
      <c r="L16" s="350">
        <f t="shared" si="3"/>
        <v>4.0209031346318262</v>
      </c>
      <c r="M16" s="205"/>
      <c r="O16" s="199"/>
      <c r="S16" s="196">
        <v>37316</v>
      </c>
      <c r="T16">
        <v>3.2610000000000001</v>
      </c>
      <c r="U16">
        <v>0.65749999999999997</v>
      </c>
      <c r="W16">
        <f t="shared" si="4"/>
        <v>-6.6000000000000281E-2</v>
      </c>
      <c r="X16">
        <f t="shared" si="0"/>
        <v>-7.4999999999999512E-3</v>
      </c>
      <c r="Y16" s="350">
        <f t="shared" si="5"/>
        <v>-3.999999999999998E-2</v>
      </c>
      <c r="AA16" s="196">
        <v>37316</v>
      </c>
      <c r="AB16">
        <v>3.1949999999999998</v>
      </c>
      <c r="AC16">
        <v>0.65</v>
      </c>
      <c r="AI16" s="196">
        <v>37288</v>
      </c>
      <c r="AJ16">
        <v>-86.182389749999999</v>
      </c>
      <c r="AL16" s="196">
        <v>37288</v>
      </c>
      <c r="AM16">
        <v>-20.85057819</v>
      </c>
      <c r="AO16" s="196">
        <v>37169</v>
      </c>
      <c r="AP16">
        <v>-11.403134149372001</v>
      </c>
    </row>
    <row r="17" spans="1:42" x14ac:dyDescent="0.2">
      <c r="A17" s="196">
        <v>37347</v>
      </c>
      <c r="B17">
        <v>-0.47499999999999998</v>
      </c>
      <c r="C17" s="196">
        <v>37347</v>
      </c>
      <c r="D17">
        <v>1.57378230651724</v>
      </c>
      <c r="F17" s="350">
        <f t="shared" si="1"/>
        <v>3.9842174640090655</v>
      </c>
      <c r="G17">
        <f t="shared" si="2"/>
        <v>6.6250440412995992E-4</v>
      </c>
      <c r="H17" s="196">
        <v>37347</v>
      </c>
      <c r="I17">
        <v>-0.48</v>
      </c>
      <c r="J17" s="196">
        <v>37347</v>
      </c>
      <c r="K17">
        <v>1.57444481092137</v>
      </c>
      <c r="L17" s="350">
        <f t="shared" si="3"/>
        <v>3.9023266827157825</v>
      </c>
      <c r="M17" s="205"/>
      <c r="O17" s="199"/>
      <c r="S17" s="196">
        <v>37347</v>
      </c>
      <c r="T17">
        <v>3.1460000000000004</v>
      </c>
      <c r="U17">
        <v>0.53249999999999997</v>
      </c>
      <c r="W17">
        <f t="shared" si="4"/>
        <v>-5.1000000000000156E-2</v>
      </c>
      <c r="X17">
        <f t="shared" si="0"/>
        <v>-1.0000000000000009E-2</v>
      </c>
      <c r="Y17" s="350">
        <f t="shared" si="5"/>
        <v>-5.0000000000000044E-3</v>
      </c>
      <c r="AA17" s="196">
        <v>37347</v>
      </c>
      <c r="AB17">
        <v>3.0950000000000002</v>
      </c>
      <c r="AC17">
        <v>0.52249999999999996</v>
      </c>
      <c r="AI17" s="196">
        <v>37316</v>
      </c>
      <c r="AJ17">
        <v>-95.251234859999997</v>
      </c>
      <c r="AL17" s="196">
        <v>37316</v>
      </c>
      <c r="AM17">
        <v>-23.044653570000001</v>
      </c>
      <c r="AO17" s="196">
        <v>37170</v>
      </c>
      <c r="AP17">
        <v>-11.403134149372001</v>
      </c>
    </row>
    <row r="18" spans="1:42" x14ac:dyDescent="0.2">
      <c r="A18" s="196">
        <v>37377</v>
      </c>
      <c r="B18">
        <v>-0.47499999999999998</v>
      </c>
      <c r="C18" s="196">
        <v>37377</v>
      </c>
      <c r="D18">
        <v>1.5738905129633101</v>
      </c>
      <c r="F18" s="350">
        <f t="shared" si="1"/>
        <v>4.0292442064818363</v>
      </c>
      <c r="G18">
        <f t="shared" si="2"/>
        <v>7.1178197728971604E-4</v>
      </c>
      <c r="H18" s="196">
        <v>37377</v>
      </c>
      <c r="I18">
        <v>-0.48</v>
      </c>
      <c r="J18" s="196">
        <v>37377</v>
      </c>
      <c r="K18">
        <v>1.5746022949405998</v>
      </c>
      <c r="L18" s="350">
        <f t="shared" si="3"/>
        <v>3.9474900575115317</v>
      </c>
      <c r="M18" s="205"/>
      <c r="O18" s="199"/>
      <c r="S18" s="196">
        <v>37377</v>
      </c>
      <c r="T18">
        <v>3.1760000000000002</v>
      </c>
      <c r="U18">
        <v>0.47499999999999998</v>
      </c>
      <c r="W18">
        <f t="shared" si="4"/>
        <v>-5.1000000000000156E-2</v>
      </c>
      <c r="X18">
        <f t="shared" si="0"/>
        <v>-5.0000000000000044E-3</v>
      </c>
      <c r="Y18" s="350">
        <f t="shared" si="5"/>
        <v>-5.0000000000000044E-3</v>
      </c>
      <c r="AA18" s="196">
        <v>37377</v>
      </c>
      <c r="AB18">
        <v>3.125</v>
      </c>
      <c r="AC18">
        <v>0.47</v>
      </c>
      <c r="AI18" s="196">
        <v>37347</v>
      </c>
      <c r="AJ18">
        <v>-100.90525692999999</v>
      </c>
      <c r="AL18" s="196">
        <v>37347</v>
      </c>
      <c r="AM18">
        <v>-66.775537630000002</v>
      </c>
      <c r="AO18" s="196">
        <v>37171</v>
      </c>
      <c r="AP18">
        <v>-11.403134149372001</v>
      </c>
    </row>
    <row r="19" spans="1:42" x14ac:dyDescent="0.2">
      <c r="A19" s="196">
        <v>37408</v>
      </c>
      <c r="B19">
        <v>-0.47499999999999998</v>
      </c>
      <c r="C19" s="196">
        <v>37408</v>
      </c>
      <c r="D19">
        <v>1.5739576836805698</v>
      </c>
      <c r="F19" s="350">
        <f t="shared" si="1"/>
        <v>4.0965482395122574</v>
      </c>
      <c r="G19">
        <f t="shared" si="2"/>
        <v>7.6812007811022376E-4</v>
      </c>
      <c r="H19" s="196">
        <v>37408</v>
      </c>
      <c r="I19">
        <v>-0.48</v>
      </c>
      <c r="J19" s="196">
        <v>37408</v>
      </c>
      <c r="K19">
        <v>1.57472580375868</v>
      </c>
      <c r="L19" s="350">
        <f t="shared" si="3"/>
        <v>4.0075017658703</v>
      </c>
      <c r="M19" s="205"/>
      <c r="O19" s="199"/>
      <c r="S19" s="196">
        <v>37408</v>
      </c>
      <c r="T19">
        <v>3.2210000000000001</v>
      </c>
      <c r="U19">
        <v>0.46250000000000002</v>
      </c>
      <c r="W19">
        <f t="shared" si="4"/>
        <v>-5.600000000000005E-2</v>
      </c>
      <c r="X19">
        <f t="shared" si="0"/>
        <v>-5.0000000000000044E-3</v>
      </c>
      <c r="Y19" s="350">
        <f t="shared" si="5"/>
        <v>-5.0000000000000044E-3</v>
      </c>
      <c r="AA19" s="196">
        <v>37408</v>
      </c>
      <c r="AB19">
        <v>3.165</v>
      </c>
      <c r="AC19">
        <v>0.45750000000000002</v>
      </c>
      <c r="AI19" s="196">
        <v>37377</v>
      </c>
      <c r="AJ19">
        <v>-104.06365207</v>
      </c>
      <c r="AL19" s="196">
        <v>37377</v>
      </c>
      <c r="AM19">
        <v>-68.865652130000001</v>
      </c>
      <c r="AO19" s="196">
        <v>37172</v>
      </c>
      <c r="AP19">
        <v>-11.403134149372001</v>
      </c>
    </row>
    <row r="20" spans="1:42" x14ac:dyDescent="0.2">
      <c r="A20" s="196">
        <v>37438</v>
      </c>
      <c r="B20">
        <v>-0.47499999999999998</v>
      </c>
      <c r="C20" s="196">
        <v>37438</v>
      </c>
      <c r="D20">
        <v>1.57401522293999</v>
      </c>
      <c r="F20" s="350">
        <f t="shared" si="1"/>
        <v>4.1563731319577464</v>
      </c>
      <c r="G20">
        <f t="shared" si="2"/>
        <v>8.145982103500149E-4</v>
      </c>
      <c r="H20" s="196">
        <v>37438</v>
      </c>
      <c r="I20">
        <v>-0.48</v>
      </c>
      <c r="J20" s="196">
        <v>37438</v>
      </c>
      <c r="K20">
        <v>1.57482982115034</v>
      </c>
      <c r="L20" s="350">
        <f t="shared" si="3"/>
        <v>4.0600092445604075</v>
      </c>
      <c r="M20" s="205"/>
      <c r="O20" s="199"/>
      <c r="S20" s="196">
        <v>37438</v>
      </c>
      <c r="T20">
        <v>3.2610000000000001</v>
      </c>
      <c r="U20">
        <v>0.46250000000000002</v>
      </c>
      <c r="W20">
        <f t="shared" si="4"/>
        <v>-6.0999999999999943E-2</v>
      </c>
      <c r="X20">
        <f t="shared" si="0"/>
        <v>-5.0000000000000044E-3</v>
      </c>
      <c r="Y20" s="350">
        <f t="shared" si="5"/>
        <v>-5.0000000000000044E-3</v>
      </c>
      <c r="AA20" s="196">
        <v>37438</v>
      </c>
      <c r="AB20">
        <v>3.2</v>
      </c>
      <c r="AC20">
        <v>0.45750000000000002</v>
      </c>
      <c r="AI20" s="196">
        <v>37408</v>
      </c>
      <c r="AJ20">
        <v>-100.50429989</v>
      </c>
      <c r="AL20" s="196">
        <v>37408</v>
      </c>
      <c r="AM20">
        <v>-66.51019848</v>
      </c>
      <c r="AO20" s="196">
        <v>37173</v>
      </c>
      <c r="AP20">
        <v>-11.403134149372001</v>
      </c>
    </row>
    <row r="21" spans="1:42" x14ac:dyDescent="0.2">
      <c r="A21" s="196">
        <v>37469</v>
      </c>
      <c r="B21">
        <v>-0.47499999999999998</v>
      </c>
      <c r="C21" s="196">
        <v>37469</v>
      </c>
      <c r="D21">
        <v>1.5740417084987499</v>
      </c>
      <c r="F21" s="350">
        <f t="shared" si="1"/>
        <v>4.2161192090443231</v>
      </c>
      <c r="G21">
        <f t="shared" si="2"/>
        <v>8.4331927953984476E-4</v>
      </c>
      <c r="H21" s="196">
        <v>37469</v>
      </c>
      <c r="I21">
        <v>-0.48</v>
      </c>
      <c r="J21" s="196">
        <v>37469</v>
      </c>
      <c r="K21">
        <v>1.5748850277782898</v>
      </c>
      <c r="L21" s="350">
        <f t="shared" si="3"/>
        <v>4.1123961680983641</v>
      </c>
      <c r="M21" s="205"/>
      <c r="O21" s="199"/>
      <c r="S21" s="196">
        <v>37469</v>
      </c>
      <c r="T21">
        <v>3.3010000000000002</v>
      </c>
      <c r="U21">
        <v>0.46250000000000002</v>
      </c>
      <c r="W21">
        <f t="shared" si="4"/>
        <v>-6.6000000000000281E-2</v>
      </c>
      <c r="X21">
        <f t="shared" si="0"/>
        <v>-5.0000000000000044E-3</v>
      </c>
      <c r="Y21" s="350">
        <f t="shared" si="5"/>
        <v>-5.0000000000000044E-3</v>
      </c>
      <c r="AA21" s="196">
        <v>37469</v>
      </c>
      <c r="AB21">
        <v>3.2349999999999999</v>
      </c>
      <c r="AC21">
        <v>0.45750000000000002</v>
      </c>
      <c r="AI21" s="196">
        <v>37438</v>
      </c>
      <c r="AJ21">
        <v>-317.03236050999999</v>
      </c>
      <c r="AL21" s="196">
        <v>37438</v>
      </c>
      <c r="AM21">
        <v>-68.588731850000002</v>
      </c>
      <c r="AO21" s="196">
        <v>37174</v>
      </c>
      <c r="AP21">
        <v>-11.403134149372001</v>
      </c>
    </row>
    <row r="22" spans="1:42" x14ac:dyDescent="0.2">
      <c r="A22" s="196">
        <v>37500</v>
      </c>
      <c r="B22">
        <v>-0.47499999999999998</v>
      </c>
      <c r="C22" s="196">
        <v>37500</v>
      </c>
      <c r="D22">
        <v>1.5740326037316099</v>
      </c>
      <c r="F22" s="350">
        <f t="shared" si="1"/>
        <v>4.2160948216450409</v>
      </c>
      <c r="G22">
        <f t="shared" si="2"/>
        <v>8.6941994287004221E-4</v>
      </c>
      <c r="H22" s="196">
        <v>37500</v>
      </c>
      <c r="I22">
        <v>-0.48</v>
      </c>
      <c r="J22" s="196">
        <v>37500</v>
      </c>
      <c r="K22">
        <v>1.57490202367448</v>
      </c>
      <c r="L22" s="350">
        <f t="shared" si="3"/>
        <v>4.1124405483909783</v>
      </c>
      <c r="M22" s="205"/>
      <c r="O22" s="199"/>
      <c r="S22" s="196">
        <v>37500</v>
      </c>
      <c r="T22">
        <v>3.3010000000000002</v>
      </c>
      <c r="U22">
        <v>0.46250000000000002</v>
      </c>
      <c r="W22">
        <f t="shared" si="4"/>
        <v>-6.6000000000000281E-2</v>
      </c>
      <c r="X22">
        <f t="shared" si="0"/>
        <v>-5.0000000000000044E-3</v>
      </c>
      <c r="Y22" s="350">
        <f t="shared" si="5"/>
        <v>-5.0000000000000044E-3</v>
      </c>
      <c r="AA22" s="196">
        <v>37500</v>
      </c>
      <c r="AB22">
        <v>3.2349999999999999</v>
      </c>
      <c r="AC22">
        <v>0.45750000000000002</v>
      </c>
      <c r="AI22" s="196">
        <v>37469</v>
      </c>
      <c r="AJ22">
        <v>-316.33235583999999</v>
      </c>
      <c r="AL22" s="196">
        <v>37469</v>
      </c>
      <c r="AM22">
        <v>-68.437288510000002</v>
      </c>
      <c r="AO22" s="196">
        <v>37175</v>
      </c>
      <c r="AP22">
        <v>-11.403134149372001</v>
      </c>
    </row>
    <row r="23" spans="1:42" x14ac:dyDescent="0.2">
      <c r="A23" s="196">
        <v>37530</v>
      </c>
      <c r="B23">
        <v>-0.47499999999999998</v>
      </c>
      <c r="C23" s="196">
        <v>37530</v>
      </c>
      <c r="D23">
        <v>1.5740367166456299</v>
      </c>
      <c r="F23" s="350">
        <f t="shared" si="1"/>
        <v>4.2608628004010392</v>
      </c>
      <c r="G23">
        <f t="shared" si="2"/>
        <v>8.9895602917011708E-4</v>
      </c>
      <c r="H23" s="196">
        <v>37530</v>
      </c>
      <c r="I23">
        <v>-0.48</v>
      </c>
      <c r="J23" s="196">
        <v>37530</v>
      </c>
      <c r="K23">
        <v>1.5749356726748001</v>
      </c>
      <c r="L23" s="350">
        <f t="shared" si="3"/>
        <v>4.1573109374282682</v>
      </c>
      <c r="M23" s="205"/>
      <c r="O23" s="199"/>
      <c r="S23" s="196">
        <v>37530</v>
      </c>
      <c r="T23">
        <v>3.331</v>
      </c>
      <c r="U23">
        <v>0.46250000000000002</v>
      </c>
      <c r="W23">
        <f t="shared" si="4"/>
        <v>-6.5999999999999837E-2</v>
      </c>
      <c r="X23">
        <f t="shared" si="0"/>
        <v>-5.0000000000000044E-3</v>
      </c>
      <c r="Y23" s="350">
        <f t="shared" si="5"/>
        <v>-5.0000000000000044E-3</v>
      </c>
      <c r="AA23" s="196">
        <v>37530</v>
      </c>
      <c r="AB23">
        <v>3.2650000000000001</v>
      </c>
      <c r="AC23">
        <v>0.45750000000000002</v>
      </c>
      <c r="AI23" s="196">
        <v>37500</v>
      </c>
      <c r="AJ23">
        <v>-305.44349646000001</v>
      </c>
      <c r="AL23" s="196">
        <v>37500</v>
      </c>
      <c r="AM23">
        <v>-66.081525690000007</v>
      </c>
      <c r="AO23" s="196">
        <v>37176</v>
      </c>
      <c r="AP23">
        <v>-11.403134149372001</v>
      </c>
    </row>
    <row r="24" spans="1:42" x14ac:dyDescent="0.2">
      <c r="A24" s="196">
        <v>37561</v>
      </c>
      <c r="B24">
        <v>-0.4</v>
      </c>
      <c r="C24" s="196">
        <v>37561</v>
      </c>
      <c r="D24">
        <v>1.57402812948233</v>
      </c>
      <c r="F24" s="350">
        <f t="shared" si="1"/>
        <v>4.6338122053920525</v>
      </c>
      <c r="G24">
        <f t="shared" si="2"/>
        <v>9.3994912282990839E-4</v>
      </c>
      <c r="H24" s="196">
        <v>37561</v>
      </c>
      <c r="I24">
        <v>-0.40500000000000003</v>
      </c>
      <c r="J24" s="196">
        <v>37561</v>
      </c>
      <c r="K24">
        <v>1.5749680786051599</v>
      </c>
      <c r="L24" s="350">
        <f t="shared" si="3"/>
        <v>4.5201423829791256</v>
      </c>
      <c r="M24" s="205"/>
      <c r="O24" s="199"/>
      <c r="S24" s="196">
        <v>37561</v>
      </c>
      <c r="T24">
        <v>3.5060000000000002</v>
      </c>
      <c r="U24">
        <v>0.46</v>
      </c>
      <c r="W24">
        <f t="shared" si="4"/>
        <v>-7.2999999999999954E-2</v>
      </c>
      <c r="X24">
        <f t="shared" si="0"/>
        <v>-5.0000000000000044E-3</v>
      </c>
      <c r="Y24" s="350">
        <f t="shared" si="5"/>
        <v>-5.0000000000000044E-3</v>
      </c>
      <c r="AA24" s="196">
        <v>37561</v>
      </c>
      <c r="AB24">
        <v>3.4330000000000003</v>
      </c>
      <c r="AC24">
        <v>0.45500000000000002</v>
      </c>
      <c r="AI24" s="196">
        <v>37530</v>
      </c>
      <c r="AJ24">
        <v>-102.94844159</v>
      </c>
      <c r="AL24" s="196">
        <v>37530</v>
      </c>
      <c r="AM24">
        <v>-68.12764516</v>
      </c>
      <c r="AO24" s="196">
        <v>37177</v>
      </c>
      <c r="AP24">
        <v>-11.403134149372001</v>
      </c>
    </row>
    <row r="25" spans="1:42" x14ac:dyDescent="0.2">
      <c r="A25" s="196">
        <v>37591</v>
      </c>
      <c r="B25">
        <v>-0.4</v>
      </c>
      <c r="C25" s="196">
        <v>37591</v>
      </c>
      <c r="D25">
        <v>1.57399647259966</v>
      </c>
      <c r="F25" s="350">
        <f t="shared" si="1"/>
        <v>4.9320911292049674</v>
      </c>
      <c r="G25">
        <f t="shared" si="2"/>
        <v>9.8022618016990748E-4</v>
      </c>
      <c r="H25" s="196">
        <v>37591</v>
      </c>
      <c r="I25">
        <v>-0.40500000000000003</v>
      </c>
      <c r="J25" s="196">
        <v>37591</v>
      </c>
      <c r="K25">
        <v>1.5749766987798299</v>
      </c>
      <c r="L25" s="350">
        <f t="shared" si="3"/>
        <v>4.8023043705497273</v>
      </c>
      <c r="M25" s="205"/>
      <c r="O25" s="199"/>
      <c r="S25" s="196">
        <v>37591</v>
      </c>
      <c r="T25">
        <v>3.706</v>
      </c>
      <c r="U25">
        <v>0.45750000000000002</v>
      </c>
      <c r="W25">
        <f t="shared" si="4"/>
        <v>-8.3999999999999631E-2</v>
      </c>
      <c r="X25">
        <f t="shared" si="0"/>
        <v>-5.0000000000000044E-3</v>
      </c>
      <c r="Y25" s="350">
        <f t="shared" si="5"/>
        <v>-5.0000000000000044E-3</v>
      </c>
      <c r="AA25" s="196">
        <v>37591</v>
      </c>
      <c r="AB25">
        <v>3.6220000000000003</v>
      </c>
      <c r="AC25">
        <v>0.45250000000000001</v>
      </c>
      <c r="AI25" s="196">
        <v>37561</v>
      </c>
      <c r="AJ25">
        <v>-90.606399039999999</v>
      </c>
      <c r="AL25" s="196">
        <v>37561</v>
      </c>
      <c r="AM25">
        <v>-211.90206226999999</v>
      </c>
      <c r="AO25" s="196">
        <v>37178</v>
      </c>
      <c r="AP25">
        <v>-11.403134149372001</v>
      </c>
    </row>
    <row r="26" spans="1:42" x14ac:dyDescent="0.2">
      <c r="A26" s="196">
        <v>37622</v>
      </c>
      <c r="B26">
        <v>-0.4</v>
      </c>
      <c r="C26" s="196">
        <v>37622</v>
      </c>
      <c r="D26">
        <v>1.5740107984995</v>
      </c>
      <c r="F26" s="350">
        <f t="shared" si="1"/>
        <v>5.1186202909151604</v>
      </c>
      <c r="G26">
        <f t="shared" si="2"/>
        <v>1.0344753614199842E-3</v>
      </c>
      <c r="H26" s="196">
        <v>37622</v>
      </c>
      <c r="I26">
        <v>-0.40500000000000003</v>
      </c>
      <c r="J26" s="196">
        <v>37622</v>
      </c>
      <c r="K26">
        <v>1.57504527386092</v>
      </c>
      <c r="L26" s="350">
        <f t="shared" si="3"/>
        <v>4.9891202981104277</v>
      </c>
      <c r="M26" s="205"/>
      <c r="O26" s="199"/>
      <c r="S26" s="196">
        <v>37622</v>
      </c>
      <c r="T26">
        <v>3.8310000000000004</v>
      </c>
      <c r="U26">
        <v>0.45750000000000002</v>
      </c>
      <c r="W26">
        <f t="shared" si="4"/>
        <v>-8.4000000000000075E-2</v>
      </c>
      <c r="X26">
        <f t="shared" si="0"/>
        <v>-5.0000000000000044E-3</v>
      </c>
      <c r="Y26" s="350">
        <f t="shared" si="5"/>
        <v>-5.0000000000000044E-3</v>
      </c>
      <c r="AA26" s="196">
        <v>37622</v>
      </c>
      <c r="AB26">
        <v>3.7470000000000003</v>
      </c>
      <c r="AC26">
        <v>0.45250000000000001</v>
      </c>
      <c r="AI26" s="196">
        <v>37591</v>
      </c>
      <c r="AJ26">
        <v>-93.390717219999999</v>
      </c>
      <c r="AL26" s="196">
        <v>37591</v>
      </c>
      <c r="AM26">
        <v>-218.41377406000001</v>
      </c>
      <c r="AO26" s="196">
        <v>37179</v>
      </c>
      <c r="AP26">
        <v>-11.403134149372001</v>
      </c>
    </row>
    <row r="27" spans="1:42" x14ac:dyDescent="0.2">
      <c r="A27" s="196">
        <v>37653</v>
      </c>
      <c r="B27">
        <v>-0.4</v>
      </c>
      <c r="C27" s="196">
        <v>37653</v>
      </c>
      <c r="D27">
        <v>1.5740496845371701</v>
      </c>
      <c r="F27" s="350">
        <f t="shared" si="1"/>
        <v>4.9934262201683222</v>
      </c>
      <c r="G27">
        <f t="shared" si="2"/>
        <v>1.0997844201097173E-3</v>
      </c>
      <c r="H27" s="196">
        <v>37653</v>
      </c>
      <c r="I27">
        <v>-0.40500000000000003</v>
      </c>
      <c r="J27" s="196">
        <v>37653</v>
      </c>
      <c r="K27">
        <v>1.5751494689572798</v>
      </c>
      <c r="L27" s="350">
        <f t="shared" si="3"/>
        <v>4.8520986318367543</v>
      </c>
      <c r="M27" s="205"/>
      <c r="O27" s="199"/>
      <c r="S27" s="196">
        <v>37653</v>
      </c>
      <c r="T27">
        <v>3.7470000000000003</v>
      </c>
      <c r="U27">
        <v>0.45</v>
      </c>
      <c r="W27">
        <f t="shared" si="4"/>
        <v>-9.2000000000000526E-2</v>
      </c>
      <c r="X27">
        <f t="shared" si="0"/>
        <v>-5.0000000000000044E-3</v>
      </c>
      <c r="Y27" s="350">
        <f t="shared" si="5"/>
        <v>-5.0000000000000044E-3</v>
      </c>
      <c r="AA27" s="196">
        <v>37653</v>
      </c>
      <c r="AB27">
        <v>3.6549999999999998</v>
      </c>
      <c r="AC27">
        <v>0.44500000000000001</v>
      </c>
      <c r="AI27" s="196">
        <v>37622</v>
      </c>
      <c r="AJ27">
        <v>-371.02064608000001</v>
      </c>
      <c r="AL27" s="196">
        <v>37622</v>
      </c>
      <c r="AM27">
        <v>-405.56912731</v>
      </c>
      <c r="AO27" s="196">
        <v>37180</v>
      </c>
      <c r="AP27">
        <v>-11.403134149372001</v>
      </c>
    </row>
    <row r="28" spans="1:42" x14ac:dyDescent="0.2">
      <c r="A28" s="196">
        <v>37681</v>
      </c>
      <c r="B28">
        <v>-0.4</v>
      </c>
      <c r="C28" s="196">
        <v>37681</v>
      </c>
      <c r="D28">
        <v>1.5740769289840599</v>
      </c>
      <c r="F28" s="350">
        <f t="shared" si="1"/>
        <v>4.8517786478216918</v>
      </c>
      <c r="G28">
        <f t="shared" si="2"/>
        <v>1.1618174248200219E-3</v>
      </c>
      <c r="H28" s="196">
        <v>37681</v>
      </c>
      <c r="I28">
        <v>-0.40500000000000003</v>
      </c>
      <c r="J28" s="196">
        <v>37681</v>
      </c>
      <c r="K28">
        <v>1.57523874640888</v>
      </c>
      <c r="L28" s="350">
        <f t="shared" si="3"/>
        <v>4.7105350283966123</v>
      </c>
      <c r="M28" s="205"/>
      <c r="O28" s="199"/>
      <c r="S28" s="196">
        <v>37681</v>
      </c>
      <c r="T28">
        <v>3.6520000000000001</v>
      </c>
      <c r="U28">
        <v>0.43</v>
      </c>
      <c r="W28">
        <f t="shared" si="4"/>
        <v>-9.2000000000000082E-2</v>
      </c>
      <c r="X28">
        <f t="shared" si="0"/>
        <v>-5.0000000000000044E-3</v>
      </c>
      <c r="Y28" s="350">
        <f t="shared" si="5"/>
        <v>-5.0000000000000044E-3</v>
      </c>
      <c r="AA28" s="196">
        <v>37681</v>
      </c>
      <c r="AB28">
        <v>3.56</v>
      </c>
      <c r="AC28">
        <v>0.42499999999999999</v>
      </c>
      <c r="AI28" s="196">
        <v>37653</v>
      </c>
      <c r="AJ28">
        <v>-334.11575957000002</v>
      </c>
      <c r="AL28" s="196">
        <v>37653</v>
      </c>
      <c r="AM28">
        <v>-365.22775340999999</v>
      </c>
      <c r="AO28" s="196">
        <v>37181</v>
      </c>
      <c r="AP28">
        <v>-11.403134149372001</v>
      </c>
    </row>
    <row r="29" spans="1:42" x14ac:dyDescent="0.2">
      <c r="A29" s="196">
        <v>37712</v>
      </c>
      <c r="B29">
        <v>-0.41499999999999998</v>
      </c>
      <c r="C29" s="196">
        <v>37712</v>
      </c>
      <c r="D29">
        <v>1.5740941610279198</v>
      </c>
      <c r="F29" s="350">
        <f t="shared" si="1"/>
        <v>4.6429583160693708</v>
      </c>
      <c r="G29">
        <f t="shared" si="2"/>
        <v>1.2241323460502329E-3</v>
      </c>
      <c r="H29" s="196">
        <v>37712</v>
      </c>
      <c r="I29">
        <v>-0.42</v>
      </c>
      <c r="J29" s="196">
        <v>37712</v>
      </c>
      <c r="K29">
        <v>1.57531829337397</v>
      </c>
      <c r="L29" s="350">
        <f t="shared" si="3"/>
        <v>4.5017370210894203</v>
      </c>
      <c r="M29" s="205"/>
      <c r="O29" s="199"/>
      <c r="S29" s="196">
        <v>37712</v>
      </c>
      <c r="T29">
        <v>3.5270000000000001</v>
      </c>
      <c r="U29">
        <v>0.38250000000000001</v>
      </c>
      <c r="W29">
        <f t="shared" si="4"/>
        <v>-9.2000000000000082E-2</v>
      </c>
      <c r="X29">
        <f t="shared" si="0"/>
        <v>-5.0000000000000044E-3</v>
      </c>
      <c r="Y29" s="350">
        <f t="shared" si="5"/>
        <v>-5.0000000000000044E-3</v>
      </c>
      <c r="AA29" s="196">
        <v>37712</v>
      </c>
      <c r="AB29">
        <v>3.4350000000000001</v>
      </c>
      <c r="AC29">
        <v>0.3775</v>
      </c>
      <c r="AI29" s="196">
        <v>37681</v>
      </c>
      <c r="AJ29">
        <v>-368.88560057000001</v>
      </c>
      <c r="AL29" s="196">
        <v>37681</v>
      </c>
      <c r="AM29">
        <v>-403.23527187000002</v>
      </c>
      <c r="AO29" s="196">
        <v>37182</v>
      </c>
      <c r="AP29">
        <v>-11.403134149372001</v>
      </c>
    </row>
    <row r="30" spans="1:42" x14ac:dyDescent="0.2">
      <c r="A30" s="196">
        <v>37742</v>
      </c>
      <c r="B30">
        <v>-0.41499999999999998</v>
      </c>
      <c r="C30" s="196">
        <v>37742</v>
      </c>
      <c r="D30">
        <v>1.5741165626984799</v>
      </c>
      <c r="F30" s="350">
        <f t="shared" si="1"/>
        <v>4.6415324177626323</v>
      </c>
      <c r="G30">
        <f t="shared" si="2"/>
        <v>1.2738477773699408E-3</v>
      </c>
      <c r="H30" s="196">
        <v>37742</v>
      </c>
      <c r="I30">
        <v>-0.42</v>
      </c>
      <c r="J30" s="196">
        <v>37742</v>
      </c>
      <c r="K30">
        <v>1.5753904104758498</v>
      </c>
      <c r="L30" s="350">
        <f t="shared" si="3"/>
        <v>4.5019431078394776</v>
      </c>
      <c r="M30" s="205"/>
      <c r="O30" s="199"/>
      <c r="S30" s="196">
        <v>37742</v>
      </c>
      <c r="T30">
        <v>3.5260000000000002</v>
      </c>
      <c r="U30">
        <v>0.36499999999999999</v>
      </c>
      <c r="W30">
        <f t="shared" si="4"/>
        <v>-9.1000000000000192E-2</v>
      </c>
      <c r="X30">
        <f t="shared" si="0"/>
        <v>-5.0000000000000044E-3</v>
      </c>
      <c r="Y30" s="350">
        <f t="shared" si="5"/>
        <v>-5.0000000000000044E-3</v>
      </c>
      <c r="AA30" s="196">
        <v>37742</v>
      </c>
      <c r="AB30">
        <v>3.4350000000000001</v>
      </c>
      <c r="AC30">
        <v>0.36</v>
      </c>
      <c r="AI30" s="196">
        <v>37712</v>
      </c>
      <c r="AJ30">
        <v>-355.85398973999997</v>
      </c>
      <c r="AL30" s="196">
        <v>37712</v>
      </c>
      <c r="AM30">
        <v>-345.76905885000002</v>
      </c>
      <c r="AO30" s="196">
        <v>37183</v>
      </c>
      <c r="AP30">
        <v>-9.9814341493720011</v>
      </c>
    </row>
    <row r="31" spans="1:42" x14ac:dyDescent="0.2">
      <c r="A31" s="196">
        <v>37773</v>
      </c>
      <c r="B31">
        <v>-0.41499999999999998</v>
      </c>
      <c r="C31" s="196">
        <v>37773</v>
      </c>
      <c r="D31">
        <v>1.57413191468929</v>
      </c>
      <c r="F31" s="350">
        <f t="shared" si="1"/>
        <v>4.6714174649423041</v>
      </c>
      <c r="G31">
        <f t="shared" si="2"/>
        <v>1.3261086762099694E-3</v>
      </c>
      <c r="H31" s="196">
        <v>37773</v>
      </c>
      <c r="I31">
        <v>-0.42</v>
      </c>
      <c r="J31" s="196">
        <v>37773</v>
      </c>
      <c r="K31">
        <v>1.5754580233655</v>
      </c>
      <c r="L31" s="350">
        <f t="shared" si="3"/>
        <v>4.5320012406112022</v>
      </c>
      <c r="M31" s="205"/>
      <c r="O31" s="199"/>
      <c r="S31" s="196">
        <v>37773</v>
      </c>
      <c r="T31">
        <v>3.5460000000000003</v>
      </c>
      <c r="U31">
        <v>0.36</v>
      </c>
      <c r="W31">
        <f t="shared" si="4"/>
        <v>-9.1000000000000192E-2</v>
      </c>
      <c r="X31">
        <f t="shared" si="0"/>
        <v>-5.0000000000000044E-3</v>
      </c>
      <c r="Y31" s="350">
        <f t="shared" si="5"/>
        <v>-5.0000000000000044E-3</v>
      </c>
      <c r="AA31" s="196">
        <v>37773</v>
      </c>
      <c r="AB31">
        <v>3.4550000000000001</v>
      </c>
      <c r="AC31">
        <v>0.35499999999999998</v>
      </c>
      <c r="AI31" s="196">
        <v>37742</v>
      </c>
      <c r="AJ31">
        <v>-366.55265517999999</v>
      </c>
      <c r="AL31" s="196">
        <v>37742</v>
      </c>
      <c r="AM31">
        <v>-356.16452328000003</v>
      </c>
      <c r="AO31" s="196">
        <v>37184</v>
      </c>
      <c r="AP31">
        <v>-6.6641341493720008</v>
      </c>
    </row>
    <row r="32" spans="1:42" x14ac:dyDescent="0.2">
      <c r="A32" s="196">
        <v>37803</v>
      </c>
      <c r="B32">
        <v>-0.41499999999999998</v>
      </c>
      <c r="C32" s="196">
        <v>37803</v>
      </c>
      <c r="D32">
        <v>1.5741329153274999</v>
      </c>
      <c r="F32" s="350">
        <f t="shared" si="1"/>
        <v>4.7087201824107821</v>
      </c>
      <c r="G32">
        <f t="shared" si="2"/>
        <v>1.3662538686400882E-3</v>
      </c>
      <c r="H32" s="196">
        <v>37803</v>
      </c>
      <c r="I32">
        <v>-0.42</v>
      </c>
      <c r="J32" s="196">
        <v>37803</v>
      </c>
      <c r="K32">
        <v>1.57549916919614</v>
      </c>
      <c r="L32" s="350">
        <f t="shared" si="3"/>
        <v>4.5694517236432839</v>
      </c>
      <c r="M32" s="205"/>
      <c r="O32" s="199"/>
      <c r="S32" s="196">
        <v>37803</v>
      </c>
      <c r="T32">
        <v>3.5710000000000002</v>
      </c>
      <c r="U32">
        <v>0.36</v>
      </c>
      <c r="W32">
        <f t="shared" si="4"/>
        <v>-9.1000000000000192E-2</v>
      </c>
      <c r="X32">
        <f t="shared" si="0"/>
        <v>-5.0000000000000044E-3</v>
      </c>
      <c r="Y32" s="350">
        <f t="shared" si="5"/>
        <v>-5.0000000000000044E-3</v>
      </c>
      <c r="AA32" s="196">
        <v>37803</v>
      </c>
      <c r="AB32">
        <v>3.48</v>
      </c>
      <c r="AC32">
        <v>0.35499999999999998</v>
      </c>
      <c r="AI32" s="196">
        <v>37773</v>
      </c>
      <c r="AJ32">
        <v>-353.53452242999998</v>
      </c>
      <c r="AL32" s="196">
        <v>37773</v>
      </c>
      <c r="AM32">
        <v>-343.51532545999999</v>
      </c>
      <c r="AO32" s="196">
        <v>37185</v>
      </c>
      <c r="AP32">
        <v>-6.6641341493720008</v>
      </c>
    </row>
    <row r="33" spans="1:42" x14ac:dyDescent="0.2">
      <c r="A33" s="196">
        <v>37834</v>
      </c>
      <c r="B33">
        <v>-0.41499999999999998</v>
      </c>
      <c r="C33" s="196">
        <v>37834</v>
      </c>
      <c r="D33">
        <v>1.57411599946731</v>
      </c>
      <c r="F33" s="350">
        <f t="shared" si="1"/>
        <v>4.7564127461497634</v>
      </c>
      <c r="G33">
        <f t="shared" si="2"/>
        <v>1.3905024913398734E-3</v>
      </c>
      <c r="H33" s="196">
        <v>37834</v>
      </c>
      <c r="I33">
        <v>-0.42</v>
      </c>
      <c r="J33" s="196">
        <v>37834</v>
      </c>
      <c r="K33">
        <v>1.5755065019586498</v>
      </c>
      <c r="L33" s="350">
        <f t="shared" si="3"/>
        <v>4.617258329468906</v>
      </c>
      <c r="M33" s="205"/>
      <c r="O33" s="199"/>
      <c r="S33" s="196">
        <v>37834</v>
      </c>
      <c r="T33">
        <v>3.6030000000000002</v>
      </c>
      <c r="U33">
        <v>0.36</v>
      </c>
      <c r="W33">
        <f t="shared" si="4"/>
        <v>-9.1000000000000192E-2</v>
      </c>
      <c r="X33">
        <f t="shared" si="0"/>
        <v>-5.0000000000000044E-3</v>
      </c>
      <c r="Y33" s="350">
        <f t="shared" si="5"/>
        <v>-5.0000000000000044E-3</v>
      </c>
      <c r="AA33" s="196">
        <v>37834</v>
      </c>
      <c r="AB33">
        <v>3.512</v>
      </c>
      <c r="AC33">
        <v>0.35499999999999998</v>
      </c>
      <c r="AI33" s="196">
        <v>37803</v>
      </c>
      <c r="AJ33">
        <v>-364.09477694999998</v>
      </c>
      <c r="AL33" s="196">
        <v>37803</v>
      </c>
      <c r="AM33">
        <v>-353.77630149999999</v>
      </c>
      <c r="AO33" s="196">
        <v>37186</v>
      </c>
      <c r="AP33">
        <v>-6.6641341493720008</v>
      </c>
    </row>
    <row r="34" spans="1:42" x14ac:dyDescent="0.2">
      <c r="A34" s="196">
        <v>37865</v>
      </c>
      <c r="B34">
        <v>-0.41499999999999998</v>
      </c>
      <c r="C34" s="196">
        <v>37865</v>
      </c>
      <c r="D34">
        <v>1.5740896193422198</v>
      </c>
      <c r="F34" s="350">
        <f t="shared" si="1"/>
        <v>4.7563330348938795</v>
      </c>
      <c r="G34">
        <f t="shared" si="2"/>
        <v>1.4128547698701865E-3</v>
      </c>
      <c r="H34" s="196">
        <v>37865</v>
      </c>
      <c r="I34">
        <v>-0.42</v>
      </c>
      <c r="J34" s="196">
        <v>37865</v>
      </c>
      <c r="K34">
        <v>1.57550247411209</v>
      </c>
      <c r="L34" s="350">
        <f t="shared" si="3"/>
        <v>4.6247129653071903</v>
      </c>
      <c r="M34" s="205"/>
      <c r="O34" s="199"/>
      <c r="S34" s="196">
        <v>37865</v>
      </c>
      <c r="T34">
        <v>3.6030000000000002</v>
      </c>
      <c r="U34">
        <v>0.36</v>
      </c>
      <c r="W34">
        <f t="shared" si="4"/>
        <v>-8.5999999999999854E-2</v>
      </c>
      <c r="X34">
        <f t="shared" si="0"/>
        <v>-5.0000000000000044E-3</v>
      </c>
      <c r="Y34" s="350">
        <f t="shared" si="5"/>
        <v>-5.0000000000000044E-3</v>
      </c>
      <c r="AA34" s="196">
        <v>37865</v>
      </c>
      <c r="AB34">
        <v>3.5170000000000003</v>
      </c>
      <c r="AC34">
        <v>0.35499999999999998</v>
      </c>
      <c r="AI34" s="196">
        <v>37834</v>
      </c>
      <c r="AJ34">
        <v>-362.79871715000002</v>
      </c>
      <c r="AL34" s="196">
        <v>37834</v>
      </c>
      <c r="AM34">
        <v>-352.51697210999998</v>
      </c>
      <c r="AO34" s="196">
        <v>37187</v>
      </c>
      <c r="AP34">
        <v>-7.848884149372001</v>
      </c>
    </row>
    <row r="35" spans="1:42" x14ac:dyDescent="0.2">
      <c r="A35" s="196">
        <v>37895</v>
      </c>
      <c r="B35">
        <v>-0.41499999999999998</v>
      </c>
      <c r="C35" s="196">
        <v>37895</v>
      </c>
      <c r="D35">
        <v>1.5740814641752898</v>
      </c>
      <c r="F35" s="350">
        <f t="shared" si="1"/>
        <v>4.7786875101923059</v>
      </c>
      <c r="G35">
        <f t="shared" si="2"/>
        <v>1.4209546086401126E-3</v>
      </c>
      <c r="H35" s="196">
        <v>37895</v>
      </c>
      <c r="I35">
        <v>-0.42</v>
      </c>
      <c r="J35" s="196">
        <v>37895</v>
      </c>
      <c r="K35">
        <v>1.5755024187839299</v>
      </c>
      <c r="L35" s="350">
        <f t="shared" si="3"/>
        <v>4.6545785620379485</v>
      </c>
      <c r="M35" s="205"/>
      <c r="O35" s="199"/>
      <c r="S35" s="196">
        <v>37895</v>
      </c>
      <c r="T35">
        <v>3.6180000000000003</v>
      </c>
      <c r="U35">
        <v>0.36</v>
      </c>
      <c r="W35">
        <f t="shared" si="4"/>
        <v>-8.0999999999999961E-2</v>
      </c>
      <c r="X35">
        <f t="shared" si="0"/>
        <v>-5.0000000000000044E-3</v>
      </c>
      <c r="Y35" s="350">
        <f t="shared" si="5"/>
        <v>-5.0000000000000044E-3</v>
      </c>
      <c r="AA35" s="196">
        <v>37895</v>
      </c>
      <c r="AB35">
        <v>3.5370000000000004</v>
      </c>
      <c r="AC35">
        <v>0.35499999999999998</v>
      </c>
      <c r="AI35" s="196">
        <v>37865</v>
      </c>
      <c r="AJ35">
        <v>-349.81113524</v>
      </c>
      <c r="AL35" s="196">
        <v>37865</v>
      </c>
      <c r="AM35">
        <v>-339.89745933</v>
      </c>
      <c r="AO35" s="196">
        <v>37188</v>
      </c>
      <c r="AP35">
        <v>-7.848884149372001</v>
      </c>
    </row>
    <row r="36" spans="1:42" x14ac:dyDescent="0.2">
      <c r="A36" s="196">
        <v>37926</v>
      </c>
      <c r="B36">
        <v>-0.39500000000000002</v>
      </c>
      <c r="C36" s="196">
        <v>37926</v>
      </c>
      <c r="D36">
        <v>1.5740127800215</v>
      </c>
      <c r="F36" s="350">
        <f t="shared" si="1"/>
        <v>5.051492312401237</v>
      </c>
      <c r="G36">
        <f t="shared" si="2"/>
        <v>1.4617806586998405E-3</v>
      </c>
      <c r="H36" s="196">
        <v>37926</v>
      </c>
      <c r="I36">
        <v>-0.39500000000000002</v>
      </c>
      <c r="J36" s="196">
        <v>37926</v>
      </c>
      <c r="K36">
        <v>1.5754745606801999</v>
      </c>
      <c r="L36" s="350">
        <f t="shared" si="3"/>
        <v>4.9426957392322883</v>
      </c>
      <c r="M36" s="205"/>
      <c r="O36" s="199"/>
      <c r="S36" s="196">
        <v>37926</v>
      </c>
      <c r="T36">
        <v>3.7810000000000001</v>
      </c>
      <c r="U36">
        <v>0.36</v>
      </c>
      <c r="W36">
        <f t="shared" si="4"/>
        <v>-7.6000000000000068E-2</v>
      </c>
      <c r="X36">
        <f t="shared" si="0"/>
        <v>-2.5000000000000022E-3</v>
      </c>
      <c r="Y36" s="350">
        <f t="shared" si="5"/>
        <v>0</v>
      </c>
      <c r="AA36" s="196">
        <v>37926</v>
      </c>
      <c r="AB36">
        <v>3.7050000000000001</v>
      </c>
      <c r="AC36">
        <v>0.35749999999999998</v>
      </c>
      <c r="AI36" s="196">
        <v>37895</v>
      </c>
      <c r="AJ36">
        <v>-360.15781757000002</v>
      </c>
      <c r="AL36" s="196">
        <v>37895</v>
      </c>
      <c r="AM36">
        <v>-349.95091587000002</v>
      </c>
      <c r="AO36" s="196">
        <v>37189</v>
      </c>
      <c r="AP36">
        <v>-7.848884149372001</v>
      </c>
    </row>
    <row r="37" spans="1:42" x14ac:dyDescent="0.2">
      <c r="A37" s="196">
        <v>37956</v>
      </c>
      <c r="B37">
        <v>-0.39500000000000002</v>
      </c>
      <c r="C37" s="196">
        <v>37956</v>
      </c>
      <c r="D37">
        <v>1.5736813856315799</v>
      </c>
      <c r="F37" s="350">
        <f t="shared" si="1"/>
        <v>5.2696883724052306</v>
      </c>
      <c r="G37">
        <f t="shared" si="2"/>
        <v>1.5611596859101962E-3</v>
      </c>
      <c r="H37" s="196">
        <v>37956</v>
      </c>
      <c r="I37">
        <v>-0.39500000000000002</v>
      </c>
      <c r="J37" s="196">
        <v>37956</v>
      </c>
      <c r="K37">
        <v>1.5752425453174901</v>
      </c>
      <c r="L37" s="350">
        <f t="shared" si="3"/>
        <v>5.1689101733833569</v>
      </c>
      <c r="M37" s="205"/>
      <c r="O37" s="199"/>
      <c r="S37" s="196">
        <v>37956</v>
      </c>
      <c r="T37">
        <v>3.9280000000000004</v>
      </c>
      <c r="U37">
        <v>0.36</v>
      </c>
      <c r="W37">
        <f t="shared" si="4"/>
        <v>-7.1000000000000174E-2</v>
      </c>
      <c r="X37">
        <f t="shared" si="0"/>
        <v>-2.5000000000000022E-3</v>
      </c>
      <c r="Y37" s="350">
        <f t="shared" si="5"/>
        <v>0</v>
      </c>
      <c r="AA37" s="196">
        <v>37956</v>
      </c>
      <c r="AB37">
        <v>3.8570000000000002</v>
      </c>
      <c r="AC37">
        <v>0.35749999999999998</v>
      </c>
      <c r="AI37" s="196">
        <v>37926</v>
      </c>
      <c r="AJ37">
        <v>-347.21657542999998</v>
      </c>
      <c r="AL37" s="196">
        <v>37926</v>
      </c>
      <c r="AM37">
        <v>-421.72053693999999</v>
      </c>
      <c r="AO37" s="196">
        <v>37190</v>
      </c>
      <c r="AP37">
        <v>-7.848884149372001</v>
      </c>
    </row>
    <row r="38" spans="1:42" x14ac:dyDescent="0.2">
      <c r="A38" s="196">
        <v>37987</v>
      </c>
      <c r="B38">
        <v>-0.39500000000000002</v>
      </c>
      <c r="C38" s="196">
        <v>37987</v>
      </c>
      <c r="D38">
        <v>1.5733245266535099</v>
      </c>
      <c r="F38" s="350">
        <f t="shared" si="1"/>
        <v>5.3281423296327306</v>
      </c>
      <c r="G38">
        <f t="shared" si="2"/>
        <v>1.6616536199600684E-3</v>
      </c>
      <c r="H38" s="196">
        <v>37987</v>
      </c>
      <c r="I38">
        <v>-0.39500000000000002</v>
      </c>
      <c r="J38" s="196">
        <v>37987</v>
      </c>
      <c r="K38">
        <v>1.5749861802734699</v>
      </c>
      <c r="L38" s="350">
        <f t="shared" si="3"/>
        <v>5.2427088847610239</v>
      </c>
      <c r="M38" s="205"/>
      <c r="O38" s="199"/>
      <c r="S38" s="196">
        <v>37987</v>
      </c>
      <c r="T38">
        <v>3.968</v>
      </c>
      <c r="U38">
        <v>0.35499999999999998</v>
      </c>
      <c r="W38">
        <f t="shared" si="4"/>
        <v>-6.0999999999999943E-2</v>
      </c>
      <c r="X38">
        <f t="shared" si="0"/>
        <v>-2.5000000000000022E-3</v>
      </c>
      <c r="Y38" s="350">
        <f t="shared" si="5"/>
        <v>0</v>
      </c>
      <c r="AA38" s="196">
        <v>37987</v>
      </c>
      <c r="AB38">
        <v>3.907</v>
      </c>
      <c r="AC38">
        <v>0.35249999999999998</v>
      </c>
      <c r="AI38" s="196">
        <v>37956</v>
      </c>
      <c r="AJ38">
        <v>-357.4977945</v>
      </c>
      <c r="AL38" s="196">
        <v>37956</v>
      </c>
      <c r="AM38">
        <v>-434.20784756</v>
      </c>
      <c r="AO38" s="196">
        <v>37191</v>
      </c>
      <c r="AP38">
        <v>-7.848884149372001</v>
      </c>
    </row>
    <row r="39" spans="1:42" x14ac:dyDescent="0.2">
      <c r="A39" s="196">
        <v>38018</v>
      </c>
      <c r="B39">
        <v>-0.39500000000000002</v>
      </c>
      <c r="C39" s="196">
        <v>38018</v>
      </c>
      <c r="D39">
        <v>1.5729559975971199</v>
      </c>
      <c r="F39" s="350">
        <f t="shared" si="1"/>
        <v>5.1971882133493956</v>
      </c>
      <c r="G39">
        <f t="shared" si="2"/>
        <v>1.7587286717499762E-3</v>
      </c>
      <c r="H39" s="196">
        <v>38018</v>
      </c>
      <c r="I39">
        <v>-0.39500000000000002</v>
      </c>
      <c r="J39" s="196">
        <v>38018</v>
      </c>
      <c r="K39">
        <v>1.5747147262688699</v>
      </c>
      <c r="L39" s="350">
        <f t="shared" si="3"/>
        <v>5.1104616463435217</v>
      </c>
      <c r="M39" s="205"/>
      <c r="O39" s="199"/>
      <c r="S39" s="196">
        <v>38018</v>
      </c>
      <c r="T39">
        <v>3.8810000000000002</v>
      </c>
      <c r="U39">
        <v>0.35</v>
      </c>
      <c r="W39">
        <f t="shared" si="4"/>
        <v>-6.1999999999999833E-2</v>
      </c>
      <c r="X39">
        <f t="shared" si="0"/>
        <v>-2.5000000000000022E-3</v>
      </c>
      <c r="Y39" s="350">
        <f t="shared" si="5"/>
        <v>0</v>
      </c>
      <c r="AA39" s="196">
        <v>38018</v>
      </c>
      <c r="AB39">
        <v>3.8190000000000004</v>
      </c>
      <c r="AC39">
        <v>0.34749999999999998</v>
      </c>
      <c r="AI39" s="196">
        <v>37987</v>
      </c>
      <c r="AJ39">
        <v>-209.06924004999999</v>
      </c>
      <c r="AL39" s="196">
        <v>37987</v>
      </c>
      <c r="AM39">
        <v>-187.44138762</v>
      </c>
      <c r="AO39" s="196">
        <v>37192</v>
      </c>
      <c r="AP39">
        <v>-7.848884149372001</v>
      </c>
    </row>
    <row r="40" spans="1:42" x14ac:dyDescent="0.2">
      <c r="A40" s="196">
        <v>38047</v>
      </c>
      <c r="B40">
        <v>-0.39500000000000002</v>
      </c>
      <c r="C40" s="196">
        <v>38047</v>
      </c>
      <c r="D40">
        <v>1.57258444623648</v>
      </c>
      <c r="F40" s="350">
        <f t="shared" si="1"/>
        <v>4.9887779810299158</v>
      </c>
      <c r="G40">
        <f t="shared" si="2"/>
        <v>1.8529578654198353E-3</v>
      </c>
      <c r="H40" s="196">
        <v>38047</v>
      </c>
      <c r="I40">
        <v>-0.39500000000000002</v>
      </c>
      <c r="J40" s="196">
        <v>38047</v>
      </c>
      <c r="K40">
        <v>1.5744374041018998</v>
      </c>
      <c r="L40" s="350">
        <f t="shared" si="3"/>
        <v>4.9021349316763674</v>
      </c>
      <c r="M40" s="205"/>
      <c r="O40" s="199"/>
      <c r="S40" s="196">
        <v>38047</v>
      </c>
      <c r="T40">
        <v>3.742</v>
      </c>
      <c r="U40">
        <v>0.33750000000000002</v>
      </c>
      <c r="W40">
        <f t="shared" si="4"/>
        <v>-6.1999999999999833E-2</v>
      </c>
      <c r="X40">
        <f t="shared" si="0"/>
        <v>-2.5000000000000022E-3</v>
      </c>
      <c r="Y40" s="350">
        <f t="shared" si="5"/>
        <v>0</v>
      </c>
      <c r="AA40" s="196">
        <v>38047</v>
      </c>
      <c r="AB40">
        <v>3.68</v>
      </c>
      <c r="AC40">
        <v>0.33500000000000002</v>
      </c>
      <c r="AI40" s="196">
        <v>38018</v>
      </c>
      <c r="AJ40">
        <v>-194.82160343000001</v>
      </c>
      <c r="AL40" s="196">
        <v>38018</v>
      </c>
      <c r="AM40">
        <v>-174.66764445000001</v>
      </c>
      <c r="AO40" s="196">
        <v>37193</v>
      </c>
      <c r="AP40">
        <v>-7.848884149372001</v>
      </c>
    </row>
    <row r="41" spans="1:42" x14ac:dyDescent="0.2">
      <c r="A41" s="196">
        <v>38078</v>
      </c>
      <c r="B41">
        <v>-0.43</v>
      </c>
      <c r="C41" s="196">
        <v>38078</v>
      </c>
      <c r="D41">
        <v>1.57228497349251</v>
      </c>
      <c r="F41" s="350">
        <f t="shared" si="1"/>
        <v>4.706172891571013</v>
      </c>
      <c r="G41">
        <f t="shared" si="2"/>
        <v>1.9518430468099535E-3</v>
      </c>
      <c r="H41" s="196">
        <v>38078</v>
      </c>
      <c r="I41">
        <v>-0.43</v>
      </c>
      <c r="J41" s="196">
        <v>38078</v>
      </c>
      <c r="K41">
        <v>1.5742368165393199</v>
      </c>
      <c r="L41" s="350">
        <f t="shared" si="3"/>
        <v>4.6195056793248268</v>
      </c>
      <c r="M41" s="205"/>
      <c r="O41" s="199"/>
      <c r="S41" s="196">
        <v>38078</v>
      </c>
      <c r="T41">
        <v>3.5880000000000001</v>
      </c>
      <c r="U41">
        <v>0.31</v>
      </c>
      <c r="W41">
        <f t="shared" si="4"/>
        <v>-6.1999999999999833E-2</v>
      </c>
      <c r="X41">
        <f t="shared" si="0"/>
        <v>-2.5000000000000022E-3</v>
      </c>
      <c r="Y41" s="350">
        <f t="shared" si="5"/>
        <v>0</v>
      </c>
      <c r="AA41" s="196">
        <v>38078</v>
      </c>
      <c r="AB41">
        <v>3.5260000000000002</v>
      </c>
      <c r="AC41">
        <v>0.3075</v>
      </c>
      <c r="AI41" s="196">
        <v>38047</v>
      </c>
      <c r="AJ41">
        <v>-207.48597315999999</v>
      </c>
      <c r="AL41" s="196">
        <v>38047</v>
      </c>
      <c r="AM41">
        <v>-186.02190696</v>
      </c>
      <c r="AO41" s="196">
        <v>37194</v>
      </c>
      <c r="AP41">
        <v>-7.848884149372001</v>
      </c>
    </row>
    <row r="42" spans="1:42" x14ac:dyDescent="0.2">
      <c r="A42" s="196">
        <v>38108</v>
      </c>
      <c r="B42">
        <v>-0.43</v>
      </c>
      <c r="C42" s="196">
        <v>38108</v>
      </c>
      <c r="D42">
        <v>1.5721100346025698</v>
      </c>
      <c r="F42" s="350">
        <f t="shared" si="1"/>
        <v>4.7130996264159704</v>
      </c>
      <c r="G42">
        <f t="shared" si="2"/>
        <v>2.0449401074400519E-3</v>
      </c>
      <c r="H42" s="196">
        <v>38108</v>
      </c>
      <c r="I42">
        <v>-0.43</v>
      </c>
      <c r="J42" s="196">
        <v>38108</v>
      </c>
      <c r="K42">
        <v>1.5741549747100099</v>
      </c>
      <c r="L42" s="350">
        <f t="shared" si="3"/>
        <v>4.6267255734062847</v>
      </c>
      <c r="M42" s="205"/>
      <c r="O42" s="199"/>
      <c r="S42" s="196">
        <v>38108</v>
      </c>
      <c r="T42">
        <v>3.593</v>
      </c>
      <c r="U42">
        <v>0.30499999999999999</v>
      </c>
      <c r="W42">
        <f t="shared" si="4"/>
        <v>-6.1999999999999833E-2</v>
      </c>
      <c r="X42">
        <f t="shared" si="0"/>
        <v>-2.5000000000000022E-3</v>
      </c>
      <c r="Y42" s="350">
        <f t="shared" si="5"/>
        <v>0</v>
      </c>
      <c r="AA42" s="196">
        <v>38108</v>
      </c>
      <c r="AB42">
        <v>3.5310000000000001</v>
      </c>
      <c r="AC42">
        <v>0.30249999999999999</v>
      </c>
      <c r="AI42" s="196">
        <v>38078</v>
      </c>
      <c r="AJ42">
        <v>-199.98211487</v>
      </c>
      <c r="AL42" s="196">
        <v>38078</v>
      </c>
      <c r="AM42">
        <v>-179.29430988999999</v>
      </c>
      <c r="AO42" s="196">
        <v>37195</v>
      </c>
      <c r="AP42">
        <v>-7.848884149372001</v>
      </c>
    </row>
    <row r="43" spans="1:42" x14ac:dyDescent="0.2">
      <c r="A43" s="196">
        <v>38139</v>
      </c>
      <c r="B43">
        <v>-0.43</v>
      </c>
      <c r="C43" s="196">
        <v>38139</v>
      </c>
      <c r="D43">
        <v>1.5719178852948601</v>
      </c>
      <c r="F43" s="350">
        <f t="shared" si="1"/>
        <v>4.7691394113950798</v>
      </c>
      <c r="G43">
        <f t="shared" si="2"/>
        <v>2.144113395959879E-3</v>
      </c>
      <c r="H43" s="196">
        <v>38139</v>
      </c>
      <c r="I43">
        <v>-0.43</v>
      </c>
      <c r="J43" s="196">
        <v>38139</v>
      </c>
      <c r="K43">
        <v>1.57406199869082</v>
      </c>
      <c r="L43" s="350">
        <f t="shared" si="3"/>
        <v>4.6831453627963668</v>
      </c>
      <c r="O43" s="199"/>
      <c r="S43" s="196">
        <v>38139</v>
      </c>
      <c r="T43">
        <v>3.6310000000000002</v>
      </c>
      <c r="U43">
        <v>0.30499999999999999</v>
      </c>
      <c r="W43">
        <f t="shared" si="4"/>
        <v>-6.2000000000000277E-2</v>
      </c>
      <c r="X43">
        <f t="shared" si="0"/>
        <v>-2.5000000000000022E-3</v>
      </c>
      <c r="Y43" s="350">
        <f t="shared" si="5"/>
        <v>0</v>
      </c>
      <c r="AA43" s="196">
        <v>38139</v>
      </c>
      <c r="AB43">
        <v>3.569</v>
      </c>
      <c r="AC43">
        <v>0.30249999999999999</v>
      </c>
      <c r="AI43" s="196">
        <v>38108</v>
      </c>
      <c r="AJ43">
        <v>-205.82484127999999</v>
      </c>
      <c r="AL43" s="196">
        <v>38108</v>
      </c>
      <c r="AM43">
        <v>-184.53261631999999</v>
      </c>
      <c r="AO43" s="196">
        <v>37196</v>
      </c>
      <c r="AP43">
        <v>-205.25684876214001</v>
      </c>
    </row>
    <row r="44" spans="1:42" x14ac:dyDescent="0.2">
      <c r="A44" s="196">
        <v>38169</v>
      </c>
      <c r="B44">
        <v>-0.43</v>
      </c>
      <c r="C44" s="196">
        <v>38169</v>
      </c>
      <c r="D44">
        <v>1.5717972993245699</v>
      </c>
      <c r="F44" s="350">
        <f t="shared" si="1"/>
        <v>4.8358134863055176</v>
      </c>
      <c r="G44">
        <f t="shared" si="2"/>
        <v>2.2385186296598469E-3</v>
      </c>
      <c r="H44" s="196">
        <v>38169</v>
      </c>
      <c r="I44">
        <v>-0.43</v>
      </c>
      <c r="J44" s="196">
        <v>38169</v>
      </c>
      <c r="K44">
        <v>1.5740358179542298</v>
      </c>
      <c r="L44" s="350">
        <f t="shared" si="3"/>
        <v>4.7502028748865159</v>
      </c>
      <c r="O44" s="199"/>
      <c r="S44" s="196">
        <v>38169</v>
      </c>
      <c r="T44">
        <v>3.6760000000000002</v>
      </c>
      <c r="U44">
        <v>0.30499999999999999</v>
      </c>
      <c r="W44">
        <f t="shared" si="4"/>
        <v>-6.1999999999999833E-2</v>
      </c>
      <c r="X44">
        <f t="shared" si="0"/>
        <v>-2.5000000000000022E-3</v>
      </c>
      <c r="Y44" s="350">
        <f t="shared" si="5"/>
        <v>0</v>
      </c>
      <c r="AA44" s="196">
        <v>38169</v>
      </c>
      <c r="AB44">
        <v>3.6140000000000003</v>
      </c>
      <c r="AC44">
        <v>0.30249999999999999</v>
      </c>
      <c r="AI44" s="196">
        <v>38139</v>
      </c>
      <c r="AJ44">
        <v>-198.34959001999999</v>
      </c>
      <c r="AL44" s="196">
        <v>38139</v>
      </c>
      <c r="AM44">
        <v>-177.83066690999999</v>
      </c>
      <c r="AO44" s="196">
        <v>37226</v>
      </c>
      <c r="AP44">
        <v>0.421706900286</v>
      </c>
    </row>
    <row r="45" spans="1:42" x14ac:dyDescent="0.2">
      <c r="A45" s="196">
        <v>38200</v>
      </c>
      <c r="B45">
        <v>-0.43</v>
      </c>
      <c r="C45" s="196">
        <v>38200</v>
      </c>
      <c r="D45">
        <v>1.57175259731999</v>
      </c>
      <c r="F45" s="350">
        <f t="shared" si="1"/>
        <v>4.8922858403713612</v>
      </c>
      <c r="G45">
        <f t="shared" si="2"/>
        <v>2.3337466395598749E-3</v>
      </c>
      <c r="H45" s="196">
        <v>38200</v>
      </c>
      <c r="I45">
        <v>-0.43</v>
      </c>
      <c r="J45" s="196">
        <v>38200</v>
      </c>
      <c r="K45">
        <v>1.5740863439595498</v>
      </c>
      <c r="L45" s="350">
        <f t="shared" si="3"/>
        <v>4.8070492942911747</v>
      </c>
      <c r="O45" s="199"/>
      <c r="S45" s="196">
        <v>38200</v>
      </c>
      <c r="T45">
        <v>3.714</v>
      </c>
      <c r="U45">
        <v>0.30499999999999999</v>
      </c>
      <c r="W45">
        <f t="shared" si="4"/>
        <v>-6.1999999999999833E-2</v>
      </c>
      <c r="X45">
        <f t="shared" si="0"/>
        <v>-2.5000000000000022E-3</v>
      </c>
      <c r="Y45" s="350">
        <f t="shared" si="5"/>
        <v>0</v>
      </c>
      <c r="AA45" s="196">
        <v>38200</v>
      </c>
      <c r="AB45">
        <v>3.6520000000000001</v>
      </c>
      <c r="AC45">
        <v>0.30249999999999999</v>
      </c>
      <c r="AI45" s="196">
        <v>38169</v>
      </c>
      <c r="AJ45">
        <v>-204.11329247</v>
      </c>
      <c r="AL45" s="196">
        <v>38169</v>
      </c>
      <c r="AM45">
        <v>-182.99812428999999</v>
      </c>
      <c r="AO45" s="196">
        <v>37257</v>
      </c>
      <c r="AP45">
        <v>26.046969690238001</v>
      </c>
    </row>
    <row r="46" spans="1:42" x14ac:dyDescent="0.2">
      <c r="A46" s="196">
        <v>38231</v>
      </c>
      <c r="B46">
        <v>-0.43</v>
      </c>
      <c r="C46" s="196">
        <v>38231</v>
      </c>
      <c r="D46">
        <v>1.5717065291792898</v>
      </c>
      <c r="F46" s="350">
        <f t="shared" si="1"/>
        <v>4.8832043063588211</v>
      </c>
      <c r="G46">
        <f t="shared" si="2"/>
        <v>2.4314219783601043E-3</v>
      </c>
      <c r="H46" s="196">
        <v>38231</v>
      </c>
      <c r="I46">
        <v>-0.43</v>
      </c>
      <c r="J46" s="196">
        <v>38231</v>
      </c>
      <c r="K46">
        <v>1.5741379511576499</v>
      </c>
      <c r="L46" s="350">
        <f t="shared" si="3"/>
        <v>4.7982549276275401</v>
      </c>
      <c r="O46" s="199"/>
      <c r="S46" s="196">
        <v>38231</v>
      </c>
      <c r="T46">
        <v>3.7080000000000002</v>
      </c>
      <c r="U46">
        <v>0.30499999999999999</v>
      </c>
      <c r="W46">
        <f t="shared" si="4"/>
        <v>-6.1999999999999833E-2</v>
      </c>
      <c r="X46">
        <f t="shared" si="0"/>
        <v>-2.5000000000000022E-3</v>
      </c>
      <c r="Y46" s="350">
        <f t="shared" si="5"/>
        <v>0</v>
      </c>
      <c r="AA46" s="196">
        <v>38231</v>
      </c>
      <c r="AB46">
        <v>3.6460000000000004</v>
      </c>
      <c r="AC46">
        <v>0.30249999999999999</v>
      </c>
      <c r="AI46" s="196">
        <v>38200</v>
      </c>
      <c r="AJ46">
        <v>-203.22465589000001</v>
      </c>
      <c r="AL46" s="196">
        <v>38200</v>
      </c>
      <c r="AM46">
        <v>-182.20141563000001</v>
      </c>
      <c r="AO46" s="196">
        <v>37288</v>
      </c>
      <c r="AP46">
        <v>23.477309343390001</v>
      </c>
    </row>
    <row r="47" spans="1:42" x14ac:dyDescent="0.2">
      <c r="A47" s="196">
        <v>38261</v>
      </c>
      <c r="B47">
        <v>-0.43</v>
      </c>
      <c r="C47" s="196">
        <v>38261</v>
      </c>
      <c r="D47">
        <v>1.57174703608594</v>
      </c>
      <c r="F47" s="350">
        <f t="shared" si="1"/>
        <v>4.8833301590528952</v>
      </c>
      <c r="G47">
        <f t="shared" si="2"/>
        <v>2.524343856449951E-3</v>
      </c>
      <c r="H47" s="196">
        <v>38261</v>
      </c>
      <c r="I47">
        <v>-0.43</v>
      </c>
      <c r="J47" s="196">
        <v>38261</v>
      </c>
      <c r="K47">
        <v>1.57427137994239</v>
      </c>
      <c r="L47" s="350">
        <f t="shared" si="3"/>
        <v>4.7986616425049728</v>
      </c>
      <c r="S47" s="196">
        <v>38261</v>
      </c>
      <c r="T47">
        <v>3.7080000000000002</v>
      </c>
      <c r="U47">
        <v>0.30499999999999999</v>
      </c>
      <c r="W47">
        <f t="shared" si="4"/>
        <v>-6.1999999999999833E-2</v>
      </c>
      <c r="X47">
        <f t="shared" si="0"/>
        <v>-2.5000000000000022E-3</v>
      </c>
      <c r="Y47" s="350">
        <f t="shared" si="5"/>
        <v>0</v>
      </c>
      <c r="AA47" s="196">
        <v>38261</v>
      </c>
      <c r="AB47">
        <v>3.6460000000000004</v>
      </c>
      <c r="AC47">
        <v>0.30249999999999999</v>
      </c>
      <c r="AI47" s="196">
        <v>38231</v>
      </c>
      <c r="AJ47">
        <v>-195.79702828999999</v>
      </c>
      <c r="AL47" s="196">
        <v>38231</v>
      </c>
      <c r="AM47">
        <v>-175.54216328999999</v>
      </c>
      <c r="AO47" s="196">
        <v>37316</v>
      </c>
      <c r="AP47">
        <v>25.947791793980002</v>
      </c>
    </row>
    <row r="48" spans="1:42" x14ac:dyDescent="0.2">
      <c r="A48" s="196">
        <v>38292</v>
      </c>
      <c r="B48">
        <v>-0.39</v>
      </c>
      <c r="C48" s="196">
        <v>38292</v>
      </c>
      <c r="D48">
        <v>1.5717373489420599</v>
      </c>
      <c r="F48" s="350">
        <f t="shared" si="1"/>
        <v>5.1633673012931816</v>
      </c>
      <c r="G48">
        <f t="shared" si="2"/>
        <v>2.6057794684899438E-3</v>
      </c>
      <c r="H48" s="196">
        <v>38292</v>
      </c>
      <c r="I48">
        <v>-0.39</v>
      </c>
      <c r="J48" s="196">
        <v>38292</v>
      </c>
      <c r="K48">
        <v>1.5743431284105498</v>
      </c>
      <c r="L48" s="350">
        <f t="shared" si="3"/>
        <v>5.0809040963114018</v>
      </c>
      <c r="S48" s="196">
        <v>38292</v>
      </c>
      <c r="T48">
        <v>3.8560000000000003</v>
      </c>
      <c r="U48">
        <v>0.30499999999999999</v>
      </c>
      <c r="W48">
        <f t="shared" si="4"/>
        <v>-6.1000000000000387E-2</v>
      </c>
      <c r="X48">
        <f t="shared" si="0"/>
        <v>-2.5000000000000022E-3</v>
      </c>
      <c r="Y48" s="350">
        <f t="shared" si="5"/>
        <v>0</v>
      </c>
      <c r="AA48" s="196">
        <v>38292</v>
      </c>
      <c r="AB48">
        <v>3.7949999999999999</v>
      </c>
      <c r="AC48">
        <v>0.30249999999999999</v>
      </c>
      <c r="AI48" s="196">
        <v>38261</v>
      </c>
      <c r="AJ48">
        <v>-201.43996748000001</v>
      </c>
      <c r="AL48" s="196">
        <v>38261</v>
      </c>
      <c r="AM48">
        <v>-180.60135015</v>
      </c>
      <c r="AO48" s="196">
        <v>37347</v>
      </c>
      <c r="AP48">
        <v>25.062613650829999</v>
      </c>
    </row>
    <row r="49" spans="1:42" x14ac:dyDescent="0.2">
      <c r="A49" s="196">
        <v>38322</v>
      </c>
      <c r="B49">
        <v>-0.39</v>
      </c>
      <c r="C49" s="196">
        <v>38322</v>
      </c>
      <c r="D49">
        <v>1.5712494289391099</v>
      </c>
      <c r="F49" s="350">
        <f t="shared" si="1"/>
        <v>5.3881314678099548</v>
      </c>
      <c r="G49">
        <f t="shared" si="2"/>
        <v>2.6418555535900889E-3</v>
      </c>
      <c r="H49" s="196">
        <v>38322</v>
      </c>
      <c r="I49">
        <v>-0.39</v>
      </c>
      <c r="J49" s="196">
        <v>38322</v>
      </c>
      <c r="K49">
        <v>1.5738912844927</v>
      </c>
      <c r="L49" s="350">
        <f t="shared" si="3"/>
        <v>5.3061935091033403</v>
      </c>
      <c r="S49" s="196">
        <v>38322</v>
      </c>
      <c r="T49">
        <v>4.008</v>
      </c>
      <c r="U49">
        <v>0.3</v>
      </c>
      <c r="W49">
        <f t="shared" si="4"/>
        <v>-6.0999999999999943E-2</v>
      </c>
      <c r="X49">
        <f t="shared" si="0"/>
        <v>-2.5000000000000022E-3</v>
      </c>
      <c r="Y49" s="350">
        <f t="shared" si="5"/>
        <v>0</v>
      </c>
      <c r="AA49" s="196">
        <v>38322</v>
      </c>
      <c r="AB49">
        <v>3.9470000000000001</v>
      </c>
      <c r="AC49">
        <v>0.29749999999999999</v>
      </c>
      <c r="AI49" s="196">
        <v>38292</v>
      </c>
      <c r="AJ49">
        <v>-194.06420141999999</v>
      </c>
      <c r="AL49" s="196">
        <v>38292</v>
      </c>
      <c r="AM49">
        <v>-173.98859436999999</v>
      </c>
      <c r="AO49" s="196">
        <v>37377</v>
      </c>
      <c r="AP49">
        <v>25.847088498924002</v>
      </c>
    </row>
    <row r="50" spans="1:42" x14ac:dyDescent="0.2">
      <c r="A50" s="196">
        <v>38353</v>
      </c>
      <c r="B50">
        <v>-0.39</v>
      </c>
      <c r="C50" s="196">
        <v>38353</v>
      </c>
      <c r="D50">
        <v>1.5707779620009599</v>
      </c>
      <c r="F50" s="350">
        <f t="shared" si="1"/>
        <v>5.4683992645220032</v>
      </c>
      <c r="G50">
        <f t="shared" si="2"/>
        <v>2.6777217219100535E-3</v>
      </c>
      <c r="H50" s="196">
        <v>38353</v>
      </c>
      <c r="I50">
        <v>-0.39</v>
      </c>
      <c r="J50" s="196">
        <v>38353</v>
      </c>
      <c r="K50">
        <v>1.5734556837228699</v>
      </c>
      <c r="L50" s="350">
        <f t="shared" si="3"/>
        <v>5.394205812796308</v>
      </c>
      <c r="S50" s="196">
        <v>38353</v>
      </c>
      <c r="T50">
        <v>4.0630000000000006</v>
      </c>
      <c r="U50">
        <v>0.3</v>
      </c>
      <c r="W50">
        <f t="shared" si="4"/>
        <v>-5.600000000000005E-2</v>
      </c>
      <c r="X50">
        <f t="shared" si="0"/>
        <v>-2.5000000000000022E-3</v>
      </c>
      <c r="Y50" s="350">
        <f t="shared" si="5"/>
        <v>0</v>
      </c>
      <c r="AA50" s="196">
        <v>38353</v>
      </c>
      <c r="AB50">
        <v>4.0070000000000006</v>
      </c>
      <c r="AC50">
        <v>0.29749999999999999</v>
      </c>
      <c r="AI50" s="196">
        <v>38322</v>
      </c>
      <c r="AJ50">
        <v>-199.70573601999999</v>
      </c>
      <c r="AL50" s="196">
        <v>38322</v>
      </c>
      <c r="AM50">
        <v>-179.04652196000001</v>
      </c>
      <c r="AO50" s="196">
        <v>37408</v>
      </c>
      <c r="AP50">
        <v>24.963024883272002</v>
      </c>
    </row>
    <row r="51" spans="1:42" x14ac:dyDescent="0.2">
      <c r="A51" s="196">
        <v>38384</v>
      </c>
      <c r="B51">
        <v>-0.39</v>
      </c>
      <c r="C51" s="196">
        <v>38384</v>
      </c>
      <c r="D51">
        <v>1.5703328330877699</v>
      </c>
      <c r="F51" s="350">
        <f t="shared" si="1"/>
        <v>5.3373598552614672</v>
      </c>
      <c r="G51">
        <f t="shared" si="2"/>
        <v>2.7121832091800968E-3</v>
      </c>
      <c r="H51" s="196">
        <v>38384</v>
      </c>
      <c r="I51">
        <v>-0.39</v>
      </c>
      <c r="J51" s="196">
        <v>38384</v>
      </c>
      <c r="K51">
        <v>1.57304501629695</v>
      </c>
      <c r="L51" s="350">
        <f t="shared" si="3"/>
        <v>5.2615935670826355</v>
      </c>
      <c r="S51" s="196">
        <v>38384</v>
      </c>
      <c r="T51">
        <v>3.976</v>
      </c>
      <c r="U51">
        <v>0.29749999999999999</v>
      </c>
      <c r="W51">
        <f t="shared" si="4"/>
        <v>-5.699999999999994E-2</v>
      </c>
      <c r="X51">
        <f t="shared" si="0"/>
        <v>-2.5000000000000022E-3</v>
      </c>
      <c r="Y51" s="350">
        <f t="shared" si="5"/>
        <v>0</v>
      </c>
      <c r="AA51" s="196">
        <v>38384</v>
      </c>
      <c r="AB51">
        <v>3.919</v>
      </c>
      <c r="AC51">
        <v>0.29499999999999998</v>
      </c>
      <c r="AI51" s="196">
        <v>38353</v>
      </c>
      <c r="AJ51">
        <v>-191.98640452999999</v>
      </c>
      <c r="AL51" s="196">
        <v>38353</v>
      </c>
      <c r="AM51">
        <v>-164.55977530000001</v>
      </c>
      <c r="AO51" s="196">
        <v>37438</v>
      </c>
      <c r="AP51">
        <v>-4.73856339593</v>
      </c>
    </row>
    <row r="52" spans="1:42" x14ac:dyDescent="0.2">
      <c r="A52" s="196">
        <v>38412</v>
      </c>
      <c r="B52">
        <v>-0.39</v>
      </c>
      <c r="C52" s="196">
        <v>38412</v>
      </c>
      <c r="D52">
        <v>1.5699132379224998</v>
      </c>
      <c r="F52" s="350">
        <f t="shared" si="1"/>
        <v>5.1291030344539603</v>
      </c>
      <c r="G52">
        <f t="shared" si="2"/>
        <v>2.7422419760900762E-3</v>
      </c>
      <c r="H52" s="196">
        <v>38412</v>
      </c>
      <c r="I52">
        <v>-0.39</v>
      </c>
      <c r="J52" s="196">
        <v>38412</v>
      </c>
      <c r="K52">
        <v>1.5726554798985899</v>
      </c>
      <c r="L52" s="350">
        <f t="shared" si="3"/>
        <v>5.0530986761425165</v>
      </c>
      <c r="S52" s="196">
        <v>38412</v>
      </c>
      <c r="T52">
        <v>3.8370000000000002</v>
      </c>
      <c r="U52">
        <v>0.28249999999999997</v>
      </c>
      <c r="W52">
        <f t="shared" si="4"/>
        <v>-5.7000000000000384E-2</v>
      </c>
      <c r="X52">
        <f t="shared" si="0"/>
        <v>-2.4999999999999467E-3</v>
      </c>
      <c r="Y52" s="350">
        <f t="shared" si="5"/>
        <v>0</v>
      </c>
      <c r="AA52" s="196">
        <v>38412</v>
      </c>
      <c r="AB52">
        <v>3.78</v>
      </c>
      <c r="AC52">
        <v>0.28000000000000003</v>
      </c>
      <c r="AI52" s="196">
        <v>38384</v>
      </c>
      <c r="AJ52">
        <v>-172.64793559</v>
      </c>
      <c r="AL52" s="196">
        <v>38384</v>
      </c>
      <c r="AM52">
        <v>-147.98394478</v>
      </c>
      <c r="AO52" s="196">
        <v>37469</v>
      </c>
      <c r="AP52">
        <v>-4.7281006980760001</v>
      </c>
    </row>
    <row r="53" spans="1:42" x14ac:dyDescent="0.2">
      <c r="A53" s="196">
        <v>38443</v>
      </c>
      <c r="B53">
        <v>-0.44</v>
      </c>
      <c r="C53" s="196">
        <v>38443</v>
      </c>
      <c r="D53">
        <v>1.5695838577693799</v>
      </c>
      <c r="F53" s="350">
        <f t="shared" si="1"/>
        <v>4.8245405464222753</v>
      </c>
      <c r="G53">
        <f t="shared" si="2"/>
        <v>2.7742839763200688E-3</v>
      </c>
      <c r="H53" s="196">
        <v>38443</v>
      </c>
      <c r="I53">
        <v>-0.44</v>
      </c>
      <c r="J53" s="196">
        <v>38443</v>
      </c>
      <c r="K53">
        <v>1.5723581417457</v>
      </c>
      <c r="L53" s="350">
        <f t="shared" si="3"/>
        <v>4.7481205164482274</v>
      </c>
      <c r="S53" s="196">
        <v>38443</v>
      </c>
      <c r="T53">
        <v>3.6830000000000003</v>
      </c>
      <c r="U53">
        <v>0.27</v>
      </c>
      <c r="W53">
        <f t="shared" si="4"/>
        <v>-5.699999999999994E-2</v>
      </c>
      <c r="X53">
        <f t="shared" si="0"/>
        <v>0</v>
      </c>
      <c r="Y53" s="350">
        <f t="shared" si="5"/>
        <v>0</v>
      </c>
      <c r="AA53" s="196">
        <v>38443</v>
      </c>
      <c r="AB53">
        <v>3.6260000000000003</v>
      </c>
      <c r="AC53">
        <v>0.27</v>
      </c>
      <c r="AI53" s="196">
        <v>38412</v>
      </c>
      <c r="AJ53">
        <v>-190.38041190000001</v>
      </c>
      <c r="AL53" s="196">
        <v>38412</v>
      </c>
      <c r="AM53">
        <v>-163.18321019999999</v>
      </c>
      <c r="AO53" s="196">
        <v>37500</v>
      </c>
      <c r="AP53">
        <v>-4.5653490125600005</v>
      </c>
    </row>
    <row r="54" spans="1:42" x14ac:dyDescent="0.2">
      <c r="A54" s="196">
        <v>38473</v>
      </c>
      <c r="B54">
        <v>-0.44</v>
      </c>
      <c r="C54" s="196">
        <v>38473</v>
      </c>
      <c r="D54">
        <v>1.5693904971064299</v>
      </c>
      <c r="F54" s="350">
        <f t="shared" si="1"/>
        <v>4.8313836749913603</v>
      </c>
      <c r="G54">
        <f t="shared" si="2"/>
        <v>2.8042301061399488E-3</v>
      </c>
      <c r="H54" s="196">
        <v>38473</v>
      </c>
      <c r="I54">
        <v>-0.44</v>
      </c>
      <c r="J54" s="196">
        <v>38473</v>
      </c>
      <c r="K54">
        <v>1.5721947272125698</v>
      </c>
      <c r="L54" s="350">
        <f t="shared" si="3"/>
        <v>4.7550778105951821</v>
      </c>
      <c r="S54" s="196">
        <v>38473</v>
      </c>
      <c r="T54">
        <v>3.6880000000000002</v>
      </c>
      <c r="U54">
        <v>0.26250000000000001</v>
      </c>
      <c r="W54">
        <f t="shared" si="4"/>
        <v>-5.699999999999994E-2</v>
      </c>
      <c r="X54">
        <f t="shared" si="0"/>
        <v>0</v>
      </c>
      <c r="Y54" s="350">
        <f t="shared" si="5"/>
        <v>0</v>
      </c>
      <c r="AA54" s="196">
        <v>38473</v>
      </c>
      <c r="AB54">
        <v>3.6310000000000002</v>
      </c>
      <c r="AC54">
        <v>0.26250000000000001</v>
      </c>
      <c r="AI54" s="196">
        <v>38443</v>
      </c>
      <c r="AJ54">
        <v>-183.41219874999999</v>
      </c>
      <c r="AL54" s="196">
        <v>38443</v>
      </c>
      <c r="AM54">
        <v>-157.21045606000001</v>
      </c>
      <c r="AO54" s="196">
        <v>37530</v>
      </c>
      <c r="AP54">
        <v>25.570095133674002</v>
      </c>
    </row>
    <row r="55" spans="1:42" x14ac:dyDescent="0.2">
      <c r="A55" s="196">
        <v>38504</v>
      </c>
      <c r="B55">
        <v>-0.44</v>
      </c>
      <c r="C55" s="196">
        <v>38504</v>
      </c>
      <c r="D55">
        <v>1.5691846941709999</v>
      </c>
      <c r="F55" s="350">
        <f t="shared" si="1"/>
        <v>4.8872675052754602</v>
      </c>
      <c r="G55">
        <f t="shared" si="2"/>
        <v>2.8339774663299622E-3</v>
      </c>
      <c r="H55" s="196">
        <v>38504</v>
      </c>
      <c r="I55">
        <v>-0.44</v>
      </c>
      <c r="J55" s="196">
        <v>38504</v>
      </c>
      <c r="K55">
        <v>1.5720186716373299</v>
      </c>
      <c r="L55" s="350">
        <f t="shared" si="3"/>
        <v>4.8111648014104835</v>
      </c>
      <c r="S55" s="196">
        <v>38504</v>
      </c>
      <c r="T55">
        <v>3.726</v>
      </c>
      <c r="U55">
        <v>0.25750000000000001</v>
      </c>
      <c r="W55">
        <f t="shared" si="4"/>
        <v>-5.699999999999994E-2</v>
      </c>
      <c r="X55">
        <f t="shared" si="0"/>
        <v>0</v>
      </c>
      <c r="Y55" s="350">
        <f t="shared" si="5"/>
        <v>0</v>
      </c>
      <c r="AA55" s="196">
        <v>38504</v>
      </c>
      <c r="AB55">
        <v>3.669</v>
      </c>
      <c r="AC55">
        <v>0.25750000000000001</v>
      </c>
      <c r="AI55" s="196">
        <v>38473</v>
      </c>
      <c r="AJ55">
        <v>-188.69221153000001</v>
      </c>
      <c r="AL55" s="196">
        <v>38473</v>
      </c>
      <c r="AM55">
        <v>-161.7361813</v>
      </c>
      <c r="AO55" s="196">
        <v>37561</v>
      </c>
      <c r="AP55">
        <v>24.682472424764001</v>
      </c>
    </row>
    <row r="56" spans="1:42" x14ac:dyDescent="0.2">
      <c r="A56" s="196">
        <v>38534</v>
      </c>
      <c r="B56">
        <v>-0.44</v>
      </c>
      <c r="C56" s="196">
        <v>38534</v>
      </c>
      <c r="D56">
        <v>1.5690588322874399</v>
      </c>
      <c r="F56" s="350">
        <f t="shared" si="1"/>
        <v>4.9537986328208765</v>
      </c>
      <c r="G56">
        <f t="shared" si="2"/>
        <v>2.8647201581599724E-3</v>
      </c>
      <c r="H56" s="196">
        <v>38534</v>
      </c>
      <c r="I56">
        <v>-0.44</v>
      </c>
      <c r="J56" s="196">
        <v>38534</v>
      </c>
      <c r="K56">
        <v>1.5719235524455999</v>
      </c>
      <c r="L56" s="350">
        <f t="shared" si="3"/>
        <v>4.8779190021258536</v>
      </c>
      <c r="S56" s="196">
        <v>38534</v>
      </c>
      <c r="T56">
        <v>3.7710000000000004</v>
      </c>
      <c r="U56">
        <v>0.25750000000000001</v>
      </c>
      <c r="W56">
        <f t="shared" si="4"/>
        <v>-5.7000000000000384E-2</v>
      </c>
      <c r="X56">
        <f t="shared" si="0"/>
        <v>0</v>
      </c>
      <c r="Y56" s="350">
        <f t="shared" si="5"/>
        <v>0</v>
      </c>
      <c r="AA56" s="196">
        <v>38534</v>
      </c>
      <c r="AB56">
        <v>3.714</v>
      </c>
      <c r="AC56">
        <v>0.25750000000000001</v>
      </c>
      <c r="AI56" s="196">
        <v>38504</v>
      </c>
      <c r="AJ56">
        <v>-181.76494880999999</v>
      </c>
      <c r="AL56" s="196">
        <v>38504</v>
      </c>
      <c r="AM56">
        <v>-155.79852754000001</v>
      </c>
      <c r="AO56" s="196">
        <v>37591</v>
      </c>
      <c r="AP56">
        <v>25.440960340810001</v>
      </c>
    </row>
    <row r="57" spans="1:42" x14ac:dyDescent="0.2">
      <c r="A57" s="196">
        <v>38565</v>
      </c>
      <c r="B57">
        <v>-0.44</v>
      </c>
      <c r="C57" s="196">
        <v>38565</v>
      </c>
      <c r="D57">
        <v>1.5690042963863498</v>
      </c>
      <c r="F57" s="350">
        <f t="shared" si="1"/>
        <v>5.0101373524491706</v>
      </c>
      <c r="G57">
        <f t="shared" si="2"/>
        <v>2.8985074050100756E-3</v>
      </c>
      <c r="H57" s="196">
        <v>38565</v>
      </c>
      <c r="I57">
        <v>-0.44</v>
      </c>
      <c r="J57" s="196">
        <v>38565</v>
      </c>
      <c r="K57">
        <v>1.5719028037913598</v>
      </c>
      <c r="L57" s="350">
        <f t="shared" si="3"/>
        <v>4.9344699107506944</v>
      </c>
      <c r="S57" s="196">
        <v>38565</v>
      </c>
      <c r="T57">
        <v>3.8090000000000002</v>
      </c>
      <c r="U57">
        <v>0.25750000000000001</v>
      </c>
      <c r="W57">
        <f t="shared" si="4"/>
        <v>-5.699999999999994E-2</v>
      </c>
      <c r="X57">
        <f t="shared" si="0"/>
        <v>0</v>
      </c>
      <c r="Y57" s="350">
        <f t="shared" si="5"/>
        <v>0</v>
      </c>
      <c r="AA57" s="196">
        <v>38565</v>
      </c>
      <c r="AB57">
        <v>3.7520000000000002</v>
      </c>
      <c r="AC57">
        <v>0.25750000000000001</v>
      </c>
      <c r="AI57" s="196">
        <v>38534</v>
      </c>
      <c r="AJ57">
        <v>-186.97680008</v>
      </c>
      <c r="AL57" s="196">
        <v>38534</v>
      </c>
      <c r="AM57">
        <v>-160.26582864</v>
      </c>
      <c r="AO57" s="196">
        <v>37622</v>
      </c>
      <c r="AP57">
        <v>23.730024877986001</v>
      </c>
    </row>
    <row r="58" spans="1:42" x14ac:dyDescent="0.2">
      <c r="A58" s="196">
        <v>38596</v>
      </c>
      <c r="B58">
        <v>-0.44</v>
      </c>
      <c r="C58" s="196">
        <v>38596</v>
      </c>
      <c r="D58">
        <v>1.5689508626977198</v>
      </c>
      <c r="F58" s="350">
        <f t="shared" si="1"/>
        <v>5.0010442585535104</v>
      </c>
      <c r="G58">
        <f t="shared" si="2"/>
        <v>2.9313738922402965E-3</v>
      </c>
      <c r="H58" s="196">
        <v>38596</v>
      </c>
      <c r="I58">
        <v>-0.44</v>
      </c>
      <c r="J58" s="196">
        <v>38596</v>
      </c>
      <c r="K58">
        <v>1.5718822365899601</v>
      </c>
      <c r="L58" s="350">
        <f t="shared" si="3"/>
        <v>4.925466206690837</v>
      </c>
      <c r="S58" s="196">
        <v>38596</v>
      </c>
      <c r="T58">
        <v>3.8030000000000004</v>
      </c>
      <c r="U58">
        <v>0.25750000000000001</v>
      </c>
      <c r="W58">
        <f t="shared" si="4"/>
        <v>-5.7000000000000384E-2</v>
      </c>
      <c r="X58">
        <f t="shared" si="0"/>
        <v>0</v>
      </c>
      <c r="Y58" s="350">
        <f t="shared" si="5"/>
        <v>0</v>
      </c>
      <c r="AA58" s="196">
        <v>38596</v>
      </c>
      <c r="AB58">
        <v>3.746</v>
      </c>
      <c r="AC58">
        <v>0.25750000000000001</v>
      </c>
      <c r="AI58" s="196">
        <v>38565</v>
      </c>
      <c r="AJ58">
        <v>-186.09493810999999</v>
      </c>
      <c r="AL58" s="196">
        <v>38565</v>
      </c>
      <c r="AM58">
        <v>-159.50994693999999</v>
      </c>
      <c r="AO58" s="196">
        <v>37653</v>
      </c>
      <c r="AP58">
        <v>21.369633662496003</v>
      </c>
    </row>
    <row r="59" spans="1:42" x14ac:dyDescent="0.2">
      <c r="A59" s="196">
        <v>38626</v>
      </c>
      <c r="B59">
        <v>-0.44</v>
      </c>
      <c r="C59" s="196">
        <v>38626</v>
      </c>
      <c r="D59">
        <v>1.5689534111956398</v>
      </c>
      <c r="F59" s="350">
        <f t="shared" si="1"/>
        <v>5.0010523819123698</v>
      </c>
      <c r="G59">
        <f t="shared" si="2"/>
        <v>2.9615394743403023E-3</v>
      </c>
      <c r="H59" s="196">
        <v>38626</v>
      </c>
      <c r="I59">
        <v>-0.44</v>
      </c>
      <c r="J59" s="196">
        <v>38626</v>
      </c>
      <c r="K59">
        <v>1.5719149506699801</v>
      </c>
      <c r="L59" s="350">
        <f t="shared" si="3"/>
        <v>4.9255687157031991</v>
      </c>
      <c r="S59" s="196">
        <v>38626</v>
      </c>
      <c r="T59">
        <v>3.8030000000000004</v>
      </c>
      <c r="U59">
        <v>0.25750000000000001</v>
      </c>
      <c r="W59">
        <f t="shared" si="4"/>
        <v>-5.7000000000000384E-2</v>
      </c>
      <c r="X59">
        <f t="shared" si="0"/>
        <v>0</v>
      </c>
      <c r="Y59" s="350">
        <f t="shared" si="5"/>
        <v>0</v>
      </c>
      <c r="AA59" s="196">
        <v>38626</v>
      </c>
      <c r="AB59">
        <v>3.746</v>
      </c>
      <c r="AC59">
        <v>0.25750000000000001</v>
      </c>
      <c r="AI59" s="196">
        <v>38596</v>
      </c>
      <c r="AJ59">
        <v>-179.23205202</v>
      </c>
      <c r="AL59" s="196">
        <v>38596</v>
      </c>
      <c r="AM59">
        <v>-153.62747315999999</v>
      </c>
      <c r="AO59" s="196">
        <v>37681</v>
      </c>
      <c r="AP59">
        <v>23.593469986394002</v>
      </c>
    </row>
    <row r="60" spans="1:42" x14ac:dyDescent="0.2">
      <c r="A60" s="196">
        <v>38657</v>
      </c>
      <c r="B60">
        <v>-0.39500000000000002</v>
      </c>
      <c r="C60" s="196">
        <v>38657</v>
      </c>
      <c r="D60">
        <v>1.56907849343463</v>
      </c>
      <c r="F60" s="350">
        <f t="shared" si="1"/>
        <v>5.2884805381454107</v>
      </c>
      <c r="G60">
        <f t="shared" si="2"/>
        <v>2.9920284755597937E-3</v>
      </c>
      <c r="H60" s="196">
        <v>38657</v>
      </c>
      <c r="I60">
        <v>-0.39500000000000002</v>
      </c>
      <c r="J60" s="196">
        <v>38657</v>
      </c>
      <c r="K60">
        <v>1.5720705219101898</v>
      </c>
      <c r="L60" s="350">
        <f t="shared" si="3"/>
        <v>5.2151230140254778</v>
      </c>
      <c r="S60" s="196">
        <v>38657</v>
      </c>
      <c r="T60">
        <v>3.9510000000000001</v>
      </c>
      <c r="U60">
        <v>0.25750000000000001</v>
      </c>
      <c r="W60">
        <f t="shared" si="4"/>
        <v>-5.600000000000005E-2</v>
      </c>
      <c r="X60">
        <f t="shared" si="0"/>
        <v>0</v>
      </c>
      <c r="Y60" s="350">
        <f t="shared" si="5"/>
        <v>0</v>
      </c>
      <c r="AA60" s="196">
        <v>38657</v>
      </c>
      <c r="AB60">
        <v>3.895</v>
      </c>
      <c r="AC60">
        <v>0.25750000000000001</v>
      </c>
      <c r="AI60" s="196">
        <v>38626</v>
      </c>
      <c r="AJ60">
        <v>-184.34045448000001</v>
      </c>
      <c r="AL60" s="196">
        <v>38626</v>
      </c>
      <c r="AM60">
        <v>-158.00610384000001</v>
      </c>
      <c r="AO60" s="196">
        <v>37712</v>
      </c>
      <c r="AP60">
        <v>22.759984163350001</v>
      </c>
    </row>
    <row r="61" spans="1:42" x14ac:dyDescent="0.2">
      <c r="A61" s="196">
        <v>38687</v>
      </c>
      <c r="B61">
        <v>-0.39500000000000002</v>
      </c>
      <c r="C61" s="196">
        <v>38687</v>
      </c>
      <c r="D61">
        <v>1.56920758260148</v>
      </c>
      <c r="F61" s="350">
        <f t="shared" si="1"/>
        <v>5.5149885089381865</v>
      </c>
      <c r="G61">
        <f t="shared" si="2"/>
        <v>3.0206468549300869E-3</v>
      </c>
      <c r="H61" s="196">
        <v>38687</v>
      </c>
      <c r="I61">
        <v>-0.39500000000000002</v>
      </c>
      <c r="J61" s="196">
        <v>38687</v>
      </c>
      <c r="K61">
        <v>1.5722282294564101</v>
      </c>
      <c r="L61" s="350">
        <f t="shared" si="3"/>
        <v>5.4421542496083717</v>
      </c>
      <c r="S61" s="196">
        <v>38687</v>
      </c>
      <c r="T61">
        <v>4.1029999999999998</v>
      </c>
      <c r="U61">
        <v>0.25750000000000001</v>
      </c>
      <c r="W61">
        <f t="shared" si="4"/>
        <v>-5.5999999999999162E-2</v>
      </c>
      <c r="X61">
        <f t="shared" si="0"/>
        <v>0</v>
      </c>
      <c r="Y61" s="350">
        <f t="shared" si="5"/>
        <v>0</v>
      </c>
      <c r="AA61" s="196">
        <v>38687</v>
      </c>
      <c r="AB61">
        <v>4.0470000000000006</v>
      </c>
      <c r="AC61">
        <v>0.25750000000000001</v>
      </c>
      <c r="AI61" s="196">
        <v>38657</v>
      </c>
      <c r="AJ61">
        <v>-177.52194306999999</v>
      </c>
      <c r="AL61" s="196">
        <v>38657</v>
      </c>
      <c r="AM61">
        <v>-139.48152671</v>
      </c>
      <c r="AO61" s="196">
        <v>37742</v>
      </c>
      <c r="AP61">
        <v>23.444257671268002</v>
      </c>
    </row>
    <row r="62" spans="1:42" x14ac:dyDescent="0.2">
      <c r="A62" s="196">
        <v>38718</v>
      </c>
      <c r="B62">
        <v>-0.39500000000000002</v>
      </c>
      <c r="C62" s="196">
        <v>38718</v>
      </c>
      <c r="D62">
        <v>1.5694809138830699</v>
      </c>
      <c r="F62" s="350">
        <f t="shared" si="1"/>
        <v>5.6014850218630095</v>
      </c>
      <c r="G62">
        <f t="shared" si="2"/>
        <v>3.0179535715000316E-3</v>
      </c>
      <c r="H62" s="196">
        <v>38718</v>
      </c>
      <c r="I62">
        <v>-0.39500000000000002</v>
      </c>
      <c r="J62" s="196">
        <v>38718</v>
      </c>
      <c r="K62">
        <v>1.5724988674545699</v>
      </c>
      <c r="L62" s="350">
        <f t="shared" si="3"/>
        <v>5.5362436147086038</v>
      </c>
      <c r="S62" s="196">
        <v>38718</v>
      </c>
      <c r="T62">
        <v>4.1604999999999999</v>
      </c>
      <c r="U62">
        <v>0.25750000000000001</v>
      </c>
      <c r="W62">
        <f t="shared" si="4"/>
        <v>-5.0999999999999268E-2</v>
      </c>
      <c r="X62">
        <f t="shared" si="0"/>
        <v>0</v>
      </c>
      <c r="Y62" s="350">
        <f t="shared" si="5"/>
        <v>0</v>
      </c>
      <c r="AA62" s="196">
        <v>38718</v>
      </c>
      <c r="AB62">
        <v>4.1095000000000006</v>
      </c>
      <c r="AC62">
        <v>0.25750000000000001</v>
      </c>
      <c r="AI62" s="196">
        <v>38687</v>
      </c>
      <c r="AJ62">
        <v>-182.56137928000001</v>
      </c>
      <c r="AL62" s="196">
        <v>38687</v>
      </c>
      <c r="AM62">
        <v>-143.44108371999999</v>
      </c>
      <c r="AO62" s="196">
        <v>37773</v>
      </c>
      <c r="AP62">
        <v>22.611633891280004</v>
      </c>
    </row>
    <row r="63" spans="1:42" x14ac:dyDescent="0.2">
      <c r="A63" s="196">
        <v>38749</v>
      </c>
      <c r="B63">
        <v>-0.39500000000000002</v>
      </c>
      <c r="C63" s="196">
        <v>38749</v>
      </c>
      <c r="D63">
        <v>1.57001223873161</v>
      </c>
      <c r="F63" s="350">
        <f t="shared" si="1"/>
        <v>5.473917991248074</v>
      </c>
      <c r="G63">
        <f t="shared" si="2"/>
        <v>2.9548940014298974E-3</v>
      </c>
      <c r="H63" s="196">
        <v>38749</v>
      </c>
      <c r="I63">
        <v>-0.39500000000000002</v>
      </c>
      <c r="J63" s="196">
        <v>38749</v>
      </c>
      <c r="K63">
        <v>1.5729671327330399</v>
      </c>
      <c r="L63" s="350">
        <f t="shared" si="3"/>
        <v>5.4066943431025178</v>
      </c>
      <c r="S63" s="196">
        <v>38749</v>
      </c>
      <c r="T63">
        <v>4.0735000000000001</v>
      </c>
      <c r="U63">
        <v>0.25</v>
      </c>
      <c r="W63">
        <f t="shared" si="4"/>
        <v>-5.1999999999999602E-2</v>
      </c>
      <c r="X63">
        <f t="shared" si="0"/>
        <v>0</v>
      </c>
      <c r="Y63" s="350">
        <f t="shared" si="5"/>
        <v>0</v>
      </c>
      <c r="AA63" s="196">
        <v>38749</v>
      </c>
      <c r="AB63">
        <v>4.0215000000000005</v>
      </c>
      <c r="AC63">
        <v>0.25</v>
      </c>
      <c r="AI63" s="196">
        <v>38718</v>
      </c>
      <c r="AJ63">
        <v>-181.64817285999999</v>
      </c>
      <c r="AL63" s="196">
        <v>38718</v>
      </c>
      <c r="AM63">
        <v>-116.77382541</v>
      </c>
      <c r="AO63" s="196">
        <v>37803</v>
      </c>
      <c r="AP63">
        <v>23.287054795550002</v>
      </c>
    </row>
    <row r="64" spans="1:42" x14ac:dyDescent="0.2">
      <c r="A64" s="196">
        <v>38777</v>
      </c>
      <c r="B64">
        <v>-0.39500000000000002</v>
      </c>
      <c r="C64" s="196">
        <v>38777</v>
      </c>
      <c r="D64">
        <v>1.5705123793764899</v>
      </c>
      <c r="F64" s="350">
        <f t="shared" si="1"/>
        <v>5.2687521485144737</v>
      </c>
      <c r="G64">
        <f t="shared" si="2"/>
        <v>2.8940421969798624E-3</v>
      </c>
      <c r="H64" s="196">
        <v>38777</v>
      </c>
      <c r="I64">
        <v>-0.39500000000000002</v>
      </c>
      <c r="J64" s="196">
        <v>38777</v>
      </c>
      <c r="K64">
        <v>1.5734064215734698</v>
      </c>
      <c r="L64" s="350">
        <f t="shared" si="3"/>
        <v>5.20091340671725</v>
      </c>
      <c r="S64" s="196">
        <v>38777</v>
      </c>
      <c r="T64">
        <v>3.9345000000000003</v>
      </c>
      <c r="U64">
        <v>0.24249999999999999</v>
      </c>
      <c r="W64">
        <f t="shared" si="4"/>
        <v>-5.200000000000049E-2</v>
      </c>
      <c r="X64">
        <f t="shared" si="0"/>
        <v>0</v>
      </c>
      <c r="Y64" s="350">
        <f t="shared" si="5"/>
        <v>0</v>
      </c>
      <c r="AA64" s="196">
        <v>38777</v>
      </c>
      <c r="AB64">
        <v>3.8824999999999998</v>
      </c>
      <c r="AC64">
        <v>0.24249999999999999</v>
      </c>
      <c r="AI64" s="196">
        <v>38749</v>
      </c>
      <c r="AJ64">
        <v>-163.23912107999999</v>
      </c>
      <c r="AL64" s="196">
        <v>38749</v>
      </c>
      <c r="AM64">
        <v>-104.93943498</v>
      </c>
      <c r="AO64" s="196">
        <v>37834</v>
      </c>
      <c r="AP64">
        <v>23.204160406587999</v>
      </c>
    </row>
    <row r="65" spans="1:42" x14ac:dyDescent="0.2">
      <c r="A65" s="196">
        <v>38808</v>
      </c>
      <c r="B65">
        <v>-0.44</v>
      </c>
      <c r="C65" s="196">
        <v>38808</v>
      </c>
      <c r="D65">
        <v>1.5710885219658799</v>
      </c>
      <c r="F65" s="350">
        <f t="shared" si="1"/>
        <v>4.9743532169164686</v>
      </c>
      <c r="G65">
        <f t="shared" si="2"/>
        <v>2.8223533704099246E-3</v>
      </c>
      <c r="H65" s="196">
        <v>38808</v>
      </c>
      <c r="I65">
        <v>-0.44</v>
      </c>
      <c r="J65" s="196">
        <v>38808</v>
      </c>
      <c r="K65">
        <v>1.5739108753362898</v>
      </c>
      <c r="L65" s="350">
        <f t="shared" si="3"/>
        <v>4.9057167709992546</v>
      </c>
      <c r="S65" s="196">
        <v>38808</v>
      </c>
      <c r="T65">
        <v>3.7805</v>
      </c>
      <c r="U65">
        <v>0.24</v>
      </c>
      <c r="W65">
        <f t="shared" si="4"/>
        <v>-5.1999999999999602E-2</v>
      </c>
      <c r="X65">
        <f t="shared" si="0"/>
        <v>0</v>
      </c>
      <c r="Y65" s="350">
        <f t="shared" si="5"/>
        <v>0</v>
      </c>
      <c r="AA65" s="196">
        <v>38808</v>
      </c>
      <c r="AB65">
        <v>3.7285000000000004</v>
      </c>
      <c r="AC65">
        <v>0.24</v>
      </c>
      <c r="AI65" s="196">
        <v>38777</v>
      </c>
      <c r="AJ65">
        <v>-179.89384140000001</v>
      </c>
      <c r="AL65" s="196">
        <v>38777</v>
      </c>
      <c r="AM65">
        <v>-115.6460409</v>
      </c>
      <c r="AO65" s="196">
        <v>37865</v>
      </c>
      <c r="AP65">
        <v>22.373490611080001</v>
      </c>
    </row>
    <row r="66" spans="1:42" x14ac:dyDescent="0.2">
      <c r="A66" s="196">
        <v>38838</v>
      </c>
      <c r="B66">
        <v>-0.44</v>
      </c>
      <c r="C66" s="196">
        <v>38838</v>
      </c>
      <c r="D66">
        <v>1.5716685209534598</v>
      </c>
      <c r="F66" s="350">
        <f t="shared" si="1"/>
        <v>4.9836378702645172</v>
      </c>
      <c r="G66">
        <f t="shared" si="2"/>
        <v>2.7486521553501397E-3</v>
      </c>
      <c r="H66" s="196">
        <v>38838</v>
      </c>
      <c r="I66">
        <v>-0.44</v>
      </c>
      <c r="J66" s="196">
        <v>38838</v>
      </c>
      <c r="K66">
        <v>1.5744171731088099</v>
      </c>
      <c r="L66" s="350">
        <f t="shared" si="3"/>
        <v>4.9147561452983215</v>
      </c>
      <c r="S66" s="196">
        <v>38838</v>
      </c>
      <c r="T66">
        <v>3.7855000000000003</v>
      </c>
      <c r="U66">
        <v>0.23749999999999999</v>
      </c>
      <c r="W66">
        <f t="shared" si="4"/>
        <v>-5.2000000000000046E-2</v>
      </c>
      <c r="X66">
        <f t="shared" si="0"/>
        <v>0</v>
      </c>
      <c r="Y66" s="350">
        <f t="shared" si="5"/>
        <v>0</v>
      </c>
      <c r="AA66" s="196">
        <v>38838</v>
      </c>
      <c r="AB66">
        <v>3.7335000000000003</v>
      </c>
      <c r="AC66">
        <v>0.23749999999999999</v>
      </c>
      <c r="AI66" s="196">
        <v>38808</v>
      </c>
      <c r="AJ66">
        <v>-173.19075129999999</v>
      </c>
      <c r="AL66" s="196">
        <v>38808</v>
      </c>
      <c r="AM66">
        <v>-111.33691156</v>
      </c>
      <c r="AO66" s="196">
        <v>37895</v>
      </c>
      <c r="AP66">
        <v>23.035251717491999</v>
      </c>
    </row>
    <row r="67" spans="1:42" x14ac:dyDescent="0.2">
      <c r="A67" s="196">
        <v>38869</v>
      </c>
      <c r="B67">
        <v>-0.44</v>
      </c>
      <c r="C67" s="196">
        <v>38869</v>
      </c>
      <c r="D67">
        <v>1.5722910588195598</v>
      </c>
      <c r="F67" s="350">
        <f t="shared" si="1"/>
        <v>5.0422411677825449</v>
      </c>
      <c r="G67">
        <f t="shared" si="2"/>
        <v>2.6680190395302894E-3</v>
      </c>
      <c r="H67" s="196">
        <v>38869</v>
      </c>
      <c r="I67">
        <v>-0.44</v>
      </c>
      <c r="J67" s="196">
        <v>38869</v>
      </c>
      <c r="K67">
        <v>1.5749590778590901</v>
      </c>
      <c r="L67" s="350">
        <f t="shared" si="3"/>
        <v>4.9731731471007787</v>
      </c>
      <c r="S67" s="196">
        <v>38869</v>
      </c>
      <c r="T67">
        <v>3.8235000000000001</v>
      </c>
      <c r="U67">
        <v>0.23749999999999999</v>
      </c>
      <c r="W67">
        <f t="shared" si="4"/>
        <v>-5.2000000000000046E-2</v>
      </c>
      <c r="X67">
        <f t="shared" si="0"/>
        <v>0</v>
      </c>
      <c r="Y67" s="350">
        <f t="shared" si="5"/>
        <v>0</v>
      </c>
      <c r="AA67" s="196">
        <v>38869</v>
      </c>
      <c r="AB67">
        <v>3.7715000000000001</v>
      </c>
      <c r="AC67">
        <v>0.23749999999999999</v>
      </c>
      <c r="AI67" s="196">
        <v>38838</v>
      </c>
      <c r="AJ67">
        <v>-178.05844266</v>
      </c>
      <c r="AL67" s="196">
        <v>38838</v>
      </c>
      <c r="AM67">
        <v>-114.46614171</v>
      </c>
      <c r="AO67" s="196">
        <v>37926</v>
      </c>
      <c r="AP67">
        <v>22.207545758929999</v>
      </c>
    </row>
    <row r="68" spans="1:42" x14ac:dyDescent="0.2">
      <c r="A68" s="196">
        <v>38899</v>
      </c>
      <c r="B68">
        <v>-0.44</v>
      </c>
      <c r="C68" s="196">
        <v>38899</v>
      </c>
      <c r="D68">
        <v>1.5729159879967998</v>
      </c>
      <c r="F68" s="350">
        <f t="shared" si="1"/>
        <v>5.111332919624199</v>
      </c>
      <c r="G68">
        <f t="shared" si="2"/>
        <v>2.5856499853000869E-3</v>
      </c>
      <c r="H68" s="196">
        <v>38899</v>
      </c>
      <c r="I68">
        <v>-0.44</v>
      </c>
      <c r="J68" s="196">
        <v>38899</v>
      </c>
      <c r="K68">
        <v>1.5755016379820999</v>
      </c>
      <c r="L68" s="350">
        <f t="shared" si="3"/>
        <v>5.0420842880819219</v>
      </c>
      <c r="S68" s="196">
        <v>38899</v>
      </c>
      <c r="T68">
        <v>3.8685</v>
      </c>
      <c r="U68">
        <v>0.23749999999999999</v>
      </c>
      <c r="W68">
        <f t="shared" si="4"/>
        <v>-5.2000000000000046E-2</v>
      </c>
      <c r="X68">
        <f t="shared" si="0"/>
        <v>0</v>
      </c>
      <c r="Y68" s="350">
        <f t="shared" si="5"/>
        <v>0</v>
      </c>
      <c r="AA68" s="196">
        <v>38899</v>
      </c>
      <c r="AB68">
        <v>3.8165</v>
      </c>
      <c r="AC68">
        <v>0.23749999999999999</v>
      </c>
      <c r="AI68" s="196">
        <v>38869</v>
      </c>
      <c r="AJ68">
        <v>-171.40414928000001</v>
      </c>
      <c r="AL68" s="196">
        <v>38869</v>
      </c>
      <c r="AM68">
        <v>-110.18838168000001</v>
      </c>
      <c r="AO68" s="196">
        <v>37956</v>
      </c>
      <c r="AP68">
        <v>22.865119901974001</v>
      </c>
    </row>
    <row r="69" spans="1:42" x14ac:dyDescent="0.2">
      <c r="A69" s="196">
        <v>38930</v>
      </c>
      <c r="B69">
        <v>-0.44</v>
      </c>
      <c r="C69" s="196">
        <v>38930</v>
      </c>
      <c r="D69">
        <v>1.5735849883263799</v>
      </c>
      <c r="F69" s="350">
        <f t="shared" si="1"/>
        <v>5.1701827789552368</v>
      </c>
      <c r="G69">
        <f t="shared" si="2"/>
        <v>2.496046919899797E-3</v>
      </c>
      <c r="H69" s="196">
        <v>38930</v>
      </c>
      <c r="I69">
        <v>-0.44</v>
      </c>
      <c r="J69" s="196">
        <v>38930</v>
      </c>
      <c r="K69">
        <v>1.5760810352462797</v>
      </c>
      <c r="L69" s="350">
        <f t="shared" si="3"/>
        <v>5.1007043179209663</v>
      </c>
      <c r="S69" s="196">
        <v>38930</v>
      </c>
      <c r="T69">
        <v>3.9065000000000003</v>
      </c>
      <c r="U69">
        <v>0.23749999999999999</v>
      </c>
      <c r="W69">
        <f t="shared" si="4"/>
        <v>-5.2000000000000046E-2</v>
      </c>
      <c r="X69">
        <f t="shared" si="0"/>
        <v>0</v>
      </c>
      <c r="Y69" s="350">
        <f t="shared" si="5"/>
        <v>0</v>
      </c>
      <c r="AA69" s="196">
        <v>38930</v>
      </c>
      <c r="AB69">
        <v>3.8545000000000003</v>
      </c>
      <c r="AC69">
        <v>0.23749999999999999</v>
      </c>
      <c r="AI69" s="196">
        <v>38899</v>
      </c>
      <c r="AJ69">
        <v>-176.20213996000001</v>
      </c>
      <c r="AL69" s="196">
        <v>38899</v>
      </c>
      <c r="AM69">
        <v>-113.27280426</v>
      </c>
      <c r="AO69" s="196">
        <v>37987</v>
      </c>
      <c r="AP69">
        <v>7.9370017693540005</v>
      </c>
    </row>
    <row r="70" spans="1:42" x14ac:dyDescent="0.2">
      <c r="A70" s="196">
        <v>38961</v>
      </c>
      <c r="B70">
        <v>-0.44</v>
      </c>
      <c r="C70" s="196">
        <v>38961</v>
      </c>
      <c r="D70">
        <v>1.5742776290448799</v>
      </c>
      <c r="F70" s="350">
        <f t="shared" si="1"/>
        <v>5.1635057620731093</v>
      </c>
      <c r="G70">
        <f t="shared" si="2"/>
        <v>2.4018746229299559E-3</v>
      </c>
      <c r="H70" s="196">
        <v>38961</v>
      </c>
      <c r="I70">
        <v>-0.44</v>
      </c>
      <c r="J70" s="196">
        <v>38961</v>
      </c>
      <c r="K70">
        <v>1.5766795036678098</v>
      </c>
      <c r="L70" s="350">
        <f t="shared" si="3"/>
        <v>5.0936747321959492</v>
      </c>
      <c r="S70" s="196">
        <v>38961</v>
      </c>
      <c r="T70">
        <v>3.9005000000000001</v>
      </c>
      <c r="U70">
        <v>0.23749999999999999</v>
      </c>
      <c r="W70">
        <f t="shared" si="4"/>
        <v>-5.2000000000000046E-2</v>
      </c>
      <c r="X70">
        <f t="shared" si="0"/>
        <v>0</v>
      </c>
      <c r="Y70" s="350">
        <f t="shared" si="5"/>
        <v>0</v>
      </c>
      <c r="AA70" s="196">
        <v>38961</v>
      </c>
      <c r="AB70">
        <v>3.8485</v>
      </c>
      <c r="AC70">
        <v>0.23749999999999999</v>
      </c>
      <c r="AI70" s="196">
        <v>38930</v>
      </c>
      <c r="AJ70">
        <v>-175.25110414</v>
      </c>
      <c r="AL70" s="196">
        <v>38930</v>
      </c>
      <c r="AM70">
        <v>-112.66142408</v>
      </c>
      <c r="AO70" s="196">
        <v>38018</v>
      </c>
      <c r="AP70">
        <v>7.3961115117820002</v>
      </c>
    </row>
    <row r="71" spans="1:42" x14ac:dyDescent="0.2">
      <c r="A71" s="196">
        <v>38991</v>
      </c>
      <c r="B71">
        <v>-0.44</v>
      </c>
      <c r="C71" s="196">
        <v>38991</v>
      </c>
      <c r="D71">
        <v>1.5749704545922001</v>
      </c>
      <c r="F71" s="350">
        <f t="shared" si="1"/>
        <v>5.1657781749180218</v>
      </c>
      <c r="G71">
        <f t="shared" si="2"/>
        <v>2.3063823556797036E-3</v>
      </c>
      <c r="H71" s="196">
        <v>38991</v>
      </c>
      <c r="I71">
        <v>-0.44</v>
      </c>
      <c r="J71" s="196">
        <v>38991</v>
      </c>
      <c r="K71">
        <v>1.5772768369478798</v>
      </c>
      <c r="L71" s="350">
        <f t="shared" si="3"/>
        <v>5.0956044975213155</v>
      </c>
      <c r="S71" s="196">
        <v>38991</v>
      </c>
      <c r="T71">
        <v>3.9005000000000001</v>
      </c>
      <c r="U71">
        <v>0.23749999999999999</v>
      </c>
      <c r="W71">
        <f t="shared" si="4"/>
        <v>-5.2000000000000046E-2</v>
      </c>
      <c r="X71">
        <f t="shared" si="0"/>
        <v>0</v>
      </c>
      <c r="Y71" s="350">
        <f t="shared" si="5"/>
        <v>0</v>
      </c>
      <c r="AA71" s="196">
        <v>38991</v>
      </c>
      <c r="AB71">
        <v>3.8485</v>
      </c>
      <c r="AC71">
        <v>0.23749999999999999</v>
      </c>
      <c r="AI71" s="196">
        <v>38961</v>
      </c>
      <c r="AJ71">
        <v>-168.67266359999999</v>
      </c>
      <c r="AL71" s="196">
        <v>38961</v>
      </c>
      <c r="AM71">
        <v>-108.4324266</v>
      </c>
      <c r="AO71" s="196">
        <v>38047</v>
      </c>
      <c r="AP71">
        <v>7.8768954021380004</v>
      </c>
    </row>
    <row r="72" spans="1:42" x14ac:dyDescent="0.2">
      <c r="A72" s="196">
        <v>39022</v>
      </c>
      <c r="B72">
        <v>-0.4</v>
      </c>
      <c r="C72" s="196">
        <v>39022</v>
      </c>
      <c r="D72">
        <v>1.5754829746144898</v>
      </c>
      <c r="F72" s="350">
        <f t="shared" si="1"/>
        <v>5.44819387111297</v>
      </c>
      <c r="G72">
        <f t="shared" si="2"/>
        <v>2.1704246916700587E-3</v>
      </c>
      <c r="H72" s="196">
        <v>39022</v>
      </c>
      <c r="I72">
        <v>-0.4</v>
      </c>
      <c r="J72" s="196">
        <v>39022</v>
      </c>
      <c r="K72">
        <v>1.5776533993061599</v>
      </c>
      <c r="L72" s="350">
        <f t="shared" si="3"/>
        <v>5.3794377777140845</v>
      </c>
      <c r="S72" s="196">
        <v>39022</v>
      </c>
      <c r="T72">
        <v>4.0484999999999998</v>
      </c>
      <c r="U72">
        <v>0.23749999999999999</v>
      </c>
      <c r="W72">
        <f t="shared" si="4"/>
        <v>-5.0999999999999712E-2</v>
      </c>
      <c r="X72">
        <f t="shared" si="0"/>
        <v>0</v>
      </c>
      <c r="Y72" s="350">
        <f t="shared" si="5"/>
        <v>0</v>
      </c>
      <c r="AA72" s="196">
        <v>39022</v>
      </c>
      <c r="AB72">
        <v>3.9975000000000001</v>
      </c>
      <c r="AC72">
        <v>0.23749999999999999</v>
      </c>
      <c r="AI72" s="196">
        <v>38991</v>
      </c>
      <c r="AJ72">
        <v>-173.36529490000001</v>
      </c>
      <c r="AL72" s="196">
        <v>38991</v>
      </c>
      <c r="AM72">
        <v>-111.44911814</v>
      </c>
      <c r="AO72" s="196">
        <v>38078</v>
      </c>
      <c r="AP72">
        <v>7.5920226248020004</v>
      </c>
    </row>
    <row r="73" spans="1:42" x14ac:dyDescent="0.2">
      <c r="A73" s="196">
        <v>39052</v>
      </c>
      <c r="B73">
        <v>-0.4</v>
      </c>
      <c r="C73" s="196">
        <v>39052</v>
      </c>
      <c r="D73">
        <v>1.5754856566031501</v>
      </c>
      <c r="F73" s="350">
        <f t="shared" si="1"/>
        <v>5.6751805002959763</v>
      </c>
      <c r="G73">
        <f t="shared" si="2"/>
        <v>2.1651807563198844E-3</v>
      </c>
      <c r="H73" s="196">
        <v>39052</v>
      </c>
      <c r="I73">
        <v>-0.4</v>
      </c>
      <c r="J73" s="196">
        <v>39052</v>
      </c>
      <c r="K73">
        <v>1.57765083735947</v>
      </c>
      <c r="L73" s="350">
        <f t="shared" si="3"/>
        <v>5.60671833028705</v>
      </c>
      <c r="S73" s="196">
        <v>39052</v>
      </c>
      <c r="T73">
        <v>4.2004999999999999</v>
      </c>
      <c r="U73">
        <v>0.24</v>
      </c>
      <c r="W73">
        <f t="shared" si="4"/>
        <v>-5.0999999999999268E-2</v>
      </c>
      <c r="X73">
        <f t="shared" si="0"/>
        <v>0</v>
      </c>
      <c r="Y73" s="350">
        <f t="shared" si="5"/>
        <v>0</v>
      </c>
      <c r="AA73" s="196">
        <v>39052</v>
      </c>
      <c r="AB73">
        <v>4.1495000000000006</v>
      </c>
      <c r="AC73">
        <v>0.24</v>
      </c>
      <c r="AI73" s="196">
        <v>39022</v>
      </c>
      <c r="AJ73">
        <v>-166.87365366</v>
      </c>
      <c r="AL73" s="196">
        <v>39022</v>
      </c>
      <c r="AM73">
        <v>-107.27592021</v>
      </c>
      <c r="AO73" s="196">
        <v>38108</v>
      </c>
      <c r="AP73">
        <v>7.8138330173260009</v>
      </c>
    </row>
    <row r="74" spans="1:42" x14ac:dyDescent="0.2">
      <c r="A74" s="196">
        <v>39083</v>
      </c>
      <c r="B74">
        <v>-0.4</v>
      </c>
      <c r="C74" s="196">
        <v>39083</v>
      </c>
      <c r="D74">
        <v>1.5754868758573899</v>
      </c>
      <c r="F74" s="350">
        <f t="shared" si="1"/>
        <v>5.764781285777679</v>
      </c>
      <c r="G74">
        <f t="shared" si="2"/>
        <v>2.1586615988000712E-3</v>
      </c>
      <c r="H74" s="196">
        <v>39083</v>
      </c>
      <c r="I74">
        <v>-0.4</v>
      </c>
      <c r="J74" s="196">
        <v>39083</v>
      </c>
      <c r="K74">
        <v>1.57764553745619</v>
      </c>
      <c r="L74" s="350">
        <f t="shared" si="3"/>
        <v>5.7038952459647989</v>
      </c>
      <c r="S74" s="196">
        <v>39083</v>
      </c>
      <c r="T74">
        <v>4.2605000000000004</v>
      </c>
      <c r="U74">
        <v>0.24249999999999999</v>
      </c>
      <c r="W74">
        <f t="shared" si="4"/>
        <v>-4.6000000000000263E-2</v>
      </c>
      <c r="X74">
        <f t="shared" si="0"/>
        <v>0</v>
      </c>
      <c r="Y74" s="350">
        <f t="shared" si="5"/>
        <v>0</v>
      </c>
      <c r="AA74" s="196">
        <v>39083</v>
      </c>
      <c r="AB74">
        <v>4.2145000000000001</v>
      </c>
      <c r="AC74">
        <v>0.24249999999999999</v>
      </c>
      <c r="AI74" s="196">
        <v>39052</v>
      </c>
      <c r="AJ74">
        <v>-171.63525007999999</v>
      </c>
      <c r="AL74" s="196">
        <v>39052</v>
      </c>
      <c r="AM74">
        <v>-110.33694647999999</v>
      </c>
      <c r="AO74" s="196">
        <v>38139</v>
      </c>
      <c r="AP74">
        <v>7.5300462576639999</v>
      </c>
    </row>
    <row r="75" spans="1:42" x14ac:dyDescent="0.2">
      <c r="A75" s="196">
        <v>39114</v>
      </c>
      <c r="B75">
        <v>-0.4</v>
      </c>
      <c r="C75" s="196">
        <v>39114</v>
      </c>
      <c r="D75">
        <v>1.57548651795996</v>
      </c>
      <c r="F75" s="350">
        <f t="shared" si="1"/>
        <v>5.6348652351362469</v>
      </c>
      <c r="G75">
        <f t="shared" si="2"/>
        <v>2.1510243011499952E-3</v>
      </c>
      <c r="H75" s="196">
        <v>39114</v>
      </c>
      <c r="I75">
        <v>-0.4</v>
      </c>
      <c r="J75" s="196">
        <v>39114</v>
      </c>
      <c r="K75">
        <v>1.57763754226111</v>
      </c>
      <c r="L75" s="350">
        <f t="shared" si="3"/>
        <v>5.5722789133809263</v>
      </c>
      <c r="S75" s="196">
        <v>39114</v>
      </c>
      <c r="T75">
        <v>4.1734999999999998</v>
      </c>
      <c r="U75">
        <v>0.23749999999999999</v>
      </c>
      <c r="W75">
        <f t="shared" si="4"/>
        <v>-4.6999999999999709E-2</v>
      </c>
      <c r="X75">
        <f t="shared" si="0"/>
        <v>0</v>
      </c>
      <c r="Y75" s="350">
        <f t="shared" si="5"/>
        <v>0</v>
      </c>
      <c r="AA75" s="196">
        <v>39114</v>
      </c>
      <c r="AB75">
        <v>4.1265000000000001</v>
      </c>
      <c r="AC75">
        <v>0.23749999999999999</v>
      </c>
      <c r="AI75" s="196">
        <v>39083</v>
      </c>
      <c r="AJ75">
        <v>-170.80644784</v>
      </c>
      <c r="AL75" s="196">
        <v>39083</v>
      </c>
      <c r="AM75">
        <v>-97.603684479999998</v>
      </c>
      <c r="AO75" s="196">
        <v>38169</v>
      </c>
      <c r="AP75">
        <v>7.7488566167600004</v>
      </c>
    </row>
    <row r="76" spans="1:42" x14ac:dyDescent="0.2">
      <c r="A76" s="196">
        <v>39142</v>
      </c>
      <c r="B76">
        <v>-0.4</v>
      </c>
      <c r="C76" s="196">
        <v>39142</v>
      </c>
      <c r="D76">
        <v>1.5754848394651699</v>
      </c>
      <c r="F76" s="350">
        <f t="shared" si="1"/>
        <v>5.427294521841648</v>
      </c>
      <c r="G76">
        <f t="shared" si="2"/>
        <v>2.1431653110801641E-3</v>
      </c>
      <c r="H76" s="196">
        <v>39142</v>
      </c>
      <c r="I76">
        <v>-0.4</v>
      </c>
      <c r="J76" s="196">
        <v>39142</v>
      </c>
      <c r="K76">
        <v>1.5776280047762501</v>
      </c>
      <c r="L76" s="350">
        <f t="shared" si="3"/>
        <v>5.3643981619314962</v>
      </c>
      <c r="S76" s="196">
        <v>39142</v>
      </c>
      <c r="T76">
        <v>4.0345000000000004</v>
      </c>
      <c r="U76">
        <v>0.23250000000000001</v>
      </c>
      <c r="W76">
        <f t="shared" si="4"/>
        <v>-4.7000000000000597E-2</v>
      </c>
      <c r="X76">
        <f t="shared" ref="X76:X139" si="6">AC76-U76</f>
        <v>0</v>
      </c>
      <c r="Y76" s="350">
        <f t="shared" si="5"/>
        <v>0</v>
      </c>
      <c r="AA76" s="196">
        <v>39142</v>
      </c>
      <c r="AB76">
        <v>3.9874999999999998</v>
      </c>
      <c r="AC76">
        <v>0.23250000000000001</v>
      </c>
      <c r="AI76" s="196">
        <v>39114</v>
      </c>
      <c r="AJ76">
        <v>-153.52710156000001</v>
      </c>
      <c r="AL76" s="196">
        <v>39114</v>
      </c>
      <c r="AM76">
        <v>-87.729772319999995</v>
      </c>
      <c r="AO76" s="196">
        <v>38200</v>
      </c>
      <c r="AP76">
        <v>7.7151208510320002</v>
      </c>
    </row>
    <row r="77" spans="1:42" x14ac:dyDescent="0.2">
      <c r="A77" s="196">
        <v>39173</v>
      </c>
      <c r="B77">
        <v>-0.45</v>
      </c>
      <c r="C77" s="196">
        <v>39173</v>
      </c>
      <c r="D77">
        <v>1.5754814811014499</v>
      </c>
      <c r="F77" s="350">
        <f t="shared" ref="F77:F140" si="7">(B77+T77)*D77/1.055056</f>
        <v>5.1226562579792203</v>
      </c>
      <c r="G77">
        <f t="shared" ref="G77:G140" si="8">K77-D77</f>
        <v>2.13340087685987E-3</v>
      </c>
      <c r="H77" s="196">
        <v>39173</v>
      </c>
      <c r="I77">
        <v>-0.45</v>
      </c>
      <c r="J77" s="196">
        <v>39173</v>
      </c>
      <c r="K77">
        <v>1.5776148819783098</v>
      </c>
      <c r="L77" s="350">
        <f t="shared" ref="L77:L140" si="9">IF(H77="",F77,(I77+AB77)*K77/1.055056)</f>
        <v>5.0593143427207758</v>
      </c>
      <c r="S77" s="196">
        <v>39173</v>
      </c>
      <c r="T77">
        <v>3.8805000000000001</v>
      </c>
      <c r="U77">
        <v>0.23250000000000001</v>
      </c>
      <c r="W77">
        <f t="shared" ref="W77:W140" si="10">AB77-T77</f>
        <v>-4.6999999999999709E-2</v>
      </c>
      <c r="X77">
        <f t="shared" si="6"/>
        <v>0</v>
      </c>
      <c r="Y77" s="350">
        <f t="shared" ref="Y77:Y140" si="11">I77-B77</f>
        <v>0</v>
      </c>
      <c r="AA77" s="196">
        <v>39173</v>
      </c>
      <c r="AB77">
        <v>3.8335000000000004</v>
      </c>
      <c r="AC77">
        <v>0.23250000000000001</v>
      </c>
      <c r="AI77" s="196">
        <v>39142</v>
      </c>
      <c r="AJ77">
        <v>-169.22574997999999</v>
      </c>
      <c r="AL77" s="196">
        <v>39142</v>
      </c>
      <c r="AM77">
        <v>-96.70042857</v>
      </c>
      <c r="AO77" s="196">
        <v>38231</v>
      </c>
      <c r="AP77">
        <v>7.4331420577820007</v>
      </c>
    </row>
    <row r="78" spans="1:42" x14ac:dyDescent="0.2">
      <c r="A78" s="196">
        <v>39203</v>
      </c>
      <c r="B78">
        <v>-0.45</v>
      </c>
      <c r="C78" s="196">
        <v>39203</v>
      </c>
      <c r="D78">
        <v>1.5754767306273498</v>
      </c>
      <c r="F78" s="350">
        <f t="shared" si="7"/>
        <v>5.1301071299251042</v>
      </c>
      <c r="G78">
        <f t="shared" si="8"/>
        <v>2.1228877555601322E-3</v>
      </c>
      <c r="H78" s="196">
        <v>39203</v>
      </c>
      <c r="I78">
        <v>-0.45</v>
      </c>
      <c r="J78" s="196">
        <v>39203</v>
      </c>
      <c r="K78">
        <v>1.57759961838291</v>
      </c>
      <c r="L78" s="350">
        <f t="shared" si="9"/>
        <v>5.0667417718969325</v>
      </c>
      <c r="S78" s="196">
        <v>39203</v>
      </c>
      <c r="T78">
        <v>3.8855000000000004</v>
      </c>
      <c r="U78">
        <v>0.23250000000000001</v>
      </c>
      <c r="W78">
        <f t="shared" si="10"/>
        <v>-4.7000000000000153E-2</v>
      </c>
      <c r="X78">
        <f t="shared" si="6"/>
        <v>0</v>
      </c>
      <c r="Y78" s="350">
        <f t="shared" si="11"/>
        <v>0</v>
      </c>
      <c r="AA78" s="196">
        <v>39203</v>
      </c>
      <c r="AB78">
        <v>3.8385000000000002</v>
      </c>
      <c r="AC78">
        <v>0.23250000000000001</v>
      </c>
      <c r="AI78" s="196">
        <v>39173</v>
      </c>
      <c r="AJ78">
        <v>-162.96153691999999</v>
      </c>
      <c r="AL78" s="196">
        <v>39173</v>
      </c>
      <c r="AM78">
        <v>-93.120878239999996</v>
      </c>
      <c r="AO78" s="196">
        <v>38261</v>
      </c>
      <c r="AP78">
        <v>7.6473678229760003</v>
      </c>
    </row>
    <row r="79" spans="1:42" x14ac:dyDescent="0.2">
      <c r="A79" s="196">
        <v>39234</v>
      </c>
      <c r="B79">
        <v>-0.45</v>
      </c>
      <c r="C79" s="196">
        <v>39234</v>
      </c>
      <c r="D79">
        <v>1.5754702717821498</v>
      </c>
      <c r="F79" s="350">
        <f t="shared" si="7"/>
        <v>5.1868298829970145</v>
      </c>
      <c r="G79">
        <f t="shared" si="8"/>
        <v>2.1109254249200848E-3</v>
      </c>
      <c r="H79" s="196">
        <v>39234</v>
      </c>
      <c r="I79">
        <v>-0.45</v>
      </c>
      <c r="J79" s="196">
        <v>39234</v>
      </c>
      <c r="K79">
        <v>1.5775811972070699</v>
      </c>
      <c r="L79" s="350">
        <f t="shared" si="9"/>
        <v>5.1235024228382429</v>
      </c>
      <c r="S79" s="196">
        <v>39234</v>
      </c>
      <c r="T79">
        <v>3.9235000000000002</v>
      </c>
      <c r="U79">
        <v>0.23250000000000001</v>
      </c>
      <c r="W79">
        <f t="shared" si="10"/>
        <v>-4.7000000000000153E-2</v>
      </c>
      <c r="X79">
        <f t="shared" si="6"/>
        <v>0</v>
      </c>
      <c r="Y79" s="350">
        <f t="shared" si="11"/>
        <v>0</v>
      </c>
      <c r="AA79" s="196">
        <v>39234</v>
      </c>
      <c r="AB79">
        <v>3.8765000000000001</v>
      </c>
      <c r="AC79">
        <v>0.23250000000000001</v>
      </c>
      <c r="AI79" s="196">
        <v>39203</v>
      </c>
      <c r="AJ79">
        <v>-167.58727397999999</v>
      </c>
      <c r="AL79" s="196">
        <v>39203</v>
      </c>
      <c r="AM79">
        <v>-95.764156569999997</v>
      </c>
      <c r="AO79" s="196">
        <v>38292</v>
      </c>
      <c r="AP79">
        <v>7.3673578662320001</v>
      </c>
    </row>
    <row r="80" spans="1:42" x14ac:dyDescent="0.2">
      <c r="A80" s="196">
        <v>39264</v>
      </c>
      <c r="B80">
        <v>-0.45</v>
      </c>
      <c r="C80" s="196">
        <v>39264</v>
      </c>
      <c r="D80">
        <v>1.5754625216885898</v>
      </c>
      <c r="F80" s="350">
        <f t="shared" si="7"/>
        <v>5.2540006241955908</v>
      </c>
      <c r="G80">
        <f t="shared" si="8"/>
        <v>2.0982859937701548E-3</v>
      </c>
      <c r="H80" s="196">
        <v>39264</v>
      </c>
      <c r="I80">
        <v>-0.45</v>
      </c>
      <c r="J80" s="196">
        <v>39264</v>
      </c>
      <c r="K80">
        <v>1.57756080768236</v>
      </c>
      <c r="L80" s="350">
        <f t="shared" si="9"/>
        <v>5.1907219558670938</v>
      </c>
      <c r="S80" s="196">
        <v>39264</v>
      </c>
      <c r="T80">
        <v>3.9685000000000001</v>
      </c>
      <c r="U80">
        <v>0.23250000000000001</v>
      </c>
      <c r="W80">
        <f t="shared" si="10"/>
        <v>-4.7000000000000153E-2</v>
      </c>
      <c r="X80">
        <f t="shared" si="6"/>
        <v>0</v>
      </c>
      <c r="Y80" s="350">
        <f t="shared" si="11"/>
        <v>0</v>
      </c>
      <c r="AA80" s="196">
        <v>39264</v>
      </c>
      <c r="AB80">
        <v>3.9215</v>
      </c>
      <c r="AC80">
        <v>0.23250000000000001</v>
      </c>
      <c r="AI80" s="196">
        <v>39234</v>
      </c>
      <c r="AJ80">
        <v>-161.37397612000001</v>
      </c>
      <c r="AL80" s="196">
        <v>39234</v>
      </c>
      <c r="AM80">
        <v>-92.213700639999999</v>
      </c>
      <c r="AO80" s="196">
        <v>38322</v>
      </c>
      <c r="AP80">
        <v>7.5815303081980003</v>
      </c>
    </row>
    <row r="81" spans="1:42" x14ac:dyDescent="0.2">
      <c r="A81" s="196">
        <v>39295</v>
      </c>
      <c r="B81">
        <v>-0.45</v>
      </c>
      <c r="C81" s="196">
        <v>39295</v>
      </c>
      <c r="D81">
        <v>1.5754529641200599</v>
      </c>
      <c r="F81" s="350">
        <f t="shared" si="7"/>
        <v>5.3107119118729171</v>
      </c>
      <c r="G81">
        <f t="shared" si="8"/>
        <v>2.0841272029301638E-3</v>
      </c>
      <c r="H81" s="196">
        <v>39295</v>
      </c>
      <c r="I81">
        <v>-0.45</v>
      </c>
      <c r="J81" s="196">
        <v>39295</v>
      </c>
      <c r="K81">
        <v>1.57753709132299</v>
      </c>
      <c r="L81" s="350">
        <f t="shared" si="9"/>
        <v>5.2474621460832731</v>
      </c>
      <c r="S81" s="196">
        <v>39295</v>
      </c>
      <c r="T81">
        <v>4.0065</v>
      </c>
      <c r="U81">
        <v>0.23250000000000001</v>
      </c>
      <c r="W81">
        <f t="shared" si="10"/>
        <v>-4.6999999999999709E-2</v>
      </c>
      <c r="X81">
        <f t="shared" si="6"/>
        <v>0</v>
      </c>
      <c r="Y81" s="350">
        <f t="shared" si="11"/>
        <v>0</v>
      </c>
      <c r="AA81" s="196">
        <v>39295</v>
      </c>
      <c r="AB81">
        <v>3.9595000000000002</v>
      </c>
      <c r="AC81">
        <v>0.23250000000000001</v>
      </c>
      <c r="AI81" s="196">
        <v>39264</v>
      </c>
      <c r="AJ81">
        <v>-165.94496197999999</v>
      </c>
      <c r="AL81" s="196">
        <v>39264</v>
      </c>
      <c r="AM81">
        <v>-94.825692559999993</v>
      </c>
      <c r="AO81" s="196">
        <v>38353</v>
      </c>
      <c r="AP81">
        <v>7.5487801691680003</v>
      </c>
    </row>
    <row r="82" spans="1:42" x14ac:dyDescent="0.2">
      <c r="A82" s="196">
        <v>39326</v>
      </c>
      <c r="B82">
        <v>-0.45</v>
      </c>
      <c r="C82" s="196">
        <v>39326</v>
      </c>
      <c r="D82">
        <v>1.5754418324753998</v>
      </c>
      <c r="F82" s="350">
        <f t="shared" si="7"/>
        <v>5.3017150048944393</v>
      </c>
      <c r="G82">
        <f t="shared" si="8"/>
        <v>2.0688527503800458E-3</v>
      </c>
      <c r="H82" s="196">
        <v>39326</v>
      </c>
      <c r="I82">
        <v>-0.45</v>
      </c>
      <c r="J82" s="196">
        <v>39326</v>
      </c>
      <c r="K82">
        <v>1.5775106852257799</v>
      </c>
      <c r="L82" s="350">
        <f t="shared" si="9"/>
        <v>5.2384031612431183</v>
      </c>
      <c r="S82" s="196">
        <v>39326</v>
      </c>
      <c r="T82">
        <v>4.0005000000000006</v>
      </c>
      <c r="U82">
        <v>0.23250000000000001</v>
      </c>
      <c r="W82">
        <f t="shared" si="10"/>
        <v>-4.7000000000000597E-2</v>
      </c>
      <c r="X82">
        <f t="shared" si="6"/>
        <v>0</v>
      </c>
      <c r="Y82" s="350">
        <f t="shared" si="11"/>
        <v>0</v>
      </c>
      <c r="AA82" s="196">
        <v>39326</v>
      </c>
      <c r="AB82">
        <v>3.9535</v>
      </c>
      <c r="AC82">
        <v>0.23250000000000001</v>
      </c>
      <c r="AI82" s="196">
        <v>39295</v>
      </c>
      <c r="AJ82">
        <v>-165.10901246</v>
      </c>
      <c r="AL82" s="196">
        <v>39295</v>
      </c>
      <c r="AM82">
        <v>-94.348007120000005</v>
      </c>
      <c r="AO82" s="196">
        <v>38384</v>
      </c>
      <c r="AP82">
        <v>6.7884041881320005</v>
      </c>
    </row>
    <row r="83" spans="1:42" x14ac:dyDescent="0.2">
      <c r="A83" s="196">
        <v>39356</v>
      </c>
      <c r="B83">
        <v>-0.45</v>
      </c>
      <c r="C83" s="196">
        <v>39356</v>
      </c>
      <c r="D83">
        <v>1.5754295616262699</v>
      </c>
      <c r="F83" s="350">
        <f t="shared" si="7"/>
        <v>5.3016737107358018</v>
      </c>
      <c r="G83">
        <f t="shared" si="8"/>
        <v>2.0530091377999327E-3</v>
      </c>
      <c r="H83" s="196">
        <v>39356</v>
      </c>
      <c r="I83">
        <v>-0.45</v>
      </c>
      <c r="J83" s="196">
        <v>39356</v>
      </c>
      <c r="K83">
        <v>1.5774825707640698</v>
      </c>
      <c r="L83" s="350">
        <f t="shared" si="9"/>
        <v>5.2383098022018908</v>
      </c>
      <c r="S83" s="196">
        <v>39356</v>
      </c>
      <c r="T83">
        <v>4.0005000000000006</v>
      </c>
      <c r="U83">
        <v>0.23250000000000001</v>
      </c>
      <c r="W83">
        <f t="shared" si="10"/>
        <v>-4.7000000000000597E-2</v>
      </c>
      <c r="X83">
        <f t="shared" si="6"/>
        <v>0</v>
      </c>
      <c r="Y83" s="350">
        <f t="shared" si="11"/>
        <v>0</v>
      </c>
      <c r="AA83" s="196">
        <v>39356</v>
      </c>
      <c r="AB83">
        <v>3.9535</v>
      </c>
      <c r="AC83">
        <v>0.23250000000000001</v>
      </c>
      <c r="AI83" s="196">
        <v>39326</v>
      </c>
      <c r="AJ83">
        <v>-158.97313516</v>
      </c>
      <c r="AL83" s="196">
        <v>39326</v>
      </c>
      <c r="AM83">
        <v>-90.841791529999995</v>
      </c>
      <c r="AO83" s="196">
        <v>38412</v>
      </c>
      <c r="AP83">
        <v>7.4856335912820011</v>
      </c>
    </row>
    <row r="84" spans="1:42" x14ac:dyDescent="0.2">
      <c r="A84" s="196">
        <v>39387</v>
      </c>
      <c r="B84">
        <v>-0.41</v>
      </c>
      <c r="C84" s="196">
        <v>39387</v>
      </c>
      <c r="D84">
        <v>1.5754153339755299</v>
      </c>
      <c r="F84" s="350">
        <f t="shared" si="7"/>
        <v>5.5823484498145302</v>
      </c>
      <c r="G84">
        <f t="shared" si="8"/>
        <v>2.0355405195600085E-3</v>
      </c>
      <c r="H84" s="196">
        <v>39387</v>
      </c>
      <c r="I84">
        <v>-0.41</v>
      </c>
      <c r="J84" s="196">
        <v>39387</v>
      </c>
      <c r="K84">
        <v>1.5774508744950899</v>
      </c>
      <c r="L84" s="350">
        <f t="shared" si="9"/>
        <v>5.5207850143244714</v>
      </c>
      <c r="S84" s="196">
        <v>39387</v>
      </c>
      <c r="T84">
        <v>4.1485000000000003</v>
      </c>
      <c r="U84">
        <v>0.23250000000000001</v>
      </c>
      <c r="W84">
        <f t="shared" si="10"/>
        <v>-4.6000000000000263E-2</v>
      </c>
      <c r="X84">
        <f t="shared" si="6"/>
        <v>0</v>
      </c>
      <c r="Y84" s="350">
        <f t="shared" si="11"/>
        <v>0</v>
      </c>
      <c r="AA84" s="196">
        <v>39387</v>
      </c>
      <c r="AB84">
        <v>4.1025</v>
      </c>
      <c r="AC84">
        <v>0.23250000000000001</v>
      </c>
      <c r="AI84" s="196">
        <v>39356</v>
      </c>
      <c r="AJ84">
        <v>-163.46172863999999</v>
      </c>
      <c r="AL84" s="196">
        <v>39356</v>
      </c>
      <c r="AM84">
        <v>-93.406702080000002</v>
      </c>
      <c r="AO84" s="196">
        <v>38443</v>
      </c>
      <c r="AP84">
        <v>7.2116479935080005</v>
      </c>
    </row>
    <row r="85" spans="1:42" x14ac:dyDescent="0.2">
      <c r="A85" s="196">
        <v>39417</v>
      </c>
      <c r="B85">
        <v>-0.41</v>
      </c>
      <c r="C85" s="196">
        <v>39417</v>
      </c>
      <c r="D85">
        <v>1.5754000678800499</v>
      </c>
      <c r="F85" s="350">
        <f t="shared" si="7"/>
        <v>5.8092593796796894</v>
      </c>
      <c r="G85">
        <f t="shared" si="8"/>
        <v>2.0175742898398408E-3</v>
      </c>
      <c r="H85" s="196">
        <v>39417</v>
      </c>
      <c r="I85">
        <v>-0.41</v>
      </c>
      <c r="J85" s="196">
        <v>39417</v>
      </c>
      <c r="K85">
        <v>1.5774176421698898</v>
      </c>
      <c r="L85" s="350">
        <f t="shared" si="9"/>
        <v>5.747924399578924</v>
      </c>
      <c r="S85" s="196">
        <v>39417</v>
      </c>
      <c r="T85">
        <v>4.3005000000000004</v>
      </c>
      <c r="U85">
        <v>0.23250000000000001</v>
      </c>
      <c r="W85">
        <f t="shared" si="10"/>
        <v>-4.6000000000000263E-2</v>
      </c>
      <c r="X85">
        <f t="shared" si="6"/>
        <v>0</v>
      </c>
      <c r="Y85" s="350">
        <f t="shared" si="11"/>
        <v>0</v>
      </c>
      <c r="AA85" s="196">
        <v>39417</v>
      </c>
      <c r="AB85">
        <v>4.2545000000000002</v>
      </c>
      <c r="AC85">
        <v>0.23250000000000001</v>
      </c>
      <c r="AI85" s="196">
        <v>39387</v>
      </c>
      <c r="AJ85">
        <v>-157.37758008</v>
      </c>
      <c r="AL85" s="196">
        <v>39387</v>
      </c>
      <c r="AM85">
        <v>-89.930045759999999</v>
      </c>
      <c r="AO85" s="196">
        <v>38473</v>
      </c>
      <c r="AP85">
        <v>7.4192546552319998</v>
      </c>
    </row>
    <row r="86" spans="1:42" x14ac:dyDescent="0.2">
      <c r="A86" s="196">
        <v>39448</v>
      </c>
      <c r="B86">
        <v>-0.41</v>
      </c>
      <c r="C86" s="196">
        <v>39448</v>
      </c>
      <c r="D86">
        <v>1.5753827460682799</v>
      </c>
      <c r="F86" s="350">
        <f t="shared" si="7"/>
        <v>5.9025189138850553</v>
      </c>
      <c r="G86">
        <f t="shared" si="8"/>
        <v>1.9979131122200844E-3</v>
      </c>
      <c r="H86" s="196">
        <v>39448</v>
      </c>
      <c r="I86">
        <v>-0.41</v>
      </c>
      <c r="J86" s="196">
        <v>39448</v>
      </c>
      <c r="K86">
        <v>1.5773806591805</v>
      </c>
      <c r="L86" s="350">
        <f t="shared" si="9"/>
        <v>5.8487067404138893</v>
      </c>
      <c r="S86" s="196">
        <v>39448</v>
      </c>
      <c r="T86">
        <v>4.3630000000000004</v>
      </c>
      <c r="U86">
        <v>0.23250000000000001</v>
      </c>
      <c r="W86">
        <f t="shared" si="10"/>
        <v>-4.1000000000000369E-2</v>
      </c>
      <c r="X86">
        <f t="shared" si="6"/>
        <v>0</v>
      </c>
      <c r="Y86" s="350">
        <f t="shared" si="11"/>
        <v>0</v>
      </c>
      <c r="AA86" s="196">
        <v>39448</v>
      </c>
      <c r="AB86">
        <v>4.3220000000000001</v>
      </c>
      <c r="AC86">
        <v>0.23250000000000001</v>
      </c>
      <c r="AI86" s="196">
        <v>39417</v>
      </c>
      <c r="AJ86">
        <v>-161.81168317999999</v>
      </c>
      <c r="AL86" s="196">
        <v>39417</v>
      </c>
      <c r="AM86">
        <v>-92.463818959999998</v>
      </c>
      <c r="AO86" s="196">
        <v>38504</v>
      </c>
      <c r="AP86">
        <v>7.1468792085320008</v>
      </c>
    </row>
    <row r="87" spans="1:42" x14ac:dyDescent="0.2">
      <c r="A87" s="196">
        <v>39479</v>
      </c>
      <c r="B87">
        <v>-0.41</v>
      </c>
      <c r="C87" s="196">
        <v>39479</v>
      </c>
      <c r="D87">
        <v>1.5753638525321598</v>
      </c>
      <c r="F87" s="350">
        <f t="shared" si="7"/>
        <v>5.7725434990079476</v>
      </c>
      <c r="G87">
        <f t="shared" si="8"/>
        <v>1.9771383203801562E-3</v>
      </c>
      <c r="H87" s="196">
        <v>39479</v>
      </c>
      <c r="I87">
        <v>-0.41</v>
      </c>
      <c r="J87" s="196">
        <v>39479</v>
      </c>
      <c r="K87">
        <v>1.57734099085254</v>
      </c>
      <c r="L87" s="350">
        <f t="shared" si="9"/>
        <v>5.7169969641612512</v>
      </c>
      <c r="S87" s="196">
        <v>39479</v>
      </c>
      <c r="T87">
        <v>4.2759999999999998</v>
      </c>
      <c r="U87">
        <v>0.23250000000000001</v>
      </c>
      <c r="W87">
        <f t="shared" si="10"/>
        <v>-4.1999999999999815E-2</v>
      </c>
      <c r="X87">
        <f t="shared" si="6"/>
        <v>0</v>
      </c>
      <c r="Y87" s="350">
        <f t="shared" si="11"/>
        <v>0</v>
      </c>
      <c r="AA87" s="196">
        <v>39479</v>
      </c>
      <c r="AB87">
        <v>4.234</v>
      </c>
      <c r="AC87">
        <v>0.23250000000000001</v>
      </c>
      <c r="AI87" s="196">
        <v>39448</v>
      </c>
      <c r="AJ87">
        <v>-160.97221252</v>
      </c>
      <c r="AL87" s="196">
        <v>39448</v>
      </c>
      <c r="AM87">
        <v>-91.984121450000004</v>
      </c>
      <c r="AO87" s="196">
        <v>38534</v>
      </c>
      <c r="AP87">
        <v>7.3518057951520008</v>
      </c>
    </row>
    <row r="88" spans="1:42" x14ac:dyDescent="0.2">
      <c r="A88" s="196">
        <v>39508</v>
      </c>
      <c r="B88">
        <v>-0.41</v>
      </c>
      <c r="C88" s="196">
        <v>39508</v>
      </c>
      <c r="D88">
        <v>1.5753447554748099</v>
      </c>
      <c r="F88" s="350">
        <f t="shared" si="7"/>
        <v>5.5649272679882555</v>
      </c>
      <c r="G88">
        <f t="shared" si="8"/>
        <v>1.9566960655998944E-3</v>
      </c>
      <c r="H88" s="196">
        <v>39508</v>
      </c>
      <c r="I88">
        <v>-0.41</v>
      </c>
      <c r="J88" s="196">
        <v>39508</v>
      </c>
      <c r="K88">
        <v>1.5773014515404098</v>
      </c>
      <c r="L88" s="350">
        <f t="shared" si="9"/>
        <v>5.5090496134104816</v>
      </c>
      <c r="S88" s="196">
        <v>39508</v>
      </c>
      <c r="T88">
        <v>4.1370000000000005</v>
      </c>
      <c r="U88">
        <v>0.2225</v>
      </c>
      <c r="W88">
        <f t="shared" si="10"/>
        <v>-4.2000000000000703E-2</v>
      </c>
      <c r="X88">
        <f t="shared" si="6"/>
        <v>0</v>
      </c>
      <c r="Y88" s="350">
        <f t="shared" si="11"/>
        <v>0</v>
      </c>
      <c r="AA88" s="196">
        <v>39508</v>
      </c>
      <c r="AB88">
        <v>4.0949999999999998</v>
      </c>
      <c r="AC88">
        <v>0.2225</v>
      </c>
      <c r="AI88" s="196">
        <v>39479</v>
      </c>
      <c r="AJ88">
        <v>-149.80108374</v>
      </c>
      <c r="AL88" s="196">
        <v>39479</v>
      </c>
      <c r="AM88">
        <v>-85.600619280000004</v>
      </c>
      <c r="AO88" s="196">
        <v>38565</v>
      </c>
      <c r="AP88">
        <v>7.3171315557760002</v>
      </c>
    </row>
    <row r="89" spans="1:42" x14ac:dyDescent="0.2">
      <c r="A89" s="196">
        <v>39539</v>
      </c>
      <c r="B89">
        <v>-0.46500000000000002</v>
      </c>
      <c r="C89" s="196">
        <v>39539</v>
      </c>
      <c r="D89">
        <v>1.57532282128743</v>
      </c>
      <c r="F89" s="350">
        <f t="shared" si="7"/>
        <v>5.2527881792901789</v>
      </c>
      <c r="G89">
        <f t="shared" si="8"/>
        <v>1.9337671524199962E-3</v>
      </c>
      <c r="H89" s="196">
        <v>39539</v>
      </c>
      <c r="I89">
        <v>-0.46500000000000002</v>
      </c>
      <c r="J89" s="196">
        <v>39539</v>
      </c>
      <c r="K89">
        <v>1.5772565884398499</v>
      </c>
      <c r="L89" s="350">
        <f t="shared" si="9"/>
        <v>5.1964482467441719</v>
      </c>
      <c r="S89" s="196">
        <v>39539</v>
      </c>
      <c r="T89">
        <v>3.9830000000000001</v>
      </c>
      <c r="U89">
        <v>0.2225</v>
      </c>
      <c r="W89">
        <f t="shared" si="10"/>
        <v>-4.1999999999999815E-2</v>
      </c>
      <c r="X89">
        <f t="shared" si="6"/>
        <v>0</v>
      </c>
      <c r="Y89" s="350">
        <f t="shared" si="11"/>
        <v>0</v>
      </c>
      <c r="AA89" s="196">
        <v>39539</v>
      </c>
      <c r="AB89">
        <v>3.9410000000000003</v>
      </c>
      <c r="AC89">
        <v>0.2225</v>
      </c>
      <c r="AI89" s="196">
        <v>39508</v>
      </c>
      <c r="AJ89">
        <v>-159.34591974</v>
      </c>
      <c r="AL89" s="196">
        <v>39508</v>
      </c>
      <c r="AM89">
        <v>-91.054811290000004</v>
      </c>
      <c r="AO89" s="196">
        <v>38596</v>
      </c>
      <c r="AP89">
        <v>7.0472873511460001</v>
      </c>
    </row>
    <row r="90" spans="1:42" x14ac:dyDescent="0.2">
      <c r="A90" s="196">
        <v>39569</v>
      </c>
      <c r="B90">
        <v>-0.46500000000000002</v>
      </c>
      <c r="C90" s="196">
        <v>39569</v>
      </c>
      <c r="D90">
        <v>1.5753000995400499</v>
      </c>
      <c r="F90" s="350">
        <f t="shared" si="7"/>
        <v>5.2601778964145938</v>
      </c>
      <c r="G90">
        <f t="shared" si="8"/>
        <v>1.9105188247101612E-3</v>
      </c>
      <c r="H90" s="196">
        <v>39569</v>
      </c>
      <c r="I90">
        <v>-0.46500000000000002</v>
      </c>
      <c r="J90" s="196">
        <v>39569</v>
      </c>
      <c r="K90">
        <v>1.5772106183647601</v>
      </c>
      <c r="L90" s="350">
        <f t="shared" si="9"/>
        <v>5.2037713282780542</v>
      </c>
      <c r="S90" s="196">
        <v>39569</v>
      </c>
      <c r="T90">
        <v>3.988</v>
      </c>
      <c r="U90">
        <v>0.2225</v>
      </c>
      <c r="W90">
        <f t="shared" si="10"/>
        <v>-4.1999999999999815E-2</v>
      </c>
      <c r="X90">
        <f t="shared" si="6"/>
        <v>0</v>
      </c>
      <c r="Y90" s="350">
        <f t="shared" si="11"/>
        <v>0</v>
      </c>
      <c r="AA90" s="196">
        <v>39569</v>
      </c>
      <c r="AB90">
        <v>3.9460000000000002</v>
      </c>
      <c r="AC90">
        <v>0.2225</v>
      </c>
      <c r="AI90" s="196">
        <v>39539</v>
      </c>
      <c r="AJ90">
        <v>-153.39192890000001</v>
      </c>
      <c r="AL90" s="196">
        <v>39539</v>
      </c>
      <c r="AM90">
        <v>-87.652530799999994</v>
      </c>
      <c r="AO90" s="196">
        <v>38626</v>
      </c>
      <c r="AP90">
        <v>7.2481464066759997</v>
      </c>
    </row>
    <row r="91" spans="1:42" x14ac:dyDescent="0.2">
      <c r="A91" s="196">
        <v>39600</v>
      </c>
      <c r="B91">
        <v>-0.46500000000000002</v>
      </c>
      <c r="C91" s="196">
        <v>39600</v>
      </c>
      <c r="D91">
        <v>1.5752750759392</v>
      </c>
      <c r="F91" s="350">
        <f t="shared" si="7"/>
        <v>5.3168310927756357</v>
      </c>
      <c r="G91">
        <f t="shared" si="8"/>
        <v>1.8854016484399772E-3</v>
      </c>
      <c r="H91" s="196">
        <v>39600</v>
      </c>
      <c r="I91">
        <v>-0.46500000000000002</v>
      </c>
      <c r="J91" s="196">
        <v>39600</v>
      </c>
      <c r="K91">
        <v>1.57716047758764</v>
      </c>
      <c r="L91" s="350">
        <f t="shared" si="9"/>
        <v>5.2604105570044677</v>
      </c>
      <c r="S91" s="196">
        <v>39600</v>
      </c>
      <c r="T91">
        <v>4.0259999999999998</v>
      </c>
      <c r="U91">
        <v>0.2225</v>
      </c>
      <c r="W91">
        <f t="shared" si="10"/>
        <v>-4.1999999999999815E-2</v>
      </c>
      <c r="X91">
        <f t="shared" si="6"/>
        <v>0</v>
      </c>
      <c r="Y91" s="350">
        <f t="shared" si="11"/>
        <v>0</v>
      </c>
      <c r="AA91" s="196">
        <v>39600</v>
      </c>
      <c r="AB91">
        <v>3.984</v>
      </c>
      <c r="AC91">
        <v>0.2225</v>
      </c>
      <c r="AI91" s="196">
        <v>39569</v>
      </c>
      <c r="AJ91">
        <v>-157.69082252000001</v>
      </c>
      <c r="AL91" s="196">
        <v>39569</v>
      </c>
      <c r="AM91">
        <v>-90.109041450000007</v>
      </c>
      <c r="AO91" s="196">
        <v>38657</v>
      </c>
      <c r="AP91">
        <v>6.9800469881100007</v>
      </c>
    </row>
    <row r="92" spans="1:42" x14ac:dyDescent="0.2">
      <c r="A92" s="196">
        <v>39630</v>
      </c>
      <c r="B92">
        <v>-0.46500000000000002</v>
      </c>
      <c r="C92" s="196">
        <v>39630</v>
      </c>
      <c r="D92">
        <v>1.5752493653836399</v>
      </c>
      <c r="F92" s="350">
        <f t="shared" si="7"/>
        <v>5.3839314800099771</v>
      </c>
      <c r="G92">
        <f t="shared" si="8"/>
        <v>1.8600365297198884E-3</v>
      </c>
      <c r="H92" s="196">
        <v>39630</v>
      </c>
      <c r="I92">
        <v>-0.46500000000000002</v>
      </c>
      <c r="J92" s="196">
        <v>39630</v>
      </c>
      <c r="K92">
        <v>1.5771094019133598</v>
      </c>
      <c r="L92" s="350">
        <f t="shared" si="9"/>
        <v>5.3275066995678086</v>
      </c>
      <c r="S92" s="196">
        <v>39630</v>
      </c>
      <c r="T92">
        <v>4.0710000000000006</v>
      </c>
      <c r="U92">
        <v>0.22</v>
      </c>
      <c r="W92">
        <f t="shared" si="10"/>
        <v>-4.2000000000000703E-2</v>
      </c>
      <c r="X92">
        <f t="shared" si="6"/>
        <v>0</v>
      </c>
      <c r="Y92" s="350">
        <f t="shared" si="11"/>
        <v>0</v>
      </c>
      <c r="AA92" s="196">
        <v>39630</v>
      </c>
      <c r="AB92">
        <v>4.0289999999999999</v>
      </c>
      <c r="AC92">
        <v>0.22</v>
      </c>
      <c r="AI92" s="196">
        <v>39600</v>
      </c>
      <c r="AJ92">
        <v>-151.78953146000001</v>
      </c>
      <c r="AL92" s="196">
        <v>39600</v>
      </c>
      <c r="AM92">
        <v>-86.736875130000001</v>
      </c>
      <c r="AO92" s="196">
        <v>38687</v>
      </c>
      <c r="AP92">
        <v>7.1781943309720004</v>
      </c>
    </row>
    <row r="93" spans="1:42" x14ac:dyDescent="0.2">
      <c r="A93" s="196">
        <v>39661</v>
      </c>
      <c r="B93">
        <v>-0.46500000000000002</v>
      </c>
      <c r="C93" s="196">
        <v>39661</v>
      </c>
      <c r="D93">
        <v>1.57522125433465</v>
      </c>
      <c r="F93" s="350">
        <f t="shared" si="7"/>
        <v>5.4405702169320529</v>
      </c>
      <c r="G93">
        <f t="shared" si="8"/>
        <v>1.8327329319900443E-3</v>
      </c>
      <c r="H93" s="196">
        <v>39661</v>
      </c>
      <c r="I93">
        <v>-0.46500000000000002</v>
      </c>
      <c r="J93" s="196">
        <v>39661</v>
      </c>
      <c r="K93">
        <v>1.57705398726664</v>
      </c>
      <c r="L93" s="350">
        <f t="shared" si="9"/>
        <v>5.3841203330765746</v>
      </c>
      <c r="S93" s="196">
        <v>39661</v>
      </c>
      <c r="T93">
        <v>4.109</v>
      </c>
      <c r="U93">
        <v>0.22</v>
      </c>
      <c r="W93">
        <f t="shared" si="10"/>
        <v>-4.1999999999999815E-2</v>
      </c>
      <c r="X93">
        <f t="shared" si="6"/>
        <v>0</v>
      </c>
      <c r="Y93" s="350">
        <f t="shared" si="11"/>
        <v>0</v>
      </c>
      <c r="AA93" s="196">
        <v>39661</v>
      </c>
      <c r="AB93">
        <v>4.0670000000000002</v>
      </c>
      <c r="AC93">
        <v>0.22</v>
      </c>
      <c r="AI93" s="196">
        <v>39630</v>
      </c>
      <c r="AJ93">
        <v>-156.0344226</v>
      </c>
      <c r="AL93" s="196">
        <v>39630</v>
      </c>
      <c r="AM93">
        <v>-89.1625272</v>
      </c>
      <c r="AO93" s="196">
        <v>38718</v>
      </c>
      <c r="AP93">
        <v>7.1422876483000008</v>
      </c>
    </row>
    <row r="94" spans="1:42" x14ac:dyDescent="0.2">
      <c r="A94" s="196">
        <v>39692</v>
      </c>
      <c r="B94">
        <v>-0.46500000000000002</v>
      </c>
      <c r="C94" s="196">
        <v>39692</v>
      </c>
      <c r="D94">
        <v>1.5751915750187899</v>
      </c>
      <c r="F94" s="350">
        <f t="shared" si="7"/>
        <v>5.4315097491681561</v>
      </c>
      <c r="G94">
        <f t="shared" si="8"/>
        <v>1.8043189293399653E-3</v>
      </c>
      <c r="H94" s="196">
        <v>39692</v>
      </c>
      <c r="I94">
        <v>-0.46500000000000002</v>
      </c>
      <c r="J94" s="196">
        <v>39692</v>
      </c>
      <c r="K94">
        <v>1.5769958939481299</v>
      </c>
      <c r="L94" s="350">
        <f t="shared" si="9"/>
        <v>5.3749537793609781</v>
      </c>
      <c r="S94" s="196">
        <v>39692</v>
      </c>
      <c r="T94">
        <v>4.1029999999999998</v>
      </c>
      <c r="U94">
        <v>0.22</v>
      </c>
      <c r="W94">
        <f t="shared" si="10"/>
        <v>-4.1999999999999815E-2</v>
      </c>
      <c r="X94">
        <f t="shared" si="6"/>
        <v>0</v>
      </c>
      <c r="Y94" s="350">
        <f t="shared" si="11"/>
        <v>0</v>
      </c>
      <c r="AA94" s="196">
        <v>39692</v>
      </c>
      <c r="AB94">
        <v>4.0609999999999999</v>
      </c>
      <c r="AC94">
        <v>0.22</v>
      </c>
      <c r="AI94" s="196">
        <v>39661</v>
      </c>
      <c r="AJ94">
        <v>-155.19227752</v>
      </c>
      <c r="AL94" s="196">
        <v>39661</v>
      </c>
      <c r="AM94">
        <v>-88.681301450000007</v>
      </c>
      <c r="AO94" s="196">
        <v>38749</v>
      </c>
      <c r="AP94">
        <v>6.4184557454359998</v>
      </c>
    </row>
    <row r="95" spans="1:42" x14ac:dyDescent="0.2">
      <c r="A95" s="196">
        <v>39722</v>
      </c>
      <c r="B95">
        <v>-0.46500000000000002</v>
      </c>
      <c r="C95" s="196">
        <v>39722</v>
      </c>
      <c r="D95">
        <v>1.5751613603918899</v>
      </c>
      <c r="F95" s="350">
        <f t="shared" si="7"/>
        <v>5.4314055643545887</v>
      </c>
      <c r="G95">
        <f t="shared" si="8"/>
        <v>1.7757647265301824E-3</v>
      </c>
      <c r="H95" s="196">
        <v>39722</v>
      </c>
      <c r="I95">
        <v>-0.46500000000000002</v>
      </c>
      <c r="J95" s="196">
        <v>39722</v>
      </c>
      <c r="K95">
        <v>1.5769371251184201</v>
      </c>
      <c r="L95" s="350">
        <f t="shared" si="9"/>
        <v>5.374753474626786</v>
      </c>
      <c r="S95" s="196">
        <v>39722</v>
      </c>
      <c r="T95">
        <v>4.1029999999999998</v>
      </c>
      <c r="U95">
        <v>0.22</v>
      </c>
      <c r="W95">
        <f t="shared" si="10"/>
        <v>-4.1999999999999815E-2</v>
      </c>
      <c r="X95">
        <f t="shared" si="6"/>
        <v>0</v>
      </c>
      <c r="Y95" s="350">
        <f t="shared" si="11"/>
        <v>0</v>
      </c>
      <c r="AA95" s="196">
        <v>39722</v>
      </c>
      <c r="AB95">
        <v>4.0609999999999999</v>
      </c>
      <c r="AC95">
        <v>0.22</v>
      </c>
      <c r="AI95" s="196">
        <v>39692</v>
      </c>
      <c r="AJ95">
        <v>-149.37092422000001</v>
      </c>
      <c r="AL95" s="196">
        <v>39692</v>
      </c>
      <c r="AM95">
        <v>-85.354813849999999</v>
      </c>
      <c r="AO95" s="196">
        <v>38777</v>
      </c>
      <c r="AP95">
        <v>7.0733084798180004</v>
      </c>
    </row>
    <row r="96" spans="1:42" x14ac:dyDescent="0.2">
      <c r="A96" s="196">
        <v>39753</v>
      </c>
      <c r="B96">
        <v>-0.44</v>
      </c>
      <c r="C96" s="196">
        <v>39753</v>
      </c>
      <c r="D96">
        <v>1.5752731311407</v>
      </c>
      <c r="F96" s="350">
        <f t="shared" si="7"/>
        <v>5.6900921873125299</v>
      </c>
      <c r="G96">
        <f t="shared" si="8"/>
        <v>1.6849352060399614E-3</v>
      </c>
      <c r="H96" s="196">
        <v>39753</v>
      </c>
      <c r="I96">
        <v>-0.44</v>
      </c>
      <c r="J96" s="196">
        <v>39753</v>
      </c>
      <c r="K96">
        <v>1.57695806634674</v>
      </c>
      <c r="L96" s="350">
        <f t="shared" si="9"/>
        <v>5.6348970198048347</v>
      </c>
      <c r="S96" s="196">
        <v>39753</v>
      </c>
      <c r="T96">
        <v>4.2510000000000003</v>
      </c>
      <c r="U96">
        <v>0.22</v>
      </c>
      <c r="W96">
        <f t="shared" si="10"/>
        <v>-4.1000000000000369E-2</v>
      </c>
      <c r="X96">
        <f t="shared" si="6"/>
        <v>0</v>
      </c>
      <c r="Y96" s="350">
        <f t="shared" si="11"/>
        <v>0</v>
      </c>
      <c r="AA96" s="196">
        <v>39753</v>
      </c>
      <c r="AB96">
        <v>4.21</v>
      </c>
      <c r="AC96">
        <v>0.22</v>
      </c>
      <c r="AI96" s="196">
        <v>39722</v>
      </c>
      <c r="AJ96">
        <v>-153.53468522</v>
      </c>
      <c r="AL96" s="196">
        <v>39722</v>
      </c>
      <c r="AM96">
        <v>-87.734105850000006</v>
      </c>
      <c r="AO96" s="196">
        <v>38808</v>
      </c>
      <c r="AP96">
        <v>6.8097473551240002</v>
      </c>
    </row>
    <row r="97" spans="1:42" x14ac:dyDescent="0.2">
      <c r="A97" s="196">
        <v>39783</v>
      </c>
      <c r="B97">
        <v>-0.44</v>
      </c>
      <c r="C97" s="196">
        <v>39783</v>
      </c>
      <c r="D97">
        <v>1.5761191643724097</v>
      </c>
      <c r="F97" s="350">
        <f t="shared" si="7"/>
        <v>5.9202167926705886</v>
      </c>
      <c r="G97">
        <f t="shared" si="8"/>
        <v>1.6290616499701205E-3</v>
      </c>
      <c r="H97" s="196">
        <v>39783</v>
      </c>
      <c r="I97">
        <v>-0.44</v>
      </c>
      <c r="J97" s="196">
        <v>39783</v>
      </c>
      <c r="K97">
        <v>1.5777482260223799</v>
      </c>
      <c r="L97" s="350">
        <f t="shared" si="9"/>
        <v>5.8650237925378121</v>
      </c>
      <c r="S97" s="196">
        <v>39783</v>
      </c>
      <c r="T97">
        <v>4.4030000000000005</v>
      </c>
      <c r="U97">
        <v>0.2225</v>
      </c>
      <c r="W97">
        <f t="shared" si="10"/>
        <v>-4.1000000000000369E-2</v>
      </c>
      <c r="X97">
        <f t="shared" si="6"/>
        <v>0</v>
      </c>
      <c r="Y97" s="350">
        <f t="shared" si="11"/>
        <v>0</v>
      </c>
      <c r="AA97" s="196">
        <v>39783</v>
      </c>
      <c r="AB97">
        <v>4.3620000000000001</v>
      </c>
      <c r="AC97">
        <v>0.2225</v>
      </c>
      <c r="AI97" s="196">
        <v>39753</v>
      </c>
      <c r="AJ97">
        <v>-147.76661424</v>
      </c>
      <c r="AL97" s="196">
        <v>39753</v>
      </c>
      <c r="AM97">
        <v>-84.438065289999997</v>
      </c>
      <c r="AO97" s="196">
        <v>38838</v>
      </c>
      <c r="AP97">
        <v>7.0011418030680002</v>
      </c>
    </row>
    <row r="98" spans="1:42" x14ac:dyDescent="0.2">
      <c r="A98" s="196">
        <v>39814</v>
      </c>
      <c r="B98">
        <v>-0.44</v>
      </c>
      <c r="C98" s="196">
        <v>39814</v>
      </c>
      <c r="D98">
        <v>1.57701353417946</v>
      </c>
      <c r="F98" s="350">
        <f t="shared" si="7"/>
        <v>6.0207330375590153</v>
      </c>
      <c r="G98">
        <f t="shared" si="8"/>
        <v>1.5695854454298441E-3</v>
      </c>
      <c r="H98" s="196">
        <v>39814</v>
      </c>
      <c r="I98">
        <v>-0.44</v>
      </c>
      <c r="J98" s="196">
        <v>39814</v>
      </c>
      <c r="K98">
        <v>1.5785831196248898</v>
      </c>
      <c r="L98" s="350">
        <f t="shared" si="9"/>
        <v>5.9728619272745345</v>
      </c>
      <c r="S98" s="196">
        <v>39814</v>
      </c>
      <c r="T98">
        <v>4.468</v>
      </c>
      <c r="U98">
        <v>0.22500000000000001</v>
      </c>
      <c r="W98">
        <f t="shared" si="10"/>
        <v>-3.5999999999999588E-2</v>
      </c>
      <c r="X98">
        <f t="shared" si="6"/>
        <v>0</v>
      </c>
      <c r="Y98" s="350">
        <f t="shared" si="11"/>
        <v>0</v>
      </c>
      <c r="AA98" s="196">
        <v>39814</v>
      </c>
      <c r="AB98">
        <v>4.4320000000000004</v>
      </c>
      <c r="AC98">
        <v>0.22500000000000001</v>
      </c>
      <c r="AI98" s="196">
        <v>39783</v>
      </c>
      <c r="AJ98">
        <v>-151.87680843999999</v>
      </c>
      <c r="AL98" s="196">
        <v>39783</v>
      </c>
      <c r="AM98">
        <v>-86.786747680000005</v>
      </c>
      <c r="AO98" s="196">
        <v>38869</v>
      </c>
      <c r="AP98">
        <v>6.7394993193920003</v>
      </c>
    </row>
    <row r="99" spans="1:42" x14ac:dyDescent="0.2">
      <c r="A99" s="196">
        <v>39845</v>
      </c>
      <c r="B99">
        <v>-0.44</v>
      </c>
      <c r="C99" s="196">
        <v>39845</v>
      </c>
      <c r="D99">
        <v>1.5779283992173401</v>
      </c>
      <c r="F99" s="350">
        <f t="shared" si="7"/>
        <v>5.8941097167501422</v>
      </c>
      <c r="G99">
        <f t="shared" si="8"/>
        <v>1.5083359289498333E-3</v>
      </c>
      <c r="H99" s="196">
        <v>39845</v>
      </c>
      <c r="I99">
        <v>-0.44</v>
      </c>
      <c r="J99" s="196">
        <v>39845</v>
      </c>
      <c r="K99">
        <v>1.5794367351462899</v>
      </c>
      <c r="L99" s="350">
        <f t="shared" si="9"/>
        <v>5.8443542466097691</v>
      </c>
      <c r="S99" s="196">
        <v>39845</v>
      </c>
      <c r="T99">
        <v>4.3810000000000002</v>
      </c>
      <c r="U99">
        <v>0.22</v>
      </c>
      <c r="W99">
        <f t="shared" si="10"/>
        <v>-3.6999999999999922E-2</v>
      </c>
      <c r="X99">
        <f t="shared" si="6"/>
        <v>0</v>
      </c>
      <c r="Y99" s="350">
        <f t="shared" si="11"/>
        <v>0</v>
      </c>
      <c r="AA99" s="196">
        <v>39845</v>
      </c>
      <c r="AB99">
        <v>4.3440000000000003</v>
      </c>
      <c r="AC99">
        <v>0.22</v>
      </c>
      <c r="AI99" s="196">
        <v>39814</v>
      </c>
      <c r="AJ99">
        <v>-151.03429964</v>
      </c>
      <c r="AL99" s="196">
        <v>39814</v>
      </c>
      <c r="AM99">
        <v>-86.305314069999994</v>
      </c>
      <c r="AO99" s="196">
        <v>38899</v>
      </c>
      <c r="AP99">
        <v>6.9281531941580008</v>
      </c>
    </row>
    <row r="100" spans="1:42" x14ac:dyDescent="0.2">
      <c r="A100" s="196">
        <v>39873</v>
      </c>
      <c r="B100">
        <v>-0.44</v>
      </c>
      <c r="C100" s="196">
        <v>39873</v>
      </c>
      <c r="D100">
        <v>1.5787723706037797</v>
      </c>
      <c r="F100" s="350">
        <f t="shared" si="7"/>
        <v>5.6892644115910151</v>
      </c>
      <c r="G100">
        <f t="shared" si="8"/>
        <v>1.4514856224101536E-3</v>
      </c>
      <c r="H100" s="196">
        <v>39873</v>
      </c>
      <c r="I100">
        <v>-0.44</v>
      </c>
      <c r="J100" s="196">
        <v>39873</v>
      </c>
      <c r="K100">
        <v>1.5802238562261899</v>
      </c>
      <c r="L100" s="350">
        <f t="shared" si="9"/>
        <v>5.639077753874302</v>
      </c>
      <c r="S100" s="196">
        <v>39873</v>
      </c>
      <c r="T100">
        <v>4.242</v>
      </c>
      <c r="U100">
        <v>0.20499999999999999</v>
      </c>
      <c r="W100">
        <f t="shared" si="10"/>
        <v>-3.6999999999999922E-2</v>
      </c>
      <c r="X100">
        <f t="shared" si="6"/>
        <v>0</v>
      </c>
      <c r="Y100" s="350">
        <f t="shared" si="11"/>
        <v>0</v>
      </c>
      <c r="AA100" s="196">
        <v>39873</v>
      </c>
      <c r="AB100">
        <v>4.2050000000000001</v>
      </c>
      <c r="AC100">
        <v>0.20499999999999999</v>
      </c>
      <c r="AI100" s="196">
        <v>39845</v>
      </c>
      <c r="AJ100">
        <v>-135.65717480000001</v>
      </c>
      <c r="AL100" s="196">
        <v>39845</v>
      </c>
      <c r="AM100">
        <v>-77.518385600000002</v>
      </c>
      <c r="AO100" s="196">
        <v>38930</v>
      </c>
      <c r="AP100">
        <v>6.8907590815560011</v>
      </c>
    </row>
    <row r="101" spans="1:42" x14ac:dyDescent="0.2">
      <c r="A101" s="196">
        <v>39904</v>
      </c>
      <c r="B101">
        <v>-0.53</v>
      </c>
      <c r="C101" s="196">
        <v>39904</v>
      </c>
      <c r="D101">
        <v>1.57972632838975</v>
      </c>
      <c r="F101" s="350">
        <f t="shared" si="7"/>
        <v>5.3273629801742572</v>
      </c>
      <c r="G101">
        <f t="shared" si="8"/>
        <v>1.3868478109999582E-3</v>
      </c>
      <c r="H101" s="196">
        <v>39904</v>
      </c>
      <c r="I101">
        <v>-0.53</v>
      </c>
      <c r="J101" s="196">
        <v>39904</v>
      </c>
      <c r="K101">
        <v>1.58111317620075</v>
      </c>
      <c r="L101" s="350">
        <f t="shared" si="9"/>
        <v>5.2765914732515053</v>
      </c>
      <c r="S101" s="196">
        <v>39904</v>
      </c>
      <c r="T101">
        <v>4.0880000000000001</v>
      </c>
      <c r="U101">
        <v>0.19500000000000001</v>
      </c>
      <c r="W101">
        <f t="shared" si="10"/>
        <v>-3.6999999999999922E-2</v>
      </c>
      <c r="X101">
        <f t="shared" si="6"/>
        <v>0</v>
      </c>
      <c r="Y101" s="350">
        <f t="shared" si="11"/>
        <v>0</v>
      </c>
      <c r="AA101" s="196">
        <v>39904</v>
      </c>
      <c r="AB101">
        <v>4.0510000000000002</v>
      </c>
      <c r="AC101">
        <v>0.19500000000000001</v>
      </c>
      <c r="AI101" s="196">
        <v>39873</v>
      </c>
      <c r="AJ101">
        <v>-149.4310825</v>
      </c>
      <c r="AL101" s="196">
        <v>39873</v>
      </c>
      <c r="AM101">
        <v>-85.389190009999993</v>
      </c>
      <c r="AO101" s="196">
        <v>38961</v>
      </c>
      <c r="AP101">
        <v>6.6320990875300003</v>
      </c>
    </row>
    <row r="102" spans="1:42" x14ac:dyDescent="0.2">
      <c r="A102" s="196">
        <v>39934</v>
      </c>
      <c r="B102">
        <v>-0.53</v>
      </c>
      <c r="C102" s="196">
        <v>39934</v>
      </c>
      <c r="D102">
        <v>1.5806691143649798</v>
      </c>
      <c r="F102" s="350">
        <f t="shared" si="7"/>
        <v>5.3380332934767658</v>
      </c>
      <c r="G102">
        <f t="shared" si="8"/>
        <v>1.3225931868801055E-3</v>
      </c>
      <c r="H102" s="196">
        <v>39934</v>
      </c>
      <c r="I102">
        <v>-0.53</v>
      </c>
      <c r="J102" s="196">
        <v>39934</v>
      </c>
      <c r="K102">
        <v>1.5819917075518599</v>
      </c>
      <c r="L102" s="350">
        <f t="shared" si="9"/>
        <v>5.2870205570394919</v>
      </c>
      <c r="S102" s="196">
        <v>39934</v>
      </c>
      <c r="T102">
        <v>4.093</v>
      </c>
      <c r="U102">
        <v>0.19500000000000001</v>
      </c>
      <c r="W102">
        <f t="shared" si="10"/>
        <v>-3.6999999999999922E-2</v>
      </c>
      <c r="X102">
        <f t="shared" si="6"/>
        <v>0</v>
      </c>
      <c r="Y102" s="350">
        <f t="shared" si="11"/>
        <v>0</v>
      </c>
      <c r="AA102" s="196">
        <v>39934</v>
      </c>
      <c r="AB102">
        <v>4.056</v>
      </c>
      <c r="AC102">
        <v>0.19500000000000001</v>
      </c>
      <c r="AI102" s="196">
        <v>39904</v>
      </c>
      <c r="AJ102">
        <v>-143.79575994000001</v>
      </c>
      <c r="AL102" s="196">
        <v>39904</v>
      </c>
      <c r="AM102">
        <v>-82.169005679999998</v>
      </c>
      <c r="AO102" s="196">
        <v>38991</v>
      </c>
      <c r="AP102">
        <v>6.816610289622</v>
      </c>
    </row>
    <row r="103" spans="1:42" x14ac:dyDescent="0.2">
      <c r="A103" s="196">
        <v>39965</v>
      </c>
      <c r="B103">
        <v>-0.53</v>
      </c>
      <c r="C103" s="196">
        <v>39965</v>
      </c>
      <c r="D103">
        <v>1.5816636131153698</v>
      </c>
      <c r="F103" s="350">
        <f t="shared" si="7"/>
        <v>5.3983586376727368</v>
      </c>
      <c r="G103">
        <f t="shared" si="8"/>
        <v>1.2544330963999428E-3</v>
      </c>
      <c r="H103" s="196">
        <v>39965</v>
      </c>
      <c r="I103">
        <v>-0.53</v>
      </c>
      <c r="J103" s="196">
        <v>39965</v>
      </c>
      <c r="K103">
        <v>1.5829180462117698</v>
      </c>
      <c r="L103" s="350">
        <f t="shared" si="9"/>
        <v>5.3471284146990756</v>
      </c>
      <c r="S103" s="196">
        <v>39965</v>
      </c>
      <c r="T103">
        <v>4.1310000000000002</v>
      </c>
      <c r="U103">
        <v>0.19500000000000001</v>
      </c>
      <c r="W103">
        <f t="shared" si="10"/>
        <v>-3.6999999999999922E-2</v>
      </c>
      <c r="X103">
        <f t="shared" si="6"/>
        <v>0</v>
      </c>
      <c r="Y103" s="350">
        <f t="shared" si="11"/>
        <v>0</v>
      </c>
      <c r="AA103" s="196">
        <v>39965</v>
      </c>
      <c r="AB103">
        <v>4.0940000000000003</v>
      </c>
      <c r="AC103">
        <v>0.19500000000000001</v>
      </c>
      <c r="AI103" s="196">
        <v>39934</v>
      </c>
      <c r="AJ103">
        <v>-147.77420531999999</v>
      </c>
      <c r="AL103" s="196">
        <v>39934</v>
      </c>
      <c r="AM103">
        <v>-84.442403040000002</v>
      </c>
      <c r="AO103" s="196">
        <v>39022</v>
      </c>
      <c r="AP103">
        <v>6.5613631907040002</v>
      </c>
    </row>
    <row r="104" spans="1:42" x14ac:dyDescent="0.2">
      <c r="A104" s="196">
        <v>39995</v>
      </c>
      <c r="B104">
        <v>-0.53</v>
      </c>
      <c r="C104" s="196">
        <v>39995</v>
      </c>
      <c r="D104">
        <v>1.5826456949724499</v>
      </c>
      <c r="F104" s="350">
        <f t="shared" si="7"/>
        <v>5.4692132018296205</v>
      </c>
      <c r="G104">
        <f t="shared" si="8"/>
        <v>1.1867600450901072E-3</v>
      </c>
      <c r="H104" s="196">
        <v>39995</v>
      </c>
      <c r="I104">
        <v>-0.53</v>
      </c>
      <c r="J104" s="196">
        <v>39995</v>
      </c>
      <c r="K104">
        <v>1.58383245501754</v>
      </c>
      <c r="L104" s="350">
        <f t="shared" si="9"/>
        <v>5.4177705545092412</v>
      </c>
      <c r="S104" s="196">
        <v>39995</v>
      </c>
      <c r="T104">
        <v>4.1760000000000002</v>
      </c>
      <c r="U104">
        <v>0.19500000000000001</v>
      </c>
      <c r="W104">
        <f t="shared" si="10"/>
        <v>-3.6999999999999922E-2</v>
      </c>
      <c r="X104">
        <f t="shared" si="6"/>
        <v>0</v>
      </c>
      <c r="Y104" s="350">
        <f t="shared" si="11"/>
        <v>0</v>
      </c>
      <c r="AA104" s="196">
        <v>39995</v>
      </c>
      <c r="AB104">
        <v>4.1390000000000002</v>
      </c>
      <c r="AC104">
        <v>0.19500000000000001</v>
      </c>
      <c r="AI104" s="196">
        <v>39965</v>
      </c>
      <c r="AJ104">
        <v>-142.19281509999999</v>
      </c>
      <c r="AL104" s="196">
        <v>39965</v>
      </c>
      <c r="AM104">
        <v>-81.253037199999994</v>
      </c>
      <c r="AO104" s="196">
        <v>39052</v>
      </c>
      <c r="AP104">
        <v>6.7485860580740002</v>
      </c>
    </row>
    <row r="105" spans="1:42" x14ac:dyDescent="0.2">
      <c r="A105" s="196">
        <v>40026</v>
      </c>
      <c r="B105">
        <v>-0.53</v>
      </c>
      <c r="C105" s="196">
        <v>40026</v>
      </c>
      <c r="D105">
        <v>1.58368086577574</v>
      </c>
      <c r="F105" s="350">
        <f t="shared" si="7"/>
        <v>5.5298299896098655</v>
      </c>
      <c r="G105">
        <f t="shared" si="8"/>
        <v>1.1150572288198823E-3</v>
      </c>
      <c r="H105" s="196">
        <v>40026</v>
      </c>
      <c r="I105">
        <v>-0.53</v>
      </c>
      <c r="J105" s="196">
        <v>40026</v>
      </c>
      <c r="K105">
        <v>1.5847959230045598</v>
      </c>
      <c r="L105" s="350">
        <f t="shared" si="9"/>
        <v>5.4781459289342278</v>
      </c>
      <c r="S105" s="196">
        <v>40026</v>
      </c>
      <c r="T105">
        <v>4.2140000000000004</v>
      </c>
      <c r="U105">
        <v>0.19500000000000001</v>
      </c>
      <c r="W105">
        <f t="shared" si="10"/>
        <v>-3.6999999999999922E-2</v>
      </c>
      <c r="X105">
        <f t="shared" si="6"/>
        <v>0</v>
      </c>
      <c r="Y105" s="350">
        <f t="shared" si="11"/>
        <v>0</v>
      </c>
      <c r="AA105" s="196">
        <v>40026</v>
      </c>
      <c r="AB105">
        <v>4.1770000000000005</v>
      </c>
      <c r="AC105">
        <v>0.19500000000000001</v>
      </c>
      <c r="AI105" s="196">
        <v>39995</v>
      </c>
      <c r="AJ105">
        <v>-146.11840838000001</v>
      </c>
      <c r="AL105" s="196">
        <v>39995</v>
      </c>
      <c r="AM105">
        <v>-83.496233349999997</v>
      </c>
      <c r="AO105" s="196">
        <v>39083</v>
      </c>
      <c r="AP105">
        <v>5.3285052795940002</v>
      </c>
    </row>
    <row r="106" spans="1:42" x14ac:dyDescent="0.2">
      <c r="A106" s="196">
        <v>40057</v>
      </c>
      <c r="B106">
        <v>-0.53</v>
      </c>
      <c r="C106" s="196">
        <v>40057</v>
      </c>
      <c r="D106">
        <v>1.5847367581713498</v>
      </c>
      <c r="F106" s="350">
        <f t="shared" si="7"/>
        <v>5.524504667576152</v>
      </c>
      <c r="G106">
        <f t="shared" si="8"/>
        <v>1.0415458488901574E-3</v>
      </c>
      <c r="H106" s="196">
        <v>40057</v>
      </c>
      <c r="I106">
        <v>-0.53</v>
      </c>
      <c r="J106" s="196">
        <v>40057</v>
      </c>
      <c r="K106">
        <v>1.58577830402024</v>
      </c>
      <c r="L106" s="350">
        <f t="shared" si="9"/>
        <v>5.47252354845401</v>
      </c>
      <c r="S106" s="196">
        <v>40057</v>
      </c>
      <c r="T106">
        <v>4.2080000000000002</v>
      </c>
      <c r="U106">
        <v>0.19500000000000001</v>
      </c>
      <c r="W106">
        <f t="shared" si="10"/>
        <v>-3.6999999999999922E-2</v>
      </c>
      <c r="X106">
        <f t="shared" si="6"/>
        <v>0</v>
      </c>
      <c r="Y106" s="350">
        <f t="shared" si="11"/>
        <v>0</v>
      </c>
      <c r="AA106" s="196">
        <v>40057</v>
      </c>
      <c r="AB106">
        <v>4.1710000000000003</v>
      </c>
      <c r="AC106">
        <v>0.19500000000000001</v>
      </c>
      <c r="AI106" s="196">
        <v>40026</v>
      </c>
      <c r="AJ106">
        <v>-145.27747429999999</v>
      </c>
      <c r="AL106" s="196">
        <v>40026</v>
      </c>
      <c r="AM106">
        <v>-83.015699600000005</v>
      </c>
      <c r="AO106" s="196">
        <v>39114</v>
      </c>
      <c r="AP106">
        <v>4.7894560287420003</v>
      </c>
    </row>
    <row r="107" spans="1:42" x14ac:dyDescent="0.2">
      <c r="A107" s="196">
        <v>40087</v>
      </c>
      <c r="B107">
        <v>-0.53</v>
      </c>
      <c r="C107" s="196">
        <v>40087</v>
      </c>
      <c r="D107">
        <v>1.5857783533579399</v>
      </c>
      <c r="F107" s="350">
        <f t="shared" si="7"/>
        <v>5.5281357422264819</v>
      </c>
      <c r="G107">
        <f t="shared" si="8"/>
        <v>9.686784631199874E-4</v>
      </c>
      <c r="H107" s="196">
        <v>40087</v>
      </c>
      <c r="I107">
        <v>-0.53</v>
      </c>
      <c r="J107" s="196">
        <v>40087</v>
      </c>
      <c r="K107">
        <v>1.5867470318210599</v>
      </c>
      <c r="L107" s="350">
        <f t="shared" si="9"/>
        <v>5.4758666296959397</v>
      </c>
      <c r="S107" s="196">
        <v>40087</v>
      </c>
      <c r="T107">
        <v>4.2080000000000002</v>
      </c>
      <c r="U107">
        <v>0.19500000000000001</v>
      </c>
      <c r="W107">
        <f t="shared" si="10"/>
        <v>-3.6999999999999922E-2</v>
      </c>
      <c r="X107">
        <f t="shared" si="6"/>
        <v>0</v>
      </c>
      <c r="Y107" s="350">
        <f t="shared" si="11"/>
        <v>0</v>
      </c>
      <c r="AA107" s="196">
        <v>40087</v>
      </c>
      <c r="AB107">
        <v>4.1710000000000003</v>
      </c>
      <c r="AC107">
        <v>0.19500000000000001</v>
      </c>
      <c r="AI107" s="196">
        <v>40057</v>
      </c>
      <c r="AJ107">
        <v>-139.77771066</v>
      </c>
      <c r="AL107" s="196">
        <v>40057</v>
      </c>
      <c r="AM107">
        <v>-79.872977520000006</v>
      </c>
      <c r="AO107" s="196">
        <v>39142</v>
      </c>
      <c r="AP107">
        <v>5.2791935771820002</v>
      </c>
    </row>
    <row r="108" spans="1:42" x14ac:dyDescent="0.2">
      <c r="A108" s="196">
        <v>40118</v>
      </c>
      <c r="B108">
        <v>-0.47</v>
      </c>
      <c r="C108" s="196">
        <v>40118</v>
      </c>
      <c r="D108">
        <v>1.5868751270489601</v>
      </c>
      <c r="F108" s="350">
        <f t="shared" si="7"/>
        <v>5.8448051513021673</v>
      </c>
      <c r="G108">
        <f t="shared" si="8"/>
        <v>8.915915901299698E-4</v>
      </c>
      <c r="H108" s="196">
        <v>40118</v>
      </c>
      <c r="I108">
        <v>-0.47</v>
      </c>
      <c r="J108" s="196">
        <v>40118</v>
      </c>
      <c r="K108">
        <v>1.58776671863909</v>
      </c>
      <c r="L108" s="350">
        <f t="shared" si="9"/>
        <v>5.7939122347633649</v>
      </c>
      <c r="S108" s="196">
        <v>40118</v>
      </c>
      <c r="T108">
        <v>4.3559999999999999</v>
      </c>
      <c r="U108">
        <v>0.19500000000000001</v>
      </c>
      <c r="W108">
        <f t="shared" si="10"/>
        <v>-3.5999999999999588E-2</v>
      </c>
      <c r="X108">
        <f t="shared" si="6"/>
        <v>0</v>
      </c>
      <c r="Y108" s="350">
        <f t="shared" si="11"/>
        <v>0</v>
      </c>
      <c r="AA108" s="196">
        <v>40118</v>
      </c>
      <c r="AB108">
        <v>4.32</v>
      </c>
      <c r="AC108">
        <v>0.19500000000000001</v>
      </c>
      <c r="AI108" s="196">
        <v>40087</v>
      </c>
      <c r="AJ108">
        <v>-143.62402753999999</v>
      </c>
      <c r="AL108" s="196">
        <v>40087</v>
      </c>
      <c r="AM108">
        <v>-82.070872890000004</v>
      </c>
      <c r="AO108" s="196">
        <v>39173</v>
      </c>
      <c r="AP108">
        <v>5.0837741828020002</v>
      </c>
    </row>
    <row r="109" spans="1:42" x14ac:dyDescent="0.2">
      <c r="A109" s="196">
        <v>40148</v>
      </c>
      <c r="B109">
        <v>-0.47</v>
      </c>
      <c r="C109" s="196">
        <v>40148</v>
      </c>
      <c r="D109">
        <v>1.58795635488385</v>
      </c>
      <c r="F109" s="350">
        <f t="shared" si="7"/>
        <v>6.0775615332465645</v>
      </c>
      <c r="G109">
        <f t="shared" si="8"/>
        <v>8.1525303868001942E-4</v>
      </c>
      <c r="H109" s="196">
        <v>40148</v>
      </c>
      <c r="I109">
        <v>-0.47</v>
      </c>
      <c r="J109" s="196">
        <v>40148</v>
      </c>
      <c r="K109">
        <v>1.58877160792253</v>
      </c>
      <c r="L109" s="350">
        <f t="shared" si="9"/>
        <v>6.0264706090538951</v>
      </c>
      <c r="S109" s="196">
        <v>40148</v>
      </c>
      <c r="T109">
        <v>4.508</v>
      </c>
      <c r="U109">
        <v>0.19500000000000001</v>
      </c>
      <c r="W109">
        <f t="shared" si="10"/>
        <v>-3.5999999999999588E-2</v>
      </c>
      <c r="X109">
        <f t="shared" si="6"/>
        <v>0</v>
      </c>
      <c r="Y109" s="350">
        <f t="shared" si="11"/>
        <v>0</v>
      </c>
      <c r="AA109" s="196">
        <v>40148</v>
      </c>
      <c r="AB109">
        <v>4.4720000000000004</v>
      </c>
      <c r="AC109">
        <v>0.19500000000000001</v>
      </c>
      <c r="AI109" s="196">
        <v>40118</v>
      </c>
      <c r="AJ109">
        <v>-138.17855394</v>
      </c>
      <c r="AL109" s="196">
        <v>40118</v>
      </c>
      <c r="AM109">
        <v>-78.959173669999998</v>
      </c>
      <c r="AO109" s="196">
        <v>39203</v>
      </c>
      <c r="AP109">
        <v>5.2280794150760004</v>
      </c>
    </row>
    <row r="110" spans="1:42" x14ac:dyDescent="0.2">
      <c r="A110" s="196">
        <v>40179</v>
      </c>
      <c r="B110">
        <v>-0.47</v>
      </c>
      <c r="C110" s="196">
        <v>40179</v>
      </c>
      <c r="D110">
        <v>1.5890941562997201</v>
      </c>
      <c r="F110" s="350">
        <f t="shared" si="7"/>
        <v>6.1835827280149127</v>
      </c>
      <c r="G110">
        <f t="shared" si="8"/>
        <v>7.3456765657997636E-4</v>
      </c>
      <c r="H110" s="196">
        <v>40179</v>
      </c>
      <c r="I110">
        <v>-0.47</v>
      </c>
      <c r="J110" s="196">
        <v>40179</v>
      </c>
      <c r="K110">
        <v>1.5898287239563</v>
      </c>
      <c r="L110" s="350">
        <f t="shared" si="9"/>
        <v>6.139728256850769</v>
      </c>
      <c r="S110" s="196">
        <v>40179</v>
      </c>
      <c r="T110">
        <v>4.5754999999999999</v>
      </c>
      <c r="U110">
        <v>0.19500000000000001</v>
      </c>
      <c r="W110">
        <f t="shared" si="10"/>
        <v>-3.0999999999999694E-2</v>
      </c>
      <c r="X110">
        <f t="shared" si="6"/>
        <v>0</v>
      </c>
      <c r="Y110" s="350">
        <f t="shared" si="11"/>
        <v>0</v>
      </c>
      <c r="AA110" s="196">
        <v>40179</v>
      </c>
      <c r="AB110">
        <v>4.5445000000000002</v>
      </c>
      <c r="AC110">
        <v>0.19500000000000001</v>
      </c>
      <c r="AI110" s="196">
        <v>40148</v>
      </c>
      <c r="AJ110">
        <v>-141.97260994000001</v>
      </c>
      <c r="AL110" s="196">
        <v>40148</v>
      </c>
      <c r="AM110">
        <v>-81.127205689999997</v>
      </c>
      <c r="AO110" s="196">
        <v>39234</v>
      </c>
      <c r="AP110">
        <v>5.0342483818480002</v>
      </c>
    </row>
    <row r="111" spans="1:42" x14ac:dyDescent="0.2">
      <c r="A111" s="196">
        <v>40210</v>
      </c>
      <c r="B111">
        <v>-0.47</v>
      </c>
      <c r="C111" s="196">
        <v>40210</v>
      </c>
      <c r="D111">
        <v>1.59025286596301</v>
      </c>
      <c r="F111" s="350">
        <f t="shared" si="7"/>
        <v>6.0569591963576874</v>
      </c>
      <c r="G111">
        <f t="shared" si="8"/>
        <v>6.5204437144994465E-4</v>
      </c>
      <c r="H111" s="196">
        <v>40210</v>
      </c>
      <c r="I111">
        <v>-0.47</v>
      </c>
      <c r="J111" s="196">
        <v>40210</v>
      </c>
      <c r="K111">
        <v>1.5909049103344599</v>
      </c>
      <c r="L111" s="350">
        <f t="shared" si="9"/>
        <v>6.01119033022733</v>
      </c>
      <c r="S111" s="196">
        <v>40210</v>
      </c>
      <c r="T111">
        <v>4.4885000000000002</v>
      </c>
      <c r="U111">
        <v>0.19</v>
      </c>
      <c r="W111">
        <f t="shared" si="10"/>
        <v>-3.2000000000000028E-2</v>
      </c>
      <c r="X111">
        <f t="shared" si="6"/>
        <v>0</v>
      </c>
      <c r="Y111" s="350">
        <f t="shared" si="11"/>
        <v>0</v>
      </c>
      <c r="AA111" s="196">
        <v>40210</v>
      </c>
      <c r="AB111">
        <v>4.4565000000000001</v>
      </c>
      <c r="AC111">
        <v>0.19</v>
      </c>
      <c r="AI111" s="196">
        <v>40179</v>
      </c>
      <c r="AJ111">
        <v>-141.13426124</v>
      </c>
      <c r="AL111" s="196">
        <v>40179</v>
      </c>
      <c r="AM111">
        <v>-80.648149270000005</v>
      </c>
      <c r="AO111" s="196">
        <v>39264</v>
      </c>
      <c r="AP111">
        <v>5.1768455837419998</v>
      </c>
    </row>
    <row r="112" spans="1:42" x14ac:dyDescent="0.2">
      <c r="A112" s="196">
        <v>40238</v>
      </c>
      <c r="B112">
        <v>-0.47</v>
      </c>
      <c r="C112" s="196">
        <v>40238</v>
      </c>
      <c r="D112">
        <v>1.5913174469593898</v>
      </c>
      <c r="F112" s="350">
        <f t="shared" si="7"/>
        <v>5.8513633735829691</v>
      </c>
      <c r="G112">
        <f t="shared" si="8"/>
        <v>5.7592221560009982E-4</v>
      </c>
      <c r="H112" s="196">
        <v>40238</v>
      </c>
      <c r="I112">
        <v>-0.47</v>
      </c>
      <c r="J112" s="196">
        <v>40238</v>
      </c>
      <c r="K112">
        <v>1.5918933691749899</v>
      </c>
      <c r="L112" s="350">
        <f t="shared" si="9"/>
        <v>5.8051987173200041</v>
      </c>
      <c r="S112" s="196">
        <v>40238</v>
      </c>
      <c r="T112">
        <v>4.3494999999999999</v>
      </c>
      <c r="U112">
        <v>0.1875</v>
      </c>
      <c r="W112">
        <f t="shared" si="10"/>
        <v>-3.2000000000000028E-2</v>
      </c>
      <c r="X112">
        <f t="shared" si="6"/>
        <v>0</v>
      </c>
      <c r="Y112" s="350">
        <f t="shared" si="11"/>
        <v>0</v>
      </c>
      <c r="AA112" s="196">
        <v>40238</v>
      </c>
      <c r="AB112">
        <v>4.3174999999999999</v>
      </c>
      <c r="AC112">
        <v>0.1875</v>
      </c>
      <c r="AI112" s="196">
        <v>40210</v>
      </c>
      <c r="AJ112">
        <v>-126.7194915</v>
      </c>
      <c r="AL112" s="196">
        <v>40210</v>
      </c>
      <c r="AM112">
        <v>-72.41113799</v>
      </c>
      <c r="AO112" s="196">
        <v>39295</v>
      </c>
      <c r="AP112">
        <v>5.1507671700380007</v>
      </c>
    </row>
    <row r="113" spans="1:42" x14ac:dyDescent="0.2">
      <c r="A113" s="196">
        <v>40269</v>
      </c>
      <c r="B113">
        <v>-0.59499999999999997</v>
      </c>
      <c r="C113" s="196">
        <v>40269</v>
      </c>
      <c r="D113">
        <v>1.5925160615455498</v>
      </c>
      <c r="F113" s="350">
        <f t="shared" si="7"/>
        <v>5.4346443028566753</v>
      </c>
      <c r="G113">
        <f t="shared" si="8"/>
        <v>4.8988333118016314E-4</v>
      </c>
      <c r="H113" s="196">
        <v>40269</v>
      </c>
      <c r="I113">
        <v>-0.59499999999999997</v>
      </c>
      <c r="J113" s="196">
        <v>40269</v>
      </c>
      <c r="K113">
        <v>1.59300594487673</v>
      </c>
      <c r="L113" s="350">
        <f t="shared" si="9"/>
        <v>5.3879999870079036</v>
      </c>
      <c r="S113" s="196">
        <v>40269</v>
      </c>
      <c r="T113">
        <v>4.1955</v>
      </c>
      <c r="U113">
        <v>0.185</v>
      </c>
      <c r="W113">
        <f t="shared" si="10"/>
        <v>-3.2000000000000028E-2</v>
      </c>
      <c r="X113">
        <f t="shared" si="6"/>
        <v>0</v>
      </c>
      <c r="Y113" s="350">
        <f t="shared" si="11"/>
        <v>0</v>
      </c>
      <c r="AA113" s="196">
        <v>40269</v>
      </c>
      <c r="AB113">
        <v>4.1635</v>
      </c>
      <c r="AC113">
        <v>0.185</v>
      </c>
      <c r="AI113" s="196">
        <v>40238</v>
      </c>
      <c r="AJ113">
        <v>-139.54057782000001</v>
      </c>
      <c r="AL113" s="196">
        <v>40238</v>
      </c>
      <c r="AM113">
        <v>-79.737473030000004</v>
      </c>
      <c r="AO113" s="196">
        <v>39326</v>
      </c>
      <c r="AP113">
        <v>4.9593513586819995</v>
      </c>
    </row>
    <row r="114" spans="1:42" x14ac:dyDescent="0.2">
      <c r="A114" s="196">
        <v>40299</v>
      </c>
      <c r="B114">
        <v>-0.59499999999999997</v>
      </c>
      <c r="C114" s="196">
        <v>40299</v>
      </c>
      <c r="D114">
        <v>1.5936960314838999</v>
      </c>
      <c r="F114" s="350">
        <f t="shared" si="7"/>
        <v>5.4462237469055683</v>
      </c>
      <c r="G114">
        <f t="shared" si="8"/>
        <v>4.0485212274998794E-4</v>
      </c>
      <c r="H114" s="196">
        <v>40299</v>
      </c>
      <c r="I114">
        <v>-0.59499999999999997</v>
      </c>
      <c r="J114" s="196">
        <v>40299</v>
      </c>
      <c r="K114">
        <v>1.5941008836066499</v>
      </c>
      <c r="L114" s="350">
        <f t="shared" si="9"/>
        <v>5.3992579612535865</v>
      </c>
      <c r="S114" s="196">
        <v>40299</v>
      </c>
      <c r="T114">
        <v>4.2004999999999999</v>
      </c>
      <c r="U114">
        <v>0.185</v>
      </c>
      <c r="W114">
        <f t="shared" si="10"/>
        <v>-3.2000000000000028E-2</v>
      </c>
      <c r="X114">
        <f t="shared" si="6"/>
        <v>0</v>
      </c>
      <c r="Y114" s="350">
        <f t="shared" si="11"/>
        <v>0</v>
      </c>
      <c r="AA114" s="196">
        <v>40299</v>
      </c>
      <c r="AB114">
        <v>4.1684999999999999</v>
      </c>
      <c r="AC114">
        <v>0.185</v>
      </c>
      <c r="AI114" s="196">
        <v>40269</v>
      </c>
      <c r="AJ114">
        <v>-134.2299658</v>
      </c>
      <c r="AL114" s="196">
        <v>40269</v>
      </c>
      <c r="AM114">
        <v>-76.702837610000003</v>
      </c>
      <c r="AO114" s="196">
        <v>39356</v>
      </c>
      <c r="AP114">
        <v>5.0993782407120003</v>
      </c>
    </row>
    <row r="115" spans="1:42" x14ac:dyDescent="0.2">
      <c r="A115" s="196">
        <v>40330</v>
      </c>
      <c r="B115">
        <v>-0.59499999999999997</v>
      </c>
      <c r="C115" s="196">
        <v>40330</v>
      </c>
      <c r="D115">
        <v>1.59493606288446</v>
      </c>
      <c r="F115" s="350">
        <f t="shared" si="7"/>
        <v>5.5079062581697373</v>
      </c>
      <c r="G115">
        <f t="shared" si="8"/>
        <v>3.1515327595998954E-4</v>
      </c>
      <c r="H115" s="196">
        <v>40330</v>
      </c>
      <c r="I115">
        <v>-0.59499999999999997</v>
      </c>
      <c r="J115" s="196">
        <v>40330</v>
      </c>
      <c r="K115">
        <v>1.59525121616042</v>
      </c>
      <c r="L115" s="350">
        <f t="shared" si="9"/>
        <v>5.4606104009297676</v>
      </c>
      <c r="S115" s="196">
        <v>40330</v>
      </c>
      <c r="T115">
        <v>4.2385000000000002</v>
      </c>
      <c r="U115">
        <v>0.185</v>
      </c>
      <c r="W115">
        <f t="shared" si="10"/>
        <v>-3.2000000000000028E-2</v>
      </c>
      <c r="X115">
        <f t="shared" si="6"/>
        <v>0</v>
      </c>
      <c r="Y115" s="350">
        <f t="shared" si="11"/>
        <v>0</v>
      </c>
      <c r="AA115" s="196">
        <v>40330</v>
      </c>
      <c r="AB115">
        <v>4.2065000000000001</v>
      </c>
      <c r="AC115">
        <v>0.185</v>
      </c>
      <c r="AI115" s="196">
        <v>40299</v>
      </c>
      <c r="AJ115">
        <v>-137.89576080000001</v>
      </c>
      <c r="AL115" s="196">
        <v>40299</v>
      </c>
      <c r="AM115">
        <v>-78.797577599999997</v>
      </c>
      <c r="AO115" s="196">
        <v>39387</v>
      </c>
      <c r="AP115">
        <v>4.9095761725920006</v>
      </c>
    </row>
    <row r="116" spans="1:42" x14ac:dyDescent="0.2">
      <c r="A116" s="196">
        <v>40360</v>
      </c>
      <c r="B116">
        <v>-0.59499999999999997</v>
      </c>
      <c r="C116" s="196">
        <v>40360</v>
      </c>
      <c r="D116">
        <v>1.59615619414971</v>
      </c>
      <c r="F116" s="350">
        <f t="shared" si="7"/>
        <v>5.5801987023638606</v>
      </c>
      <c r="G116">
        <f t="shared" si="8"/>
        <v>2.265673994099604E-4</v>
      </c>
      <c r="H116" s="196">
        <v>40360</v>
      </c>
      <c r="I116">
        <v>-0.59499999999999997</v>
      </c>
      <c r="J116" s="196">
        <v>40360</v>
      </c>
      <c r="K116">
        <v>1.59638276154912</v>
      </c>
      <c r="L116" s="350">
        <f t="shared" si="9"/>
        <v>5.5325722687746977</v>
      </c>
      <c r="S116" s="196">
        <v>40360</v>
      </c>
      <c r="T116">
        <v>4.2835000000000001</v>
      </c>
      <c r="U116">
        <v>0.185</v>
      </c>
      <c r="W116">
        <f t="shared" si="10"/>
        <v>-3.2000000000000028E-2</v>
      </c>
      <c r="X116">
        <f t="shared" si="6"/>
        <v>0</v>
      </c>
      <c r="Y116" s="350">
        <f t="shared" si="11"/>
        <v>0</v>
      </c>
      <c r="AA116" s="196">
        <v>40360</v>
      </c>
      <c r="AB116">
        <v>4.2515000000000001</v>
      </c>
      <c r="AC116">
        <v>0.185</v>
      </c>
      <c r="AI116" s="196">
        <v>40330</v>
      </c>
      <c r="AJ116">
        <v>-132.63978280000001</v>
      </c>
      <c r="AL116" s="196">
        <v>40330</v>
      </c>
      <c r="AM116">
        <v>-75.794161590000002</v>
      </c>
      <c r="AO116" s="196">
        <v>39417</v>
      </c>
      <c r="AP116">
        <v>5.047903156366</v>
      </c>
    </row>
    <row r="117" spans="1:42" x14ac:dyDescent="0.2">
      <c r="A117" s="196">
        <v>40391</v>
      </c>
      <c r="B117">
        <v>-0.59499999999999997</v>
      </c>
      <c r="C117" s="196">
        <v>40391</v>
      </c>
      <c r="D117">
        <v>1.59743781038888</v>
      </c>
      <c r="F117" s="350">
        <f t="shared" si="7"/>
        <v>5.642214252527034</v>
      </c>
      <c r="G117">
        <f t="shared" si="8"/>
        <v>1.3318193385991606E-4</v>
      </c>
      <c r="H117" s="196">
        <v>40391</v>
      </c>
      <c r="I117">
        <v>-0.59499999999999997</v>
      </c>
      <c r="J117" s="196">
        <v>40391</v>
      </c>
      <c r="K117">
        <v>1.5975709923227399</v>
      </c>
      <c r="L117" s="350">
        <f t="shared" si="9"/>
        <v>5.5942300988159523</v>
      </c>
      <c r="S117" s="196">
        <v>40391</v>
      </c>
      <c r="T117">
        <v>4.3215000000000003</v>
      </c>
      <c r="U117">
        <v>0.185</v>
      </c>
      <c r="W117">
        <f t="shared" si="10"/>
        <v>-3.2000000000000028E-2</v>
      </c>
      <c r="X117">
        <f t="shared" si="6"/>
        <v>0</v>
      </c>
      <c r="Y117" s="350">
        <f t="shared" si="11"/>
        <v>0</v>
      </c>
      <c r="AA117" s="196">
        <v>40391</v>
      </c>
      <c r="AB117">
        <v>4.2895000000000003</v>
      </c>
      <c r="AC117">
        <v>0.185</v>
      </c>
      <c r="AI117" s="196">
        <v>40360</v>
      </c>
      <c r="AJ117">
        <v>-136.25423377999999</v>
      </c>
      <c r="AL117" s="196">
        <v>40360</v>
      </c>
      <c r="AM117">
        <v>-77.859562150000002</v>
      </c>
      <c r="AO117" s="196">
        <v>39448</v>
      </c>
      <c r="AP117">
        <v>5.0217149021200003</v>
      </c>
    </row>
    <row r="118" spans="1:42" x14ac:dyDescent="0.2">
      <c r="A118" s="196">
        <v>40422</v>
      </c>
      <c r="B118">
        <v>-0.59499999999999997</v>
      </c>
      <c r="C118" s="196">
        <v>40422</v>
      </c>
      <c r="D118">
        <v>1.5987406263138899</v>
      </c>
      <c r="F118" s="350">
        <f t="shared" si="7"/>
        <v>5.6377239693445915</v>
      </c>
      <c r="G118">
        <f t="shared" si="8"/>
        <v>3.791238384009965E-5</v>
      </c>
      <c r="H118" s="196">
        <v>40422</v>
      </c>
      <c r="I118">
        <v>-0.59499999999999997</v>
      </c>
      <c r="J118" s="196">
        <v>40422</v>
      </c>
      <c r="K118">
        <v>1.59877853869773</v>
      </c>
      <c r="L118" s="350">
        <f t="shared" si="9"/>
        <v>5.5893664791125568</v>
      </c>
      <c r="S118" s="196">
        <v>40422</v>
      </c>
      <c r="T118">
        <v>4.3155000000000001</v>
      </c>
      <c r="U118">
        <v>0.185</v>
      </c>
      <c r="W118">
        <f t="shared" si="10"/>
        <v>-3.2000000000000028E-2</v>
      </c>
      <c r="X118">
        <f t="shared" si="6"/>
        <v>0</v>
      </c>
      <c r="Y118" s="350">
        <f t="shared" si="11"/>
        <v>0</v>
      </c>
      <c r="AA118" s="196">
        <v>40422</v>
      </c>
      <c r="AB118">
        <v>4.2835000000000001</v>
      </c>
      <c r="AC118">
        <v>0.185</v>
      </c>
      <c r="AI118" s="196">
        <v>40391</v>
      </c>
      <c r="AJ118">
        <v>-135.42138847999999</v>
      </c>
      <c r="AL118" s="196">
        <v>40391</v>
      </c>
      <c r="AM118">
        <v>-77.383650549999999</v>
      </c>
      <c r="AO118" s="196">
        <v>39479</v>
      </c>
      <c r="AP118">
        <v>4.6732185760260005</v>
      </c>
    </row>
    <row r="119" spans="1:42" x14ac:dyDescent="0.2">
      <c r="A119" s="196">
        <v>40452</v>
      </c>
      <c r="B119">
        <v>-0.59499999999999997</v>
      </c>
      <c r="C119" s="196">
        <v>40452</v>
      </c>
      <c r="D119">
        <v>1.60002164402244</v>
      </c>
      <c r="F119" s="350">
        <f t="shared" si="7"/>
        <v>5.6422412901168171</v>
      </c>
      <c r="G119">
        <f t="shared" si="8"/>
        <v>-5.6084729600058836E-5</v>
      </c>
      <c r="H119" s="196">
        <v>40452</v>
      </c>
      <c r="I119">
        <v>-0.59499999999999997</v>
      </c>
      <c r="J119" s="196">
        <v>40452</v>
      </c>
      <c r="K119">
        <v>1.5999655592928399</v>
      </c>
      <c r="L119" s="350">
        <f t="shared" si="9"/>
        <v>5.5935163303669571</v>
      </c>
      <c r="S119" s="196">
        <v>40452</v>
      </c>
      <c r="T119">
        <v>4.3155000000000001</v>
      </c>
      <c r="U119">
        <v>0.185</v>
      </c>
      <c r="W119">
        <f t="shared" si="10"/>
        <v>-3.2000000000000028E-2</v>
      </c>
      <c r="X119">
        <f t="shared" si="6"/>
        <v>0</v>
      </c>
      <c r="Y119" s="350">
        <f t="shared" si="11"/>
        <v>0</v>
      </c>
      <c r="AA119" s="196">
        <v>40452</v>
      </c>
      <c r="AB119">
        <v>4.2835000000000001</v>
      </c>
      <c r="AC119">
        <v>0.185</v>
      </c>
      <c r="AI119" s="196">
        <v>40422</v>
      </c>
      <c r="AJ119">
        <v>-130.24793124000001</v>
      </c>
      <c r="AL119" s="196">
        <v>40422</v>
      </c>
      <c r="AM119">
        <v>-74.427389270000006</v>
      </c>
      <c r="AO119" s="196">
        <v>39508</v>
      </c>
      <c r="AP119">
        <v>4.9709808078140005</v>
      </c>
    </row>
    <row r="120" spans="1:42" x14ac:dyDescent="0.2">
      <c r="A120" s="196">
        <v>40483</v>
      </c>
      <c r="B120">
        <v>-0.56499999999999995</v>
      </c>
      <c r="C120" s="196">
        <v>40483</v>
      </c>
      <c r="D120">
        <v>1.6013663101173199</v>
      </c>
      <c r="F120" s="350">
        <f t="shared" si="7"/>
        <v>5.9171518478567693</v>
      </c>
      <c r="G120">
        <f t="shared" si="8"/>
        <v>-1.5508312186995887E-4</v>
      </c>
      <c r="H120" s="196">
        <v>40483</v>
      </c>
      <c r="I120">
        <v>-0.56499999999999995</v>
      </c>
      <c r="J120" s="196">
        <v>40483</v>
      </c>
      <c r="K120">
        <v>1.6012112269954499</v>
      </c>
      <c r="L120" s="350">
        <f t="shared" si="9"/>
        <v>5.8695314944466483</v>
      </c>
      <c r="S120" s="196">
        <v>40483</v>
      </c>
      <c r="T120">
        <v>4.4634999999999998</v>
      </c>
      <c r="U120">
        <v>0.185</v>
      </c>
      <c r="W120">
        <f t="shared" si="10"/>
        <v>-3.0999999999999694E-2</v>
      </c>
      <c r="X120">
        <f t="shared" si="6"/>
        <v>0</v>
      </c>
      <c r="Y120" s="350">
        <f t="shared" si="11"/>
        <v>0</v>
      </c>
      <c r="AA120" s="196">
        <v>40483</v>
      </c>
      <c r="AB120">
        <v>4.4325000000000001</v>
      </c>
      <c r="AC120">
        <v>0.185</v>
      </c>
      <c r="AI120" s="196">
        <v>40452</v>
      </c>
      <c r="AJ120">
        <v>-133.78548455999999</v>
      </c>
      <c r="AL120" s="196">
        <v>40452</v>
      </c>
      <c r="AM120">
        <v>-76.448848330000004</v>
      </c>
      <c r="AO120" s="196">
        <v>39539</v>
      </c>
      <c r="AP120">
        <v>4.7852391528060005</v>
      </c>
    </row>
    <row r="121" spans="1:42" x14ac:dyDescent="0.2">
      <c r="A121" s="196">
        <v>40513</v>
      </c>
      <c r="B121">
        <v>-0.56499999999999995</v>
      </c>
      <c r="C121" s="196">
        <v>40513</v>
      </c>
      <c r="D121">
        <v>1.60268791619201</v>
      </c>
      <c r="F121" s="350">
        <f t="shared" si="7"/>
        <v>6.1529316022426643</v>
      </c>
      <c r="G121">
        <f t="shared" si="8"/>
        <v>-2.5270286162015765E-4</v>
      </c>
      <c r="H121" s="196">
        <v>40513</v>
      </c>
      <c r="I121">
        <v>-0.56499999999999995</v>
      </c>
      <c r="J121" s="196">
        <v>40513</v>
      </c>
      <c r="K121">
        <v>1.6024352133303899</v>
      </c>
      <c r="L121" s="350">
        <f t="shared" si="9"/>
        <v>6.1048781675868424</v>
      </c>
      <c r="S121" s="196">
        <v>40513</v>
      </c>
      <c r="T121">
        <v>4.6154999999999999</v>
      </c>
      <c r="U121">
        <v>0.185</v>
      </c>
      <c r="W121">
        <f t="shared" si="10"/>
        <v>-3.0999999999999694E-2</v>
      </c>
      <c r="X121">
        <f t="shared" si="6"/>
        <v>0</v>
      </c>
      <c r="Y121" s="350">
        <f t="shared" si="11"/>
        <v>0</v>
      </c>
      <c r="AA121" s="196">
        <v>40513</v>
      </c>
      <c r="AB121">
        <v>4.5845000000000002</v>
      </c>
      <c r="AC121">
        <v>0.185</v>
      </c>
      <c r="AI121" s="196">
        <v>40483</v>
      </c>
      <c r="AJ121">
        <v>-128.66680260000001</v>
      </c>
      <c r="AL121" s="196">
        <v>40483</v>
      </c>
      <c r="AM121">
        <v>-73.523887209999998</v>
      </c>
      <c r="AO121" s="196">
        <v>39569</v>
      </c>
      <c r="AP121">
        <v>4.9193481327620008</v>
      </c>
    </row>
    <row r="122" spans="1:42" x14ac:dyDescent="0.2">
      <c r="A122" s="196">
        <v>40544</v>
      </c>
      <c r="B122">
        <v>-0.56499999999999995</v>
      </c>
      <c r="C122" s="196">
        <v>40544</v>
      </c>
      <c r="D122">
        <v>1.6040746163426101</v>
      </c>
      <c r="F122" s="350">
        <f t="shared" si="7"/>
        <v>6.2646811701366802</v>
      </c>
      <c r="G122">
        <f t="shared" si="8"/>
        <v>-3.5545944558013076E-4</v>
      </c>
      <c r="H122" s="196">
        <v>40544</v>
      </c>
      <c r="I122">
        <v>-0.56499999999999995</v>
      </c>
      <c r="J122" s="196">
        <v>40544</v>
      </c>
      <c r="K122">
        <v>1.6037191568970299</v>
      </c>
      <c r="L122" s="350">
        <f t="shared" si="9"/>
        <v>6.2237720916376844</v>
      </c>
      <c r="S122" s="196">
        <v>40544</v>
      </c>
      <c r="T122">
        <v>4.6855000000000002</v>
      </c>
      <c r="U122">
        <v>0.185</v>
      </c>
      <c r="W122">
        <f t="shared" si="10"/>
        <v>-2.5999999999999801E-2</v>
      </c>
      <c r="X122">
        <f t="shared" si="6"/>
        <v>0</v>
      </c>
      <c r="Y122" s="350">
        <f t="shared" si="11"/>
        <v>0</v>
      </c>
      <c r="AA122" s="196">
        <v>40544</v>
      </c>
      <c r="AB122">
        <v>4.6595000000000004</v>
      </c>
      <c r="AC122">
        <v>0.185</v>
      </c>
      <c r="AI122" s="196">
        <v>40513</v>
      </c>
      <c r="AJ122">
        <v>-132.15373933999999</v>
      </c>
      <c r="AL122" s="196">
        <v>40513</v>
      </c>
      <c r="AM122">
        <v>-75.516422489999997</v>
      </c>
      <c r="AO122" s="196">
        <v>39600</v>
      </c>
      <c r="AP122">
        <v>4.7352505126780002</v>
      </c>
    </row>
    <row r="123" spans="1:42" x14ac:dyDescent="0.2">
      <c r="A123" s="196">
        <v>40575</v>
      </c>
      <c r="B123">
        <v>-0.56499999999999995</v>
      </c>
      <c r="C123" s="196">
        <v>40575</v>
      </c>
      <c r="D123">
        <v>1.6054827505804399</v>
      </c>
      <c r="F123" s="350">
        <f t="shared" si="7"/>
        <v>6.1377923773394061</v>
      </c>
      <c r="G123">
        <f t="shared" si="8"/>
        <v>-4.6013752688001119E-4</v>
      </c>
      <c r="H123" s="196">
        <v>40575</v>
      </c>
      <c r="I123">
        <v>-0.56499999999999995</v>
      </c>
      <c r="J123" s="196">
        <v>40575</v>
      </c>
      <c r="K123">
        <v>1.6050226130535599</v>
      </c>
      <c r="L123" s="350">
        <f t="shared" si="9"/>
        <v>6.0949590345906657</v>
      </c>
      <c r="S123" s="196">
        <v>40575</v>
      </c>
      <c r="T123">
        <v>4.5985000000000005</v>
      </c>
      <c r="U123">
        <v>0.185</v>
      </c>
      <c r="W123">
        <f t="shared" si="10"/>
        <v>-2.7000000000000135E-2</v>
      </c>
      <c r="X123">
        <f t="shared" si="6"/>
        <v>0</v>
      </c>
      <c r="Y123" s="350">
        <f t="shared" si="11"/>
        <v>0</v>
      </c>
      <c r="AA123" s="196">
        <v>40575</v>
      </c>
      <c r="AB123">
        <v>4.5715000000000003</v>
      </c>
      <c r="AC123">
        <v>0.185</v>
      </c>
      <c r="AI123" s="196">
        <v>40544</v>
      </c>
      <c r="AJ123">
        <v>-44.088079260000001</v>
      </c>
      <c r="AO123" s="196">
        <v>39630</v>
      </c>
      <c r="AP123">
        <v>4.8676748160460006</v>
      </c>
    </row>
    <row r="124" spans="1:42" x14ac:dyDescent="0.2">
      <c r="A124" s="196">
        <v>40603</v>
      </c>
      <c r="B124">
        <v>-0.56499999999999995</v>
      </c>
      <c r="C124" s="196">
        <v>40603</v>
      </c>
      <c r="D124">
        <v>1.60677307837891</v>
      </c>
      <c r="F124" s="350">
        <f t="shared" si="7"/>
        <v>5.9310384981903006</v>
      </c>
      <c r="G124">
        <f t="shared" si="8"/>
        <v>-5.5634369533019701E-4</v>
      </c>
      <c r="H124" s="196">
        <v>40603</v>
      </c>
      <c r="I124">
        <v>-0.56499999999999995</v>
      </c>
      <c r="J124" s="196">
        <v>40603</v>
      </c>
      <c r="K124">
        <v>1.6062167346835798</v>
      </c>
      <c r="L124" s="350">
        <f t="shared" si="9"/>
        <v>5.8878800948847694</v>
      </c>
      <c r="S124" s="196">
        <v>40603</v>
      </c>
      <c r="T124">
        <v>4.4595000000000002</v>
      </c>
      <c r="U124">
        <v>0.18</v>
      </c>
      <c r="W124">
        <f t="shared" si="10"/>
        <v>-2.7000000000000135E-2</v>
      </c>
      <c r="X124">
        <f t="shared" si="6"/>
        <v>0</v>
      </c>
      <c r="Y124" s="350">
        <f t="shared" si="11"/>
        <v>0</v>
      </c>
      <c r="AA124" s="196">
        <v>40603</v>
      </c>
      <c r="AB124">
        <v>4.4325000000000001</v>
      </c>
      <c r="AC124">
        <v>0.18</v>
      </c>
      <c r="AI124" s="196">
        <v>40575</v>
      </c>
      <c r="AJ124">
        <v>-39.570922920000001</v>
      </c>
      <c r="AO124" s="196">
        <v>39661</v>
      </c>
      <c r="AP124">
        <v>4.8414031174880003</v>
      </c>
    </row>
    <row r="125" spans="1:42" x14ac:dyDescent="0.2">
      <c r="A125" s="196">
        <v>40634</v>
      </c>
      <c r="B125">
        <v>-0.56499999999999995</v>
      </c>
      <c r="C125" s="196">
        <v>40634</v>
      </c>
      <c r="D125">
        <v>1.6082221453261398</v>
      </c>
      <c r="F125" s="350">
        <f t="shared" si="7"/>
        <v>5.7016451587332106</v>
      </c>
      <c r="G125">
        <f t="shared" si="8"/>
        <v>-6.6470105781002431E-4</v>
      </c>
      <c r="H125" s="196">
        <v>40634</v>
      </c>
      <c r="I125">
        <v>-0.56499999999999995</v>
      </c>
      <c r="J125" s="196">
        <v>40634</v>
      </c>
      <c r="K125">
        <v>1.6075574442683298</v>
      </c>
      <c r="L125" s="350">
        <f t="shared" si="9"/>
        <v>5.6581494909184373</v>
      </c>
      <c r="S125" s="196">
        <v>40634</v>
      </c>
      <c r="T125">
        <v>4.3055000000000003</v>
      </c>
      <c r="U125">
        <v>0.18</v>
      </c>
      <c r="W125">
        <f t="shared" si="10"/>
        <v>-2.7000000000000135E-2</v>
      </c>
      <c r="X125">
        <f t="shared" si="6"/>
        <v>0</v>
      </c>
      <c r="Y125" s="350">
        <f t="shared" si="11"/>
        <v>0</v>
      </c>
      <c r="AA125" s="196">
        <v>40634</v>
      </c>
      <c r="AB125">
        <v>4.2785000000000002</v>
      </c>
      <c r="AC125">
        <v>0.18</v>
      </c>
      <c r="AI125" s="196">
        <v>40603</v>
      </c>
      <c r="AJ125">
        <v>-43.560456260000002</v>
      </c>
      <c r="AO125" s="196">
        <v>39692</v>
      </c>
      <c r="AP125">
        <v>4.6597992539839996</v>
      </c>
    </row>
    <row r="126" spans="1:42" x14ac:dyDescent="0.2">
      <c r="A126" s="196">
        <v>40664</v>
      </c>
      <c r="B126">
        <v>-0.56499999999999995</v>
      </c>
      <c r="C126" s="196">
        <v>40664</v>
      </c>
      <c r="D126">
        <v>1.60964501615138</v>
      </c>
      <c r="F126" s="350">
        <f t="shared" si="7"/>
        <v>5.7143179205606094</v>
      </c>
      <c r="G126">
        <f t="shared" si="8"/>
        <v>-7.7141496804000731E-4</v>
      </c>
      <c r="H126" s="196">
        <v>40664</v>
      </c>
      <c r="I126">
        <v>-0.56499999999999995</v>
      </c>
      <c r="J126" s="196">
        <v>40664</v>
      </c>
      <c r="K126">
        <v>1.60887360118334</v>
      </c>
      <c r="L126" s="350">
        <f t="shared" si="9"/>
        <v>5.6704065812622737</v>
      </c>
      <c r="S126" s="196">
        <v>40664</v>
      </c>
      <c r="T126">
        <v>4.3105000000000002</v>
      </c>
      <c r="U126">
        <v>0.18</v>
      </c>
      <c r="W126">
        <f t="shared" si="10"/>
        <v>-2.7000000000000135E-2</v>
      </c>
      <c r="X126">
        <f t="shared" si="6"/>
        <v>0</v>
      </c>
      <c r="Y126" s="350">
        <f t="shared" si="11"/>
        <v>0</v>
      </c>
      <c r="AA126" s="196">
        <v>40664</v>
      </c>
      <c r="AB126">
        <v>4.2835000000000001</v>
      </c>
      <c r="AC126">
        <v>0.18</v>
      </c>
      <c r="AI126" s="196">
        <v>40634</v>
      </c>
      <c r="AJ126">
        <v>-41.88759795</v>
      </c>
      <c r="AO126" s="196">
        <v>39722</v>
      </c>
      <c r="AP126">
        <v>4.7896926091000003</v>
      </c>
    </row>
    <row r="127" spans="1:42" x14ac:dyDescent="0.2">
      <c r="A127" s="196">
        <v>40695</v>
      </c>
      <c r="B127">
        <v>-0.56499999999999995</v>
      </c>
      <c r="C127" s="196">
        <v>40695</v>
      </c>
      <c r="D127">
        <v>1.6111365999466398</v>
      </c>
      <c r="F127" s="350">
        <f t="shared" si="7"/>
        <v>5.7776414957102871</v>
      </c>
      <c r="G127">
        <f t="shared" si="8"/>
        <v>-8.8360788742991581E-4</v>
      </c>
      <c r="H127" s="196">
        <v>40695</v>
      </c>
      <c r="I127">
        <v>-0.56499999999999995</v>
      </c>
      <c r="J127" s="196">
        <v>40695</v>
      </c>
      <c r="K127">
        <v>1.6102529920592099</v>
      </c>
      <c r="L127" s="350">
        <f t="shared" si="9"/>
        <v>5.7332647410852342</v>
      </c>
      <c r="S127" s="196">
        <v>40695</v>
      </c>
      <c r="T127">
        <v>4.3485000000000005</v>
      </c>
      <c r="U127">
        <v>0.18</v>
      </c>
      <c r="W127">
        <f t="shared" si="10"/>
        <v>-2.7000000000000135E-2</v>
      </c>
      <c r="X127">
        <f t="shared" si="6"/>
        <v>0</v>
      </c>
      <c r="Y127" s="350">
        <f t="shared" si="11"/>
        <v>0</v>
      </c>
      <c r="AA127" s="196">
        <v>40695</v>
      </c>
      <c r="AB127">
        <v>4.3215000000000003</v>
      </c>
      <c r="AC127">
        <v>0.18</v>
      </c>
      <c r="AI127" s="196">
        <v>40664</v>
      </c>
      <c r="AJ127">
        <v>-43.016593520000001</v>
      </c>
      <c r="AO127" s="196">
        <v>39753</v>
      </c>
      <c r="AP127">
        <v>4.6097509403680004</v>
      </c>
    </row>
    <row r="128" spans="1:42" x14ac:dyDescent="0.2">
      <c r="A128" s="196">
        <v>40725</v>
      </c>
      <c r="B128">
        <v>-0.56499999999999995</v>
      </c>
      <c r="C128" s="196">
        <v>40725</v>
      </c>
      <c r="D128">
        <v>1.6126007151369401</v>
      </c>
      <c r="F128" s="350">
        <f t="shared" si="7"/>
        <v>5.8516721746540243</v>
      </c>
      <c r="G128">
        <f t="shared" si="8"/>
        <v>-9.9404954762039033E-4</v>
      </c>
      <c r="H128" s="196">
        <v>40725</v>
      </c>
      <c r="I128">
        <v>-0.56499999999999995</v>
      </c>
      <c r="J128" s="196">
        <v>40725</v>
      </c>
      <c r="K128">
        <v>1.6116066655893198</v>
      </c>
      <c r="L128" s="350">
        <f t="shared" si="9"/>
        <v>5.8068223290875549</v>
      </c>
      <c r="S128" s="196">
        <v>40725</v>
      </c>
      <c r="T128">
        <v>4.3935000000000004</v>
      </c>
      <c r="U128">
        <v>0.18</v>
      </c>
      <c r="W128">
        <f t="shared" si="10"/>
        <v>-2.7000000000000135E-2</v>
      </c>
      <c r="X128">
        <f t="shared" si="6"/>
        <v>0</v>
      </c>
      <c r="Y128" s="350">
        <f t="shared" si="11"/>
        <v>0</v>
      </c>
      <c r="AA128" s="196">
        <v>40725</v>
      </c>
      <c r="AB128">
        <v>4.3665000000000003</v>
      </c>
      <c r="AC128">
        <v>0.18</v>
      </c>
      <c r="AI128" s="196">
        <v>40695</v>
      </c>
      <c r="AJ128">
        <v>-41.362141629999996</v>
      </c>
      <c r="AO128" s="196">
        <v>39783</v>
      </c>
      <c r="AP128">
        <v>4.7379732198260003</v>
      </c>
    </row>
    <row r="129" spans="1:42" x14ac:dyDescent="0.2">
      <c r="A129" s="196">
        <v>40756</v>
      </c>
      <c r="B129">
        <v>-0.56499999999999995</v>
      </c>
      <c r="C129" s="196">
        <v>40756</v>
      </c>
      <c r="D129">
        <v>1.61413502207937</v>
      </c>
      <c r="F129" s="350">
        <f t="shared" si="7"/>
        <v>5.9153761154572679</v>
      </c>
      <c r="G129">
        <f t="shared" si="8"/>
        <v>-1.110111208769915E-3</v>
      </c>
      <c r="H129" s="196">
        <v>40756</v>
      </c>
      <c r="I129">
        <v>-0.56499999999999995</v>
      </c>
      <c r="J129" s="196">
        <v>40756</v>
      </c>
      <c r="K129">
        <v>1.6130249108706001</v>
      </c>
      <c r="L129" s="350">
        <f t="shared" si="9"/>
        <v>5.870028837604516</v>
      </c>
      <c r="S129" s="196">
        <v>40756</v>
      </c>
      <c r="T129">
        <v>4.4314999999999998</v>
      </c>
      <c r="U129">
        <v>0.18</v>
      </c>
      <c r="W129">
        <f t="shared" si="10"/>
        <v>-2.6999999999999247E-2</v>
      </c>
      <c r="X129">
        <f t="shared" si="6"/>
        <v>0</v>
      </c>
      <c r="Y129" s="350">
        <f t="shared" si="11"/>
        <v>0</v>
      </c>
      <c r="AA129" s="196">
        <v>40756</v>
      </c>
      <c r="AB129">
        <v>4.4045000000000005</v>
      </c>
      <c r="AC129">
        <v>0.18</v>
      </c>
      <c r="AI129" s="196">
        <v>40725</v>
      </c>
      <c r="AJ129">
        <v>-42.474510719999998</v>
      </c>
      <c r="AO129" s="196">
        <v>39814</v>
      </c>
      <c r="AP129">
        <v>4.7116901761019996</v>
      </c>
    </row>
    <row r="130" spans="1:42" x14ac:dyDescent="0.2">
      <c r="A130" s="196">
        <v>40787</v>
      </c>
      <c r="B130">
        <v>-0.56499999999999995</v>
      </c>
      <c r="C130" s="196">
        <v>40787</v>
      </c>
      <c r="D130">
        <v>1.61569112194234</v>
      </c>
      <c r="F130" s="350">
        <f t="shared" si="7"/>
        <v>5.9118905311740839</v>
      </c>
      <c r="G130">
        <f t="shared" si="8"/>
        <v>-1.2281520302201976E-3</v>
      </c>
      <c r="H130" s="196">
        <v>40787</v>
      </c>
      <c r="I130">
        <v>-0.56499999999999995</v>
      </c>
      <c r="J130" s="196">
        <v>40787</v>
      </c>
      <c r="K130">
        <v>1.6144629699121198</v>
      </c>
      <c r="L130" s="350">
        <f t="shared" si="9"/>
        <v>5.8660808479911131</v>
      </c>
      <c r="S130" s="196">
        <v>40787</v>
      </c>
      <c r="T130">
        <v>4.4255000000000004</v>
      </c>
      <c r="U130">
        <v>0.18</v>
      </c>
      <c r="W130">
        <f t="shared" si="10"/>
        <v>-2.7000000000000135E-2</v>
      </c>
      <c r="X130">
        <f t="shared" si="6"/>
        <v>0</v>
      </c>
      <c r="Y130" s="350">
        <f t="shared" si="11"/>
        <v>0</v>
      </c>
      <c r="AA130" s="196">
        <v>40787</v>
      </c>
      <c r="AB130">
        <v>4.3985000000000003</v>
      </c>
      <c r="AC130">
        <v>0.18</v>
      </c>
      <c r="AI130" s="196">
        <v>40756</v>
      </c>
      <c r="AJ130">
        <v>-42.19974217</v>
      </c>
      <c r="AO130" s="196">
        <v>39845</v>
      </c>
      <c r="AP130">
        <v>4.2319829296780007</v>
      </c>
    </row>
    <row r="131" spans="1:42" x14ac:dyDescent="0.2">
      <c r="A131" s="196">
        <v>40817</v>
      </c>
      <c r="B131">
        <v>-0.56499999999999995</v>
      </c>
      <c r="C131" s="196">
        <v>40817</v>
      </c>
      <c r="D131">
        <v>1.61721782738305</v>
      </c>
      <c r="F131" s="350">
        <f t="shared" si="7"/>
        <v>5.9174768188724247</v>
      </c>
      <c r="G131">
        <f t="shared" si="8"/>
        <v>-1.3442779935299853E-3</v>
      </c>
      <c r="H131" s="196">
        <v>40817</v>
      </c>
      <c r="I131">
        <v>-0.56499999999999995</v>
      </c>
      <c r="J131" s="196">
        <v>40817</v>
      </c>
      <c r="K131">
        <v>1.61587354938952</v>
      </c>
      <c r="L131" s="350">
        <f t="shared" si="9"/>
        <v>5.8712061270536591</v>
      </c>
      <c r="S131" s="196">
        <v>40817</v>
      </c>
      <c r="T131">
        <v>4.4255000000000004</v>
      </c>
      <c r="U131">
        <v>0.18</v>
      </c>
      <c r="W131">
        <f t="shared" si="10"/>
        <v>-2.7000000000000135E-2</v>
      </c>
      <c r="X131">
        <f t="shared" si="6"/>
        <v>0</v>
      </c>
      <c r="Y131" s="350">
        <f t="shared" si="11"/>
        <v>0</v>
      </c>
      <c r="AA131" s="196">
        <v>40817</v>
      </c>
      <c r="AB131">
        <v>4.3985000000000003</v>
      </c>
      <c r="AC131">
        <v>0.18</v>
      </c>
      <c r="AI131" s="196">
        <v>40787</v>
      </c>
      <c r="AJ131">
        <v>-40.573039780000002</v>
      </c>
      <c r="AO131" s="196">
        <v>39873</v>
      </c>
      <c r="AP131">
        <v>4.6616759643299996</v>
      </c>
    </row>
    <row r="132" spans="1:42" x14ac:dyDescent="0.2">
      <c r="A132" s="196">
        <v>40848</v>
      </c>
      <c r="B132">
        <v>-0.52</v>
      </c>
      <c r="C132" s="196">
        <v>40848</v>
      </c>
      <c r="D132">
        <v>1.6185248141061599</v>
      </c>
      <c r="F132" s="350">
        <f t="shared" si="7"/>
        <v>6.2183337509850842</v>
      </c>
      <c r="G132">
        <f t="shared" si="8"/>
        <v>-1.4979564327100015E-3</v>
      </c>
      <c r="H132" s="196">
        <v>40848</v>
      </c>
      <c r="I132">
        <v>-0.52</v>
      </c>
      <c r="J132" s="196">
        <v>40848</v>
      </c>
      <c r="K132">
        <v>1.6170268576734499</v>
      </c>
      <c r="L132" s="350">
        <f t="shared" si="9"/>
        <v>6.172729854415139</v>
      </c>
      <c r="S132" s="196">
        <v>40848</v>
      </c>
      <c r="T132">
        <v>4.5735000000000001</v>
      </c>
      <c r="U132">
        <v>0.18</v>
      </c>
      <c r="W132">
        <f t="shared" si="10"/>
        <v>-2.5999999999999801E-2</v>
      </c>
      <c r="X132">
        <f t="shared" si="6"/>
        <v>0</v>
      </c>
      <c r="Y132" s="350">
        <f t="shared" si="11"/>
        <v>0</v>
      </c>
      <c r="AA132" s="196">
        <v>40848</v>
      </c>
      <c r="AB132">
        <v>4.5475000000000003</v>
      </c>
      <c r="AC132">
        <v>0.18</v>
      </c>
      <c r="AI132" s="196">
        <v>40817</v>
      </c>
      <c r="AJ132">
        <v>-41.660543660000002</v>
      </c>
      <c r="AO132" s="196">
        <v>39904</v>
      </c>
      <c r="AP132">
        <v>4.4858755370940004</v>
      </c>
    </row>
    <row r="133" spans="1:42" x14ac:dyDescent="0.2">
      <c r="A133" s="196">
        <v>40878</v>
      </c>
      <c r="B133">
        <v>-0.52</v>
      </c>
      <c r="C133" s="196">
        <v>40878</v>
      </c>
      <c r="D133">
        <v>1.6191796345495799</v>
      </c>
      <c r="F133" s="350">
        <f t="shared" si="7"/>
        <v>6.4541218220627714</v>
      </c>
      <c r="G133">
        <f t="shared" si="8"/>
        <v>-1.4175453876799082E-3</v>
      </c>
      <c r="H133" s="196">
        <v>40878</v>
      </c>
      <c r="I133">
        <v>-0.52</v>
      </c>
      <c r="J133" s="196">
        <v>40878</v>
      </c>
      <c r="K133">
        <v>1.6177620891619</v>
      </c>
      <c r="L133" s="350">
        <f t="shared" si="9"/>
        <v>6.4086045211364731</v>
      </c>
      <c r="S133" s="196">
        <v>40878</v>
      </c>
      <c r="T133">
        <v>4.7255000000000003</v>
      </c>
      <c r="U133">
        <v>0.18</v>
      </c>
      <c r="W133">
        <f t="shared" si="10"/>
        <v>-2.5999999999999801E-2</v>
      </c>
      <c r="X133">
        <f t="shared" si="6"/>
        <v>0</v>
      </c>
      <c r="Y133" s="350">
        <f t="shared" si="11"/>
        <v>0</v>
      </c>
      <c r="AA133" s="196">
        <v>40878</v>
      </c>
      <c r="AB133">
        <v>4.6995000000000005</v>
      </c>
      <c r="AC133">
        <v>0.18</v>
      </c>
      <c r="AI133" s="196">
        <v>40848</v>
      </c>
      <c r="AJ133">
        <v>-40.063267459999999</v>
      </c>
      <c r="AO133" s="196">
        <v>39934</v>
      </c>
      <c r="AP133">
        <v>4.6099877576760004</v>
      </c>
    </row>
    <row r="134" spans="1:42" x14ac:dyDescent="0.2">
      <c r="A134" s="196">
        <v>40909</v>
      </c>
      <c r="B134">
        <v>-0.52</v>
      </c>
      <c r="C134" s="196">
        <v>40909</v>
      </c>
      <c r="D134">
        <v>1.61986119214686</v>
      </c>
      <c r="F134" s="350">
        <f t="shared" si="7"/>
        <v>6.5681501076760549</v>
      </c>
      <c r="G134">
        <f t="shared" si="8"/>
        <v>-1.3327258827000588E-3</v>
      </c>
      <c r="H134" s="196">
        <v>40909</v>
      </c>
      <c r="I134">
        <v>-0.52</v>
      </c>
      <c r="J134" s="196">
        <v>40909</v>
      </c>
      <c r="K134">
        <v>1.6185284662641599</v>
      </c>
      <c r="L134" s="350">
        <f t="shared" si="9"/>
        <v>6.5305307783534978</v>
      </c>
      <c r="S134" s="196">
        <v>40909</v>
      </c>
      <c r="T134">
        <v>4.798</v>
      </c>
      <c r="U134">
        <v>0.18</v>
      </c>
      <c r="W134">
        <f t="shared" si="10"/>
        <v>-2.0999999999999908E-2</v>
      </c>
      <c r="X134">
        <f t="shared" si="6"/>
        <v>0</v>
      </c>
      <c r="Y134" s="350">
        <f t="shared" si="11"/>
        <v>0</v>
      </c>
      <c r="AA134" s="196">
        <v>40909</v>
      </c>
      <c r="AB134">
        <v>4.7770000000000001</v>
      </c>
      <c r="AC134">
        <v>0.18</v>
      </c>
      <c r="AI134" s="196">
        <v>40878</v>
      </c>
      <c r="AJ134">
        <v>-41.177699930000003</v>
      </c>
      <c r="AO134" s="196">
        <v>39965</v>
      </c>
      <c r="AP134">
        <v>4.4358698081320007</v>
      </c>
    </row>
    <row r="135" spans="1:42" x14ac:dyDescent="0.2">
      <c r="A135" s="196">
        <v>40940</v>
      </c>
      <c r="B135">
        <v>-0.52</v>
      </c>
      <c r="C135" s="196">
        <v>40940</v>
      </c>
      <c r="D135">
        <v>1.6205477455817399</v>
      </c>
      <c r="F135" s="350">
        <f t="shared" si="7"/>
        <v>6.4373034243993432</v>
      </c>
      <c r="G135">
        <f t="shared" si="8"/>
        <v>-1.2461469919100576E-3</v>
      </c>
      <c r="H135" s="196">
        <v>40940</v>
      </c>
      <c r="I135">
        <v>-0.52</v>
      </c>
      <c r="J135" s="196">
        <v>40940</v>
      </c>
      <c r="K135">
        <v>1.6193015985898298</v>
      </c>
      <c r="L135" s="350">
        <f t="shared" si="9"/>
        <v>6.3985877190604112</v>
      </c>
      <c r="S135" s="196">
        <v>40940</v>
      </c>
      <c r="T135">
        <v>4.7110000000000003</v>
      </c>
      <c r="U135">
        <v>0.17499999999999999</v>
      </c>
      <c r="W135">
        <f t="shared" si="10"/>
        <v>-2.2000000000000242E-2</v>
      </c>
      <c r="X135">
        <f t="shared" si="6"/>
        <v>0</v>
      </c>
      <c r="Y135" s="350">
        <f t="shared" si="11"/>
        <v>0</v>
      </c>
      <c r="AA135" s="196">
        <v>40940</v>
      </c>
      <c r="AB135">
        <v>4.6890000000000001</v>
      </c>
      <c r="AC135">
        <v>0.17499999999999999</v>
      </c>
      <c r="AI135" s="196">
        <v>40909</v>
      </c>
      <c r="AJ135">
        <v>-40.950059719999999</v>
      </c>
      <c r="AO135" s="196">
        <v>39995</v>
      </c>
      <c r="AP135">
        <v>4.5583332453120002</v>
      </c>
    </row>
    <row r="136" spans="1:42" x14ac:dyDescent="0.2">
      <c r="A136" s="196">
        <v>40969</v>
      </c>
      <c r="B136">
        <v>-0.52</v>
      </c>
      <c r="C136" s="196">
        <v>40969</v>
      </c>
      <c r="D136">
        <v>1.62119453301633</v>
      </c>
      <c r="F136" s="350">
        <f t="shared" si="7"/>
        <v>6.2262858538145549</v>
      </c>
      <c r="G136">
        <f t="shared" si="8"/>
        <v>-1.1635583643601066E-3</v>
      </c>
      <c r="H136" s="196">
        <v>40969</v>
      </c>
      <c r="I136">
        <v>-0.52</v>
      </c>
      <c r="J136" s="196">
        <v>40969</v>
      </c>
      <c r="K136">
        <v>1.6200309746519699</v>
      </c>
      <c r="L136" s="350">
        <f t="shared" si="9"/>
        <v>6.1880363012460355</v>
      </c>
      <c r="S136" s="196">
        <v>40969</v>
      </c>
      <c r="T136">
        <v>4.5720000000000001</v>
      </c>
      <c r="U136">
        <v>0.17</v>
      </c>
      <c r="W136">
        <f t="shared" si="10"/>
        <v>-2.2000000000000242E-2</v>
      </c>
      <c r="X136">
        <f t="shared" si="6"/>
        <v>0</v>
      </c>
      <c r="Y136" s="350">
        <f t="shared" si="11"/>
        <v>0</v>
      </c>
      <c r="AA136" s="196">
        <v>40969</v>
      </c>
      <c r="AB136">
        <v>4.55</v>
      </c>
      <c r="AC136">
        <v>0.17</v>
      </c>
      <c r="AI136" s="196">
        <v>40940</v>
      </c>
      <c r="AJ136">
        <v>-38.095868439999997</v>
      </c>
      <c r="AO136" s="196">
        <v>40026</v>
      </c>
      <c r="AP136">
        <v>4.5320993355399999</v>
      </c>
    </row>
    <row r="137" spans="1:42" x14ac:dyDescent="0.2">
      <c r="A137" s="196">
        <v>41000</v>
      </c>
      <c r="B137">
        <v>-0.63300000000000001</v>
      </c>
      <c r="C137" s="196">
        <v>41000</v>
      </c>
      <c r="D137">
        <v>1.6218907719010598</v>
      </c>
      <c r="F137" s="350">
        <f t="shared" si="7"/>
        <v>5.8185125449696624</v>
      </c>
      <c r="G137">
        <f t="shared" si="8"/>
        <v>-1.0735655571099123E-3</v>
      </c>
      <c r="H137" s="196">
        <v>41000</v>
      </c>
      <c r="I137">
        <v>-0.63300000000000001</v>
      </c>
      <c r="J137" s="196">
        <v>41000</v>
      </c>
      <c r="K137">
        <v>1.6208172063439499</v>
      </c>
      <c r="L137" s="350">
        <f t="shared" si="9"/>
        <v>5.7808639043541605</v>
      </c>
      <c r="S137" s="196">
        <v>41000</v>
      </c>
      <c r="T137">
        <v>4.4180000000000001</v>
      </c>
      <c r="U137">
        <v>0.17</v>
      </c>
      <c r="W137">
        <f t="shared" si="10"/>
        <v>-2.2000000000000242E-2</v>
      </c>
      <c r="X137">
        <f t="shared" si="6"/>
        <v>0</v>
      </c>
      <c r="Y137" s="350">
        <f t="shared" si="11"/>
        <v>0</v>
      </c>
      <c r="AA137" s="196">
        <v>41000</v>
      </c>
      <c r="AB137">
        <v>4.3959999999999999</v>
      </c>
      <c r="AC137">
        <v>0.17</v>
      </c>
      <c r="AI137" s="196">
        <v>40969</v>
      </c>
      <c r="AJ137">
        <v>-40.511598290000002</v>
      </c>
      <c r="AO137" s="196">
        <v>40057</v>
      </c>
      <c r="AP137">
        <v>4.3605278307780004</v>
      </c>
    </row>
    <row r="138" spans="1:42" x14ac:dyDescent="0.2">
      <c r="A138" s="196">
        <v>41030</v>
      </c>
      <c r="B138">
        <v>-0.63300000000000001</v>
      </c>
      <c r="C138" s="196">
        <v>41030</v>
      </c>
      <c r="D138">
        <v>1.6225693240213499</v>
      </c>
      <c r="F138" s="350">
        <f t="shared" si="7"/>
        <v>5.8286363359299562</v>
      </c>
      <c r="G138">
        <f t="shared" si="8"/>
        <v>-9.8479202238999086E-4</v>
      </c>
      <c r="H138" s="196">
        <v>41030</v>
      </c>
      <c r="I138">
        <v>-0.63300000000000001</v>
      </c>
      <c r="J138" s="196">
        <v>41030</v>
      </c>
      <c r="K138">
        <v>1.6215845319989599</v>
      </c>
      <c r="L138" s="350">
        <f t="shared" si="9"/>
        <v>5.7912855019753273</v>
      </c>
      <c r="S138" s="196">
        <v>41030</v>
      </c>
      <c r="T138">
        <v>4.423</v>
      </c>
      <c r="U138">
        <v>0.17</v>
      </c>
      <c r="W138">
        <f t="shared" si="10"/>
        <v>-2.2000000000000242E-2</v>
      </c>
      <c r="X138">
        <f t="shared" si="6"/>
        <v>0</v>
      </c>
      <c r="Y138" s="350">
        <f t="shared" si="11"/>
        <v>0</v>
      </c>
      <c r="AA138" s="196">
        <v>41030</v>
      </c>
      <c r="AB138">
        <v>4.4009999999999998</v>
      </c>
      <c r="AC138">
        <v>0.17</v>
      </c>
      <c r="AI138" s="196">
        <v>41000</v>
      </c>
      <c r="AJ138">
        <v>-38.98661087</v>
      </c>
      <c r="AO138" s="196">
        <v>40087</v>
      </c>
      <c r="AP138">
        <v>4.4805181449839999</v>
      </c>
    </row>
    <row r="139" spans="1:42" x14ac:dyDescent="0.2">
      <c r="A139" s="196">
        <v>41061</v>
      </c>
      <c r="B139">
        <v>-0.63300000000000001</v>
      </c>
      <c r="C139" s="196">
        <v>41061</v>
      </c>
      <c r="D139">
        <v>1.6232754318124001</v>
      </c>
      <c r="F139" s="350">
        <f t="shared" si="7"/>
        <v>5.8896384201197547</v>
      </c>
      <c r="G139">
        <f t="shared" si="8"/>
        <v>-8.9131646316031876E-4</v>
      </c>
      <c r="H139" s="196">
        <v>41061</v>
      </c>
      <c r="I139">
        <v>-0.63300000000000001</v>
      </c>
      <c r="J139" s="196">
        <v>41061</v>
      </c>
      <c r="K139">
        <v>1.6223841153492398</v>
      </c>
      <c r="L139" s="350">
        <f t="shared" si="9"/>
        <v>5.8525745960586049</v>
      </c>
      <c r="S139" s="196">
        <v>41061</v>
      </c>
      <c r="T139">
        <v>4.4610000000000003</v>
      </c>
      <c r="U139">
        <v>0.17</v>
      </c>
      <c r="W139">
        <f t="shared" si="10"/>
        <v>-2.2000000000000242E-2</v>
      </c>
      <c r="X139">
        <f t="shared" si="6"/>
        <v>0</v>
      </c>
      <c r="Y139" s="350">
        <f t="shared" si="11"/>
        <v>0</v>
      </c>
      <c r="AA139" s="196">
        <v>41061</v>
      </c>
      <c r="AB139">
        <v>4.4390000000000001</v>
      </c>
      <c r="AC139">
        <v>0.17</v>
      </c>
      <c r="AI139" s="196">
        <v>41030</v>
      </c>
      <c r="AJ139">
        <v>-40.068721320000002</v>
      </c>
      <c r="AO139" s="196">
        <v>40118</v>
      </c>
      <c r="AP139">
        <v>4.3106402735199998</v>
      </c>
    </row>
    <row r="140" spans="1:42" x14ac:dyDescent="0.2">
      <c r="A140" s="196">
        <v>41091</v>
      </c>
      <c r="B140">
        <v>-0.63300000000000001</v>
      </c>
      <c r="C140" s="196">
        <v>41091</v>
      </c>
      <c r="D140">
        <v>1.6239635453611798</v>
      </c>
      <c r="F140" s="350">
        <f t="shared" si="7"/>
        <v>5.9613999742040704</v>
      </c>
      <c r="G140">
        <f t="shared" si="8"/>
        <v>-7.9916659521006572E-4</v>
      </c>
      <c r="H140" s="196">
        <v>41091</v>
      </c>
      <c r="I140">
        <v>-0.63300000000000001</v>
      </c>
      <c r="J140" s="196">
        <v>41091</v>
      </c>
      <c r="K140">
        <v>1.6231643787659698</v>
      </c>
      <c r="L140" s="350">
        <f t="shared" si="9"/>
        <v>5.9246201363982092</v>
      </c>
      <c r="S140" s="196">
        <v>41091</v>
      </c>
      <c r="T140">
        <v>4.5060000000000002</v>
      </c>
      <c r="U140">
        <v>0.17</v>
      </c>
      <c r="W140">
        <f t="shared" si="10"/>
        <v>-2.2000000000000242E-2</v>
      </c>
      <c r="X140">
        <f t="shared" ref="X140:X203" si="12">AC140-U140</f>
        <v>0</v>
      </c>
      <c r="Y140" s="350">
        <f t="shared" si="11"/>
        <v>0</v>
      </c>
      <c r="AA140" s="196">
        <v>41091</v>
      </c>
      <c r="AB140">
        <v>4.484</v>
      </c>
      <c r="AC140">
        <v>0.17</v>
      </c>
      <c r="AI140" s="196">
        <v>41061</v>
      </c>
      <c r="AJ140">
        <v>-38.559458390000003</v>
      </c>
      <c r="AO140" s="196">
        <v>40148</v>
      </c>
      <c r="AP140">
        <v>4.4290002579900003</v>
      </c>
    </row>
    <row r="141" spans="1:42" x14ac:dyDescent="0.2">
      <c r="A141" s="196">
        <v>41122</v>
      </c>
      <c r="B141">
        <v>-0.63300000000000001</v>
      </c>
      <c r="C141" s="196">
        <v>41122</v>
      </c>
      <c r="D141">
        <v>1.6246795446190301</v>
      </c>
      <c r="F141" s="350">
        <f t="shared" ref="F141:F204" si="13">(B141+T141)*D141/1.055056</f>
        <v>6.0225444895863607</v>
      </c>
      <c r="G141">
        <f t="shared" ref="G141:G204" si="14">K141-D141</f>
        <v>-7.0219595932008438E-4</v>
      </c>
      <c r="H141" s="196">
        <v>41122</v>
      </c>
      <c r="I141">
        <v>-0.63300000000000001</v>
      </c>
      <c r="J141" s="196">
        <v>41122</v>
      </c>
      <c r="K141">
        <v>1.62397734865971</v>
      </c>
      <c r="L141" s="350">
        <f t="shared" ref="L141:L204" si="15">IF(H141="",F141,(I141+AB141)*K141/1.055056)</f>
        <v>5.98607837777105</v>
      </c>
      <c r="S141" s="196">
        <v>41122</v>
      </c>
      <c r="T141">
        <v>4.5440000000000005</v>
      </c>
      <c r="U141">
        <v>0.17</v>
      </c>
      <c r="W141">
        <f t="shared" ref="W141:W204" si="16">AB141-T141</f>
        <v>-2.2000000000000242E-2</v>
      </c>
      <c r="X141">
        <f t="shared" si="12"/>
        <v>0</v>
      </c>
      <c r="Y141" s="350">
        <f t="shared" ref="Y141:Y204" si="17">I141-B141</f>
        <v>0</v>
      </c>
      <c r="AA141" s="196">
        <v>41122</v>
      </c>
      <c r="AB141">
        <v>4.5220000000000002</v>
      </c>
      <c r="AC141">
        <v>0.17</v>
      </c>
      <c r="AI141" s="196">
        <v>41091</v>
      </c>
      <c r="AJ141">
        <v>-39.628771209999996</v>
      </c>
      <c r="AO141" s="196">
        <v>40179</v>
      </c>
      <c r="AP141">
        <v>4.4028469965200001</v>
      </c>
    </row>
    <row r="142" spans="1:42" x14ac:dyDescent="0.2">
      <c r="A142" s="196">
        <v>41153</v>
      </c>
      <c r="B142">
        <v>-0.63300000000000001</v>
      </c>
      <c r="C142" s="196">
        <v>41153</v>
      </c>
      <c r="D142">
        <v>1.62540057944554</v>
      </c>
      <c r="F142" s="350">
        <f t="shared" si="13"/>
        <v>6.015973808721844</v>
      </c>
      <c r="G142">
        <f t="shared" si="14"/>
        <v>-6.034443202000972E-4</v>
      </c>
      <c r="H142" s="196">
        <v>41153</v>
      </c>
      <c r="I142">
        <v>-0.63300000000000001</v>
      </c>
      <c r="J142" s="196">
        <v>41153</v>
      </c>
      <c r="K142">
        <v>1.6247971351253399</v>
      </c>
      <c r="L142" s="350">
        <f t="shared" si="15"/>
        <v>5.979860098129099</v>
      </c>
      <c r="S142" s="196">
        <v>41153</v>
      </c>
      <c r="T142">
        <v>4.5380000000000003</v>
      </c>
      <c r="U142">
        <v>0.17</v>
      </c>
      <c r="W142">
        <f t="shared" si="16"/>
        <v>-2.2000000000000242E-2</v>
      </c>
      <c r="X142">
        <f t="shared" si="12"/>
        <v>0</v>
      </c>
      <c r="Y142" s="350">
        <f t="shared" si="17"/>
        <v>0</v>
      </c>
      <c r="AA142" s="196">
        <v>41153</v>
      </c>
      <c r="AB142">
        <v>4.516</v>
      </c>
      <c r="AC142">
        <v>0.17</v>
      </c>
      <c r="AI142" s="196">
        <v>41122</v>
      </c>
      <c r="AJ142">
        <v>-39.406315020000001</v>
      </c>
      <c r="AO142" s="196">
        <v>40210</v>
      </c>
      <c r="AP142">
        <v>3.9531615330899998</v>
      </c>
    </row>
    <row r="143" spans="1:42" x14ac:dyDescent="0.2">
      <c r="A143" s="196">
        <v>41183</v>
      </c>
      <c r="B143">
        <v>-0.63300000000000001</v>
      </c>
      <c r="C143" s="196">
        <v>41183</v>
      </c>
      <c r="D143">
        <v>1.6261031552320397</v>
      </c>
      <c r="F143" s="350">
        <f t="shared" si="13"/>
        <v>6.0185742000245632</v>
      </c>
      <c r="G143">
        <f t="shared" si="14"/>
        <v>-5.061793605098952E-4</v>
      </c>
      <c r="H143" s="196">
        <v>41183</v>
      </c>
      <c r="I143">
        <v>-0.63300000000000001</v>
      </c>
      <c r="J143" s="196">
        <v>41183</v>
      </c>
      <c r="K143">
        <v>1.6255969758715298</v>
      </c>
      <c r="L143" s="350">
        <f t="shared" si="15"/>
        <v>5.9828038107068728</v>
      </c>
      <c r="S143" s="196">
        <v>41183</v>
      </c>
      <c r="T143">
        <v>4.5380000000000003</v>
      </c>
      <c r="U143">
        <v>0.17</v>
      </c>
      <c r="W143">
        <f t="shared" si="16"/>
        <v>-2.2000000000000242E-2</v>
      </c>
      <c r="X143">
        <f t="shared" si="12"/>
        <v>0</v>
      </c>
      <c r="Y143" s="350">
        <f t="shared" si="17"/>
        <v>0</v>
      </c>
      <c r="AA143" s="196">
        <v>41183</v>
      </c>
      <c r="AB143">
        <v>4.516</v>
      </c>
      <c r="AC143">
        <v>0.17</v>
      </c>
      <c r="AI143" s="196">
        <v>41153</v>
      </c>
      <c r="AJ143">
        <v>-37.920598759999997</v>
      </c>
      <c r="AO143" s="196">
        <v>40238</v>
      </c>
      <c r="AP143">
        <v>4.3531301949100003</v>
      </c>
    </row>
    <row r="144" spans="1:42" x14ac:dyDescent="0.2">
      <c r="A144" s="196">
        <v>41214</v>
      </c>
      <c r="B144">
        <v>-0.57300000000000006</v>
      </c>
      <c r="C144" s="196">
        <v>41214</v>
      </c>
      <c r="D144">
        <v>1.6268341162117599</v>
      </c>
      <c r="F144" s="350">
        <f t="shared" si="13"/>
        <v>6.3420033817910779</v>
      </c>
      <c r="G144">
        <f t="shared" si="14"/>
        <v>-4.0391350380009072E-4</v>
      </c>
      <c r="H144" s="196">
        <v>41214</v>
      </c>
      <c r="I144">
        <v>-0.57300000000000006</v>
      </c>
      <c r="J144" s="196">
        <v>41214</v>
      </c>
      <c r="K144">
        <v>1.6264302027079598</v>
      </c>
      <c r="L144" s="350">
        <f t="shared" si="15"/>
        <v>6.3080560553003542</v>
      </c>
      <c r="S144" s="196">
        <v>41214</v>
      </c>
      <c r="T144">
        <v>4.6859999999999999</v>
      </c>
      <c r="U144">
        <v>0.17</v>
      </c>
      <c r="W144">
        <f t="shared" si="16"/>
        <v>-2.0999999999999908E-2</v>
      </c>
      <c r="X144">
        <f t="shared" si="12"/>
        <v>0</v>
      </c>
      <c r="Y144" s="350">
        <f t="shared" si="17"/>
        <v>0</v>
      </c>
      <c r="AA144" s="196">
        <v>41214</v>
      </c>
      <c r="AB144">
        <v>4.665</v>
      </c>
      <c r="AC144">
        <v>0.17</v>
      </c>
      <c r="AI144" s="196">
        <v>41183</v>
      </c>
      <c r="AJ144">
        <v>-38.970798629999997</v>
      </c>
      <c r="AO144" s="196">
        <v>40269</v>
      </c>
      <c r="AP144">
        <v>4.1874594939100005</v>
      </c>
    </row>
    <row r="145" spans="1:42" x14ac:dyDescent="0.2">
      <c r="A145" s="196">
        <v>41244</v>
      </c>
      <c r="B145">
        <v>-0.57300000000000006</v>
      </c>
      <c r="C145" s="196">
        <v>41244</v>
      </c>
      <c r="D145">
        <v>1.62754630925139</v>
      </c>
      <c r="F145" s="350">
        <f t="shared" si="13"/>
        <v>6.5792574128360748</v>
      </c>
      <c r="G145">
        <f t="shared" si="14"/>
        <v>-3.0324140493998009E-4</v>
      </c>
      <c r="H145" s="196">
        <v>41244</v>
      </c>
      <c r="I145">
        <v>-0.57300000000000006</v>
      </c>
      <c r="J145" s="196">
        <v>41244</v>
      </c>
      <c r="K145">
        <v>1.62724306784645</v>
      </c>
      <c r="L145" s="350">
        <f t="shared" si="15"/>
        <v>6.5456426767302718</v>
      </c>
      <c r="S145" s="196">
        <v>41244</v>
      </c>
      <c r="T145">
        <v>4.8380000000000001</v>
      </c>
      <c r="U145">
        <v>0.17</v>
      </c>
      <c r="W145">
        <f t="shared" si="16"/>
        <v>-2.0999999999999908E-2</v>
      </c>
      <c r="X145">
        <f t="shared" si="12"/>
        <v>0</v>
      </c>
      <c r="Y145" s="350">
        <f t="shared" si="17"/>
        <v>0</v>
      </c>
      <c r="AA145" s="196">
        <v>41244</v>
      </c>
      <c r="AB145">
        <v>4.8170000000000002</v>
      </c>
      <c r="AC145">
        <v>0.17</v>
      </c>
      <c r="AI145" s="196">
        <v>41214</v>
      </c>
      <c r="AJ145">
        <v>-37.500581859999997</v>
      </c>
      <c r="AO145" s="196">
        <v>40299</v>
      </c>
      <c r="AP145">
        <v>4.3018182174659998</v>
      </c>
    </row>
    <row r="146" spans="1:42" x14ac:dyDescent="0.2">
      <c r="A146" s="196">
        <v>41275</v>
      </c>
      <c r="B146">
        <v>-0.57300000000000006</v>
      </c>
      <c r="C146" s="196">
        <v>41275</v>
      </c>
      <c r="D146">
        <v>1.6282872198227898</v>
      </c>
      <c r="F146" s="350">
        <f t="shared" si="13"/>
        <v>6.6941430748522821</v>
      </c>
      <c r="G146">
        <f t="shared" si="14"/>
        <v>-1.9744827080980798E-4</v>
      </c>
      <c r="H146" s="196">
        <v>41275</v>
      </c>
      <c r="I146">
        <v>-0.57300000000000006</v>
      </c>
      <c r="J146" s="196">
        <v>41275</v>
      </c>
      <c r="K146">
        <v>1.62808977155198</v>
      </c>
      <c r="L146" s="350">
        <f t="shared" si="15"/>
        <v>6.6686412358793099</v>
      </c>
      <c r="S146" s="196">
        <v>41275</v>
      </c>
      <c r="T146">
        <v>4.9104999999999999</v>
      </c>
      <c r="U146">
        <v>0.17</v>
      </c>
      <c r="W146">
        <f t="shared" si="16"/>
        <v>-1.6000000000000014E-2</v>
      </c>
      <c r="X146">
        <f t="shared" si="12"/>
        <v>0</v>
      </c>
      <c r="Y146" s="350">
        <f t="shared" si="17"/>
        <v>0</v>
      </c>
      <c r="AA146" s="196">
        <v>41275</v>
      </c>
      <c r="AB146">
        <v>4.8944999999999999</v>
      </c>
      <c r="AC146">
        <v>0.17</v>
      </c>
      <c r="AI146" s="196">
        <v>41244</v>
      </c>
      <c r="AJ146">
        <v>-38.53823405</v>
      </c>
      <c r="AO146" s="196">
        <v>40330</v>
      </c>
      <c r="AP146">
        <v>4.137851888338</v>
      </c>
    </row>
    <row r="147" spans="1:42" x14ac:dyDescent="0.2">
      <c r="A147" s="196">
        <v>41306</v>
      </c>
      <c r="B147">
        <v>-0.57300000000000006</v>
      </c>
      <c r="C147" s="196">
        <v>41306</v>
      </c>
      <c r="D147">
        <v>1.6290331958391999</v>
      </c>
      <c r="F147" s="350">
        <f t="shared" si="13"/>
        <v>6.5628796944565204</v>
      </c>
      <c r="G147">
        <f t="shared" si="14"/>
        <v>-8.9857486309963264E-5</v>
      </c>
      <c r="H147" s="196">
        <v>41306</v>
      </c>
      <c r="I147">
        <v>-0.57300000000000006</v>
      </c>
      <c r="J147" s="196">
        <v>41306</v>
      </c>
      <c r="K147">
        <v>1.62894333835289</v>
      </c>
      <c r="L147" s="350">
        <f t="shared" si="15"/>
        <v>6.5362707030877605</v>
      </c>
      <c r="S147" s="196">
        <v>41306</v>
      </c>
      <c r="T147">
        <v>4.8235000000000001</v>
      </c>
      <c r="U147">
        <v>0.17</v>
      </c>
      <c r="W147">
        <f t="shared" si="16"/>
        <v>-1.699999999999946E-2</v>
      </c>
      <c r="X147">
        <f t="shared" si="12"/>
        <v>0</v>
      </c>
      <c r="Y147" s="350">
        <f t="shared" si="17"/>
        <v>0</v>
      </c>
      <c r="AA147" s="196">
        <v>41306</v>
      </c>
      <c r="AB147">
        <v>4.8065000000000007</v>
      </c>
      <c r="AC147">
        <v>0.17</v>
      </c>
      <c r="AI147" s="196">
        <v>41275</v>
      </c>
      <c r="AJ147">
        <v>-38.319540259999997</v>
      </c>
      <c r="AO147" s="196">
        <v>40360</v>
      </c>
      <c r="AP147">
        <v>4.2506088772840007</v>
      </c>
    </row>
    <row r="148" spans="1:42" x14ac:dyDescent="0.2">
      <c r="A148" s="196">
        <v>41334</v>
      </c>
      <c r="B148">
        <v>-0.57300000000000006</v>
      </c>
      <c r="C148" s="196">
        <v>41334</v>
      </c>
      <c r="D148">
        <v>1.6297113396346399</v>
      </c>
      <c r="F148" s="350">
        <f t="shared" si="13"/>
        <v>6.3509028647842589</v>
      </c>
      <c r="G148">
        <f t="shared" si="14"/>
        <v>8.869306249881248E-6</v>
      </c>
      <c r="H148" s="196">
        <v>41334</v>
      </c>
      <c r="I148">
        <v>-0.57300000000000006</v>
      </c>
      <c r="J148" s="196">
        <v>41334</v>
      </c>
      <c r="K148">
        <v>1.6297202089408898</v>
      </c>
      <c r="L148" s="350">
        <f t="shared" si="15"/>
        <v>6.3246779275303622</v>
      </c>
      <c r="S148" s="196">
        <v>41334</v>
      </c>
      <c r="T148">
        <v>4.6844999999999999</v>
      </c>
      <c r="U148">
        <v>0.17</v>
      </c>
      <c r="W148">
        <f t="shared" si="16"/>
        <v>-1.699999999999946E-2</v>
      </c>
      <c r="X148">
        <f t="shared" si="12"/>
        <v>0</v>
      </c>
      <c r="Y148" s="350">
        <f t="shared" si="17"/>
        <v>0</v>
      </c>
      <c r="AA148" s="196">
        <v>41334</v>
      </c>
      <c r="AB148">
        <v>4.6675000000000004</v>
      </c>
      <c r="AC148">
        <v>0.17</v>
      </c>
      <c r="AI148" s="196">
        <v>41306</v>
      </c>
      <c r="AJ148">
        <v>-34.414359480000002</v>
      </c>
      <c r="AO148" s="196">
        <v>40391</v>
      </c>
      <c r="AP148">
        <v>4.2246273003060004</v>
      </c>
    </row>
    <row r="149" spans="1:42" x14ac:dyDescent="0.2">
      <c r="A149" s="196">
        <v>41365</v>
      </c>
      <c r="B149">
        <v>-0.67300000000000004</v>
      </c>
      <c r="C149" s="196">
        <v>41365</v>
      </c>
      <c r="D149">
        <v>1.6304669734784201</v>
      </c>
      <c r="F149" s="350">
        <f t="shared" si="13"/>
        <v>5.9613199206421328</v>
      </c>
      <c r="G149">
        <f t="shared" si="14"/>
        <v>1.1989109457988256E-4</v>
      </c>
      <c r="H149" s="196">
        <v>41365</v>
      </c>
      <c r="I149">
        <v>-0.67300000000000004</v>
      </c>
      <c r="J149" s="196">
        <v>41365</v>
      </c>
      <c r="K149">
        <v>1.6305868645729999</v>
      </c>
      <c r="L149" s="350">
        <f t="shared" si="15"/>
        <v>5.9354848021267186</v>
      </c>
      <c r="S149" s="196">
        <v>41365</v>
      </c>
      <c r="T149">
        <v>4.5305</v>
      </c>
      <c r="U149">
        <v>0.17</v>
      </c>
      <c r="W149">
        <f t="shared" si="16"/>
        <v>-1.699999999999946E-2</v>
      </c>
      <c r="X149">
        <f t="shared" si="12"/>
        <v>0</v>
      </c>
      <c r="Y149" s="350">
        <f t="shared" si="17"/>
        <v>0</v>
      </c>
      <c r="AA149" s="196">
        <v>41365</v>
      </c>
      <c r="AB149">
        <v>4.5135000000000005</v>
      </c>
      <c r="AC149">
        <v>0.17</v>
      </c>
      <c r="AI149" s="196">
        <v>41334</v>
      </c>
      <c r="AJ149">
        <v>-37.905433240000001</v>
      </c>
      <c r="AO149" s="196">
        <v>40422</v>
      </c>
      <c r="AP149">
        <v>4.0632353002360002</v>
      </c>
    </row>
    <row r="150" spans="1:42" x14ac:dyDescent="0.2">
      <c r="A150" s="196">
        <v>41395</v>
      </c>
      <c r="B150">
        <v>-0.67300000000000004</v>
      </c>
      <c r="C150" s="196">
        <v>41395</v>
      </c>
      <c r="D150">
        <v>1.6312030721852699</v>
      </c>
      <c r="F150" s="350">
        <f t="shared" si="13"/>
        <v>5.9717416576140083</v>
      </c>
      <c r="G150">
        <f t="shared" si="14"/>
        <v>2.2905284551000271E-4</v>
      </c>
      <c r="H150" s="196">
        <v>41395</v>
      </c>
      <c r="I150">
        <v>-0.67300000000000004</v>
      </c>
      <c r="J150" s="196">
        <v>41395</v>
      </c>
      <c r="K150">
        <v>1.6314321250307799</v>
      </c>
      <c r="L150" s="350">
        <f t="shared" si="15"/>
        <v>5.9462931226454945</v>
      </c>
      <c r="S150" s="196">
        <v>41395</v>
      </c>
      <c r="T150">
        <v>4.5354999999999999</v>
      </c>
      <c r="U150">
        <v>0.17</v>
      </c>
      <c r="W150">
        <f t="shared" si="16"/>
        <v>-1.699999999999946E-2</v>
      </c>
      <c r="X150">
        <f t="shared" si="12"/>
        <v>0</v>
      </c>
      <c r="Y150" s="350">
        <f t="shared" si="17"/>
        <v>0</v>
      </c>
      <c r="AA150" s="196">
        <v>41395</v>
      </c>
      <c r="AB150">
        <v>4.5185000000000004</v>
      </c>
      <c r="AC150">
        <v>0.17</v>
      </c>
      <c r="AI150" s="196">
        <v>41365</v>
      </c>
      <c r="AJ150">
        <v>-36.473192640000001</v>
      </c>
      <c r="AO150" s="196">
        <v>40452</v>
      </c>
      <c r="AP150">
        <v>4.1735933789479995</v>
      </c>
    </row>
    <row r="151" spans="1:42" x14ac:dyDescent="0.2">
      <c r="A151" s="196">
        <v>41426</v>
      </c>
      <c r="B151">
        <v>-0.67300000000000004</v>
      </c>
      <c r="C151" s="196">
        <v>41426</v>
      </c>
      <c r="D151">
        <v>1.6319687151583098</v>
      </c>
      <c r="F151" s="350">
        <f t="shared" si="13"/>
        <v>6.0333233245202029</v>
      </c>
      <c r="G151">
        <f t="shared" si="14"/>
        <v>3.4363551394012148E-4</v>
      </c>
      <c r="H151" s="196">
        <v>41426</v>
      </c>
      <c r="I151">
        <v>-0.67300000000000004</v>
      </c>
      <c r="J151" s="196">
        <v>41426</v>
      </c>
      <c r="K151">
        <v>1.6323123506722499</v>
      </c>
      <c r="L151" s="350">
        <f t="shared" si="15"/>
        <v>6.0082924639409505</v>
      </c>
      <c r="S151" s="196">
        <v>41426</v>
      </c>
      <c r="T151">
        <v>4.5735000000000001</v>
      </c>
      <c r="U151">
        <v>0.17</v>
      </c>
      <c r="W151">
        <f t="shared" si="16"/>
        <v>-1.699999999999946E-2</v>
      </c>
      <c r="X151">
        <f t="shared" si="12"/>
        <v>0</v>
      </c>
      <c r="Y151" s="350">
        <f t="shared" si="17"/>
        <v>0</v>
      </c>
      <c r="AA151" s="196">
        <v>41426</v>
      </c>
      <c r="AB151">
        <v>4.5565000000000007</v>
      </c>
      <c r="AC151">
        <v>0.17</v>
      </c>
      <c r="AI151" s="196">
        <v>41395</v>
      </c>
      <c r="AJ151">
        <v>-37.480213089999999</v>
      </c>
      <c r="AO151" s="196">
        <v>40483</v>
      </c>
      <c r="AP151">
        <v>4.0139101580200007</v>
      </c>
    </row>
    <row r="152" spans="1:42" x14ac:dyDescent="0.2">
      <c r="A152" s="196">
        <v>41456</v>
      </c>
      <c r="B152">
        <v>-0.67300000000000004</v>
      </c>
      <c r="C152" s="196">
        <v>41456</v>
      </c>
      <c r="D152">
        <v>1.63271451201212</v>
      </c>
      <c r="F152" s="350">
        <f t="shared" si="13"/>
        <v>6.105718660567609</v>
      </c>
      <c r="G152">
        <f t="shared" si="14"/>
        <v>4.562500606299924E-4</v>
      </c>
      <c r="H152" s="196">
        <v>41456</v>
      </c>
      <c r="I152">
        <v>-0.67300000000000004</v>
      </c>
      <c r="J152" s="196">
        <v>41456</v>
      </c>
      <c r="K152">
        <v>1.63317076207275</v>
      </c>
      <c r="L152" s="350">
        <f t="shared" si="15"/>
        <v>6.0811097598637414</v>
      </c>
      <c r="S152" s="196">
        <v>41456</v>
      </c>
      <c r="T152">
        <v>4.6185</v>
      </c>
      <c r="U152">
        <v>0.17</v>
      </c>
      <c r="W152">
        <f t="shared" si="16"/>
        <v>-1.699999999999946E-2</v>
      </c>
      <c r="X152">
        <f t="shared" si="12"/>
        <v>0</v>
      </c>
      <c r="Y152" s="350">
        <f t="shared" si="17"/>
        <v>0</v>
      </c>
      <c r="AA152" s="196">
        <v>41456</v>
      </c>
      <c r="AB152">
        <v>4.6015000000000006</v>
      </c>
      <c r="AC152">
        <v>0.17</v>
      </c>
      <c r="AI152" s="196">
        <v>41426</v>
      </c>
      <c r="AJ152">
        <v>-36.063154359999999</v>
      </c>
      <c r="AO152" s="196">
        <v>40513</v>
      </c>
      <c r="AP152">
        <v>4.1226892019320003</v>
      </c>
    </row>
    <row r="153" spans="1:42" x14ac:dyDescent="0.2">
      <c r="A153" s="196">
        <v>41487</v>
      </c>
      <c r="B153">
        <v>-0.67300000000000004</v>
      </c>
      <c r="C153" s="196">
        <v>41487</v>
      </c>
      <c r="D153">
        <v>1.6334901887824298</v>
      </c>
      <c r="F153" s="350">
        <f t="shared" si="13"/>
        <v>6.1674528811881171</v>
      </c>
      <c r="G153">
        <f t="shared" si="14"/>
        <v>5.7440770230021698E-4</v>
      </c>
      <c r="H153" s="196">
        <v>41487</v>
      </c>
      <c r="I153">
        <v>-0.67300000000000004</v>
      </c>
      <c r="J153" s="196">
        <v>41487</v>
      </c>
      <c r="K153">
        <v>1.63406459648473</v>
      </c>
      <c r="L153" s="350">
        <f t="shared" si="15"/>
        <v>6.1432921304240553</v>
      </c>
      <c r="S153" s="196">
        <v>41487</v>
      </c>
      <c r="T153">
        <v>4.6565000000000003</v>
      </c>
      <c r="U153">
        <v>0.17</v>
      </c>
      <c r="W153">
        <f t="shared" si="16"/>
        <v>-1.7000000000000348E-2</v>
      </c>
      <c r="X153">
        <f t="shared" si="12"/>
        <v>0</v>
      </c>
      <c r="Y153" s="350">
        <f t="shared" si="17"/>
        <v>0</v>
      </c>
      <c r="AA153" s="196">
        <v>41487</v>
      </c>
      <c r="AB153">
        <v>4.6395</v>
      </c>
      <c r="AC153">
        <v>0.17</v>
      </c>
      <c r="AI153" s="196">
        <v>41456</v>
      </c>
      <c r="AJ153">
        <v>-37.057973750000002</v>
      </c>
    </row>
    <row r="154" spans="1:42" x14ac:dyDescent="0.2">
      <c r="A154" s="196">
        <v>41518</v>
      </c>
      <c r="B154">
        <v>-0.67300000000000004</v>
      </c>
      <c r="C154" s="196">
        <v>41518</v>
      </c>
      <c r="D154">
        <v>1.6342709742633599</v>
      </c>
      <c r="F154" s="350">
        <f t="shared" si="13"/>
        <v>6.1611068987167643</v>
      </c>
      <c r="G154">
        <f t="shared" si="14"/>
        <v>6.9438763080009736E-4</v>
      </c>
      <c r="H154" s="196">
        <v>41518</v>
      </c>
      <c r="I154">
        <v>-0.67300000000000004</v>
      </c>
      <c r="J154" s="196">
        <v>41518</v>
      </c>
      <c r="K154">
        <v>1.63496536189416</v>
      </c>
      <c r="L154" s="350">
        <f t="shared" si="15"/>
        <v>6.1373806847995001</v>
      </c>
      <c r="S154" s="196">
        <v>41518</v>
      </c>
      <c r="T154">
        <v>4.6505000000000001</v>
      </c>
      <c r="U154">
        <v>0.17</v>
      </c>
      <c r="W154">
        <f t="shared" si="16"/>
        <v>-1.699999999999946E-2</v>
      </c>
      <c r="X154">
        <f t="shared" si="12"/>
        <v>0</v>
      </c>
      <c r="Y154" s="350">
        <f t="shared" si="17"/>
        <v>0</v>
      </c>
      <c r="AA154" s="196">
        <v>41518</v>
      </c>
      <c r="AB154">
        <v>4.6335000000000006</v>
      </c>
      <c r="AC154">
        <v>0.17</v>
      </c>
      <c r="AI154" s="196">
        <v>41487</v>
      </c>
      <c r="AJ154">
        <v>-36.844537719999998</v>
      </c>
    </row>
    <row r="155" spans="1:42" x14ac:dyDescent="0.2">
      <c r="A155" s="196">
        <v>41548</v>
      </c>
      <c r="B155">
        <v>-0.67300000000000004</v>
      </c>
      <c r="C155" s="196">
        <v>41548</v>
      </c>
      <c r="D155">
        <v>1.6350314434201498</v>
      </c>
      <c r="F155" s="350">
        <f t="shared" si="13"/>
        <v>6.1639738233834471</v>
      </c>
      <c r="G155">
        <f t="shared" si="14"/>
        <v>8.12235837190034E-4</v>
      </c>
      <c r="H155" s="196">
        <v>41548</v>
      </c>
      <c r="I155">
        <v>-0.67300000000000004</v>
      </c>
      <c r="J155" s="196">
        <v>41548</v>
      </c>
      <c r="K155">
        <v>1.6358436792573399</v>
      </c>
      <c r="L155" s="350">
        <f t="shared" si="15"/>
        <v>6.1406777381472599</v>
      </c>
      <c r="S155" s="196">
        <v>41548</v>
      </c>
      <c r="T155">
        <v>4.6505000000000001</v>
      </c>
      <c r="U155">
        <v>0.17</v>
      </c>
      <c r="W155">
        <f t="shared" si="16"/>
        <v>-1.699999999999946E-2</v>
      </c>
      <c r="X155">
        <f t="shared" si="12"/>
        <v>0</v>
      </c>
      <c r="Y155" s="350">
        <f t="shared" si="17"/>
        <v>0</v>
      </c>
      <c r="AA155" s="196">
        <v>41548</v>
      </c>
      <c r="AB155">
        <v>4.6335000000000006</v>
      </c>
      <c r="AC155">
        <v>0.17</v>
      </c>
      <c r="AI155" s="196">
        <v>41518</v>
      </c>
      <c r="AJ155">
        <v>-35.450200889999998</v>
      </c>
    </row>
    <row r="156" spans="1:42" x14ac:dyDescent="0.2">
      <c r="A156" s="196">
        <v>41579</v>
      </c>
      <c r="B156">
        <v>-0.61299999999999999</v>
      </c>
      <c r="C156" s="196">
        <v>41579</v>
      </c>
      <c r="D156">
        <v>1.6358223005776398</v>
      </c>
      <c r="F156" s="350">
        <f t="shared" si="13"/>
        <v>6.4894510235169633</v>
      </c>
      <c r="G156">
        <f t="shared" si="14"/>
        <v>9.3581256319019701E-4</v>
      </c>
      <c r="H156" s="196">
        <v>41579</v>
      </c>
      <c r="I156">
        <v>-0.61299999999999999</v>
      </c>
      <c r="J156" s="196">
        <v>41579</v>
      </c>
      <c r="K156">
        <v>1.63675811314083</v>
      </c>
      <c r="L156" s="350">
        <f t="shared" si="15"/>
        <v>6.4683419199935264</v>
      </c>
      <c r="S156" s="196">
        <v>41579</v>
      </c>
      <c r="T156">
        <v>4.7985000000000007</v>
      </c>
      <c r="U156">
        <v>0.17</v>
      </c>
      <c r="W156">
        <f t="shared" si="16"/>
        <v>-1.6000000000000902E-2</v>
      </c>
      <c r="X156">
        <f t="shared" si="12"/>
        <v>0</v>
      </c>
      <c r="Y156" s="350">
        <f t="shared" si="17"/>
        <v>0</v>
      </c>
      <c r="AA156" s="196">
        <v>41579</v>
      </c>
      <c r="AB156">
        <v>4.7824999999999998</v>
      </c>
      <c r="AC156">
        <v>0.17</v>
      </c>
      <c r="AI156" s="196">
        <v>41548</v>
      </c>
      <c r="AJ156">
        <v>-36.426807310000001</v>
      </c>
    </row>
    <row r="157" spans="1:42" x14ac:dyDescent="0.2">
      <c r="A157" s="196">
        <v>41609</v>
      </c>
      <c r="B157">
        <v>-0.61299999999999999</v>
      </c>
      <c r="C157" s="196">
        <v>41609</v>
      </c>
      <c r="D157">
        <v>1.6365925288446799</v>
      </c>
      <c r="F157" s="350">
        <f t="shared" si="13"/>
        <v>6.7282874974065825</v>
      </c>
      <c r="G157">
        <f t="shared" si="14"/>
        <v>1.0571486899499938E-3</v>
      </c>
      <c r="H157" s="196">
        <v>41609</v>
      </c>
      <c r="I157">
        <v>-0.61299999999999999</v>
      </c>
      <c r="J157" s="196">
        <v>41609</v>
      </c>
      <c r="K157">
        <v>1.6376496775346299</v>
      </c>
      <c r="L157" s="350">
        <f t="shared" si="15"/>
        <v>6.7077985258279211</v>
      </c>
      <c r="S157" s="196">
        <v>41609</v>
      </c>
      <c r="T157">
        <v>4.9504999999999999</v>
      </c>
      <c r="U157">
        <v>0.17</v>
      </c>
      <c r="W157">
        <f t="shared" si="16"/>
        <v>-1.6000000000000014E-2</v>
      </c>
      <c r="X157">
        <f t="shared" si="12"/>
        <v>0</v>
      </c>
      <c r="Y157" s="350">
        <f t="shared" si="17"/>
        <v>0</v>
      </c>
      <c r="AA157" s="196">
        <v>41609</v>
      </c>
      <c r="AB157">
        <v>4.9344999999999999</v>
      </c>
      <c r="AC157">
        <v>0.17</v>
      </c>
      <c r="AI157" s="196">
        <v>41579</v>
      </c>
      <c r="AJ157">
        <v>-35.047419210000001</v>
      </c>
    </row>
    <row r="158" spans="1:42" x14ac:dyDescent="0.2">
      <c r="A158" s="196">
        <v>41640</v>
      </c>
      <c r="B158">
        <v>-0.61299999999999999</v>
      </c>
      <c r="C158" s="196">
        <v>41640</v>
      </c>
      <c r="D158">
        <v>1.6373934832438499</v>
      </c>
      <c r="F158" s="350">
        <f t="shared" si="13"/>
        <v>6.8440966745891956</v>
      </c>
      <c r="G158">
        <f t="shared" si="14"/>
        <v>1.1843370635600259E-3</v>
      </c>
      <c r="H158" s="196">
        <v>41640</v>
      </c>
      <c r="I158">
        <v>-0.61299999999999999</v>
      </c>
      <c r="J158" s="196">
        <v>41640</v>
      </c>
      <c r="K158">
        <v>1.6385778203074099</v>
      </c>
      <c r="L158" s="350">
        <f t="shared" si="15"/>
        <v>6.8319632621702526</v>
      </c>
      <c r="S158" s="196">
        <v>41640</v>
      </c>
      <c r="T158">
        <v>5.0230000000000006</v>
      </c>
      <c r="U158">
        <v>0.17</v>
      </c>
      <c r="W158">
        <f t="shared" si="16"/>
        <v>-1.1000000000000121E-2</v>
      </c>
      <c r="X158">
        <f t="shared" si="12"/>
        <v>0</v>
      </c>
      <c r="Y158" s="350">
        <f t="shared" si="17"/>
        <v>0</v>
      </c>
      <c r="AA158" s="196">
        <v>41640</v>
      </c>
      <c r="AB158">
        <v>5.0120000000000005</v>
      </c>
      <c r="AC158">
        <v>0.17</v>
      </c>
      <c r="AI158" s="196">
        <v>41609</v>
      </c>
      <c r="AJ158">
        <v>-36.012074609999999</v>
      </c>
    </row>
    <row r="159" spans="1:42" x14ac:dyDescent="0.2">
      <c r="A159" s="196">
        <v>41671</v>
      </c>
      <c r="B159">
        <v>-0.61299999999999999</v>
      </c>
      <c r="C159" s="196">
        <v>41671</v>
      </c>
      <c r="D159">
        <v>1.63819957894077</v>
      </c>
      <c r="F159" s="350">
        <f t="shared" si="13"/>
        <v>6.7123799871864138</v>
      </c>
      <c r="G159">
        <f t="shared" si="14"/>
        <v>1.313366653139969E-3</v>
      </c>
      <c r="H159" s="196">
        <v>41671</v>
      </c>
      <c r="I159">
        <v>-0.61299999999999999</v>
      </c>
      <c r="J159" s="196">
        <v>41671</v>
      </c>
      <c r="K159">
        <v>1.6395129455939099</v>
      </c>
      <c r="L159" s="350">
        <f t="shared" si="15"/>
        <v>6.69911389391212</v>
      </c>
      <c r="S159" s="196">
        <v>41671</v>
      </c>
      <c r="T159">
        <v>4.9359999999999999</v>
      </c>
      <c r="U159">
        <v>0.17</v>
      </c>
      <c r="W159">
        <f t="shared" si="16"/>
        <v>-1.1999999999999567E-2</v>
      </c>
      <c r="X159">
        <f t="shared" si="12"/>
        <v>0</v>
      </c>
      <c r="Y159" s="350">
        <f t="shared" si="17"/>
        <v>0</v>
      </c>
      <c r="AA159" s="196">
        <v>41671</v>
      </c>
      <c r="AB159">
        <v>4.9240000000000004</v>
      </c>
      <c r="AC159">
        <v>0.17</v>
      </c>
      <c r="AI159" s="196">
        <v>41640</v>
      </c>
      <c r="AJ159">
        <v>-35.802459550000002</v>
      </c>
    </row>
    <row r="160" spans="1:42" x14ac:dyDescent="0.2">
      <c r="A160" s="196">
        <v>41699</v>
      </c>
      <c r="B160">
        <v>-0.61299999999999999</v>
      </c>
      <c r="C160" s="196">
        <v>41699</v>
      </c>
      <c r="D160">
        <v>1.6389320900395699</v>
      </c>
      <c r="F160" s="350">
        <f t="shared" si="13"/>
        <v>6.499457720467503</v>
      </c>
      <c r="G160">
        <f t="shared" si="14"/>
        <v>1.4314953607601488E-3</v>
      </c>
      <c r="H160" s="196">
        <v>41699</v>
      </c>
      <c r="I160">
        <v>-0.61299999999999999</v>
      </c>
      <c r="J160" s="196">
        <v>41699</v>
      </c>
      <c r="K160">
        <v>1.64036358540033</v>
      </c>
      <c r="L160" s="350">
        <f t="shared" si="15"/>
        <v>6.4864773796748025</v>
      </c>
      <c r="S160" s="196">
        <v>41699</v>
      </c>
      <c r="T160">
        <v>4.7970000000000006</v>
      </c>
      <c r="U160">
        <v>0.17</v>
      </c>
      <c r="W160">
        <f t="shared" si="16"/>
        <v>-1.2000000000000455E-2</v>
      </c>
      <c r="X160">
        <f t="shared" si="12"/>
        <v>0</v>
      </c>
      <c r="Y160" s="350">
        <f t="shared" si="17"/>
        <v>0</v>
      </c>
      <c r="AA160" s="196">
        <v>41699</v>
      </c>
      <c r="AB160">
        <v>4.7850000000000001</v>
      </c>
      <c r="AC160">
        <v>0.17</v>
      </c>
      <c r="AI160" s="196">
        <v>41671</v>
      </c>
      <c r="AJ160">
        <v>-32.149076960000002</v>
      </c>
    </row>
    <row r="161" spans="1:36" x14ac:dyDescent="0.2">
      <c r="A161" s="196">
        <v>41730</v>
      </c>
      <c r="B161">
        <v>-0.71300000000000008</v>
      </c>
      <c r="C161" s="196">
        <v>41730</v>
      </c>
      <c r="D161">
        <v>1.6397479894555298</v>
      </c>
      <c r="F161" s="350">
        <f t="shared" si="13"/>
        <v>6.1079313311902226</v>
      </c>
      <c r="G161">
        <f t="shared" si="14"/>
        <v>1.5640401574601448E-3</v>
      </c>
      <c r="H161" s="196">
        <v>41730</v>
      </c>
      <c r="I161">
        <v>-0.71300000000000008</v>
      </c>
      <c r="J161" s="196">
        <v>41730</v>
      </c>
      <c r="K161">
        <v>1.6413120296129899</v>
      </c>
      <c r="L161" s="350">
        <f t="shared" si="15"/>
        <v>6.0950892957565239</v>
      </c>
      <c r="S161" s="196">
        <v>41730</v>
      </c>
      <c r="T161">
        <v>4.6429999999999998</v>
      </c>
      <c r="U161">
        <v>0.17</v>
      </c>
      <c r="W161">
        <f t="shared" si="16"/>
        <v>-1.1999999999999567E-2</v>
      </c>
      <c r="X161">
        <f t="shared" si="12"/>
        <v>0</v>
      </c>
      <c r="Y161" s="350">
        <f t="shared" si="17"/>
        <v>0</v>
      </c>
      <c r="AA161" s="196">
        <v>41730</v>
      </c>
      <c r="AB161">
        <v>4.6310000000000002</v>
      </c>
      <c r="AC161">
        <v>0.17</v>
      </c>
      <c r="AI161" s="196">
        <v>41699</v>
      </c>
      <c r="AJ161">
        <v>-35.405660439999998</v>
      </c>
    </row>
    <row r="162" spans="1:36" x14ac:dyDescent="0.2">
      <c r="A162" s="196">
        <v>41760</v>
      </c>
      <c r="B162">
        <v>-0.71300000000000008</v>
      </c>
      <c r="C162" s="196">
        <v>41760</v>
      </c>
      <c r="D162">
        <v>1.6405424834295599</v>
      </c>
      <c r="F162" s="350">
        <f t="shared" si="13"/>
        <v>6.1186654284657109</v>
      </c>
      <c r="G162">
        <f t="shared" si="14"/>
        <v>1.6940733926300577E-3</v>
      </c>
      <c r="H162" s="196">
        <v>41760</v>
      </c>
      <c r="I162">
        <v>-0.71300000000000008</v>
      </c>
      <c r="J162" s="196">
        <v>41760</v>
      </c>
      <c r="K162">
        <v>1.6422365568221899</v>
      </c>
      <c r="L162" s="350">
        <f t="shared" si="15"/>
        <v>6.106305269496076</v>
      </c>
      <c r="S162" s="196">
        <v>41760</v>
      </c>
      <c r="T162">
        <v>4.6480000000000006</v>
      </c>
      <c r="U162">
        <v>0.17</v>
      </c>
      <c r="W162">
        <f t="shared" si="16"/>
        <v>-1.2000000000000455E-2</v>
      </c>
      <c r="X162">
        <f t="shared" si="12"/>
        <v>0</v>
      </c>
      <c r="Y162" s="350">
        <f t="shared" si="17"/>
        <v>0</v>
      </c>
      <c r="AA162" s="196">
        <v>41760</v>
      </c>
      <c r="AB162">
        <v>4.6360000000000001</v>
      </c>
      <c r="AC162">
        <v>0.17</v>
      </c>
      <c r="AI162" s="196">
        <v>41730</v>
      </c>
      <c r="AJ162">
        <v>-34.06287236</v>
      </c>
    </row>
    <row r="163" spans="1:36" x14ac:dyDescent="0.2">
      <c r="A163" s="196">
        <v>41791</v>
      </c>
      <c r="B163">
        <v>-0.71300000000000008</v>
      </c>
      <c r="C163" s="196">
        <v>41791</v>
      </c>
      <c r="D163">
        <v>1.6413685449230899</v>
      </c>
      <c r="F163" s="350">
        <f t="shared" si="13"/>
        <v>6.1808636024812298</v>
      </c>
      <c r="G163">
        <f t="shared" si="14"/>
        <v>1.8302679103701092E-3</v>
      </c>
      <c r="H163" s="196">
        <v>41791</v>
      </c>
      <c r="I163">
        <v>-0.71300000000000008</v>
      </c>
      <c r="J163" s="196">
        <v>41791</v>
      </c>
      <c r="K163">
        <v>1.64319881283346</v>
      </c>
      <c r="L163" s="350">
        <f t="shared" si="15"/>
        <v>6.1690663790674014</v>
      </c>
      <c r="S163" s="196">
        <v>41791</v>
      </c>
      <c r="T163">
        <v>4.6859999999999999</v>
      </c>
      <c r="U163">
        <v>0.17</v>
      </c>
      <c r="W163">
        <f t="shared" si="16"/>
        <v>-1.1999999999999567E-2</v>
      </c>
      <c r="X163">
        <f t="shared" si="12"/>
        <v>0</v>
      </c>
      <c r="Y163" s="350">
        <f t="shared" si="17"/>
        <v>0</v>
      </c>
      <c r="AA163" s="196">
        <v>41791</v>
      </c>
      <c r="AB163">
        <v>4.6740000000000004</v>
      </c>
      <c r="AC163">
        <v>0.17</v>
      </c>
      <c r="AI163" s="196">
        <v>41760</v>
      </c>
      <c r="AJ163">
        <v>-34.998372529999997</v>
      </c>
    </row>
    <row r="164" spans="1:36" x14ac:dyDescent="0.2">
      <c r="A164" s="196">
        <v>41821</v>
      </c>
      <c r="B164">
        <v>-0.71300000000000008</v>
      </c>
      <c r="C164" s="196">
        <v>41821</v>
      </c>
      <c r="D164">
        <v>1.64217288610006</v>
      </c>
      <c r="F164" s="350">
        <f t="shared" si="13"/>
        <v>6.2539340625995594</v>
      </c>
      <c r="G164">
        <f t="shared" si="14"/>
        <v>1.9638407970499205E-3</v>
      </c>
      <c r="H164" s="196">
        <v>41821</v>
      </c>
      <c r="I164">
        <v>-0.71300000000000008</v>
      </c>
      <c r="J164" s="196">
        <v>41821</v>
      </c>
      <c r="K164">
        <v>1.6441367268971099</v>
      </c>
      <c r="L164" s="350">
        <f t="shared" si="15"/>
        <v>6.2427129251431417</v>
      </c>
      <c r="S164" s="196">
        <v>41821</v>
      </c>
      <c r="T164">
        <v>4.7309999999999999</v>
      </c>
      <c r="U164">
        <v>0.17</v>
      </c>
      <c r="W164">
        <f t="shared" si="16"/>
        <v>-1.1999999999999567E-2</v>
      </c>
      <c r="X164">
        <f t="shared" si="12"/>
        <v>0</v>
      </c>
      <c r="Y164" s="350">
        <f t="shared" si="17"/>
        <v>0</v>
      </c>
      <c r="AA164" s="196">
        <v>41821</v>
      </c>
      <c r="AB164">
        <v>4.7190000000000003</v>
      </c>
      <c r="AC164">
        <v>0.17</v>
      </c>
      <c r="AI164" s="196">
        <v>41791</v>
      </c>
      <c r="AJ164">
        <v>-33.670205500000002</v>
      </c>
    </row>
    <row r="165" spans="1:36" x14ac:dyDescent="0.2">
      <c r="A165" s="196">
        <v>41852</v>
      </c>
      <c r="B165">
        <v>-0.71300000000000008</v>
      </c>
      <c r="C165" s="196">
        <v>41852</v>
      </c>
      <c r="D165">
        <v>1.6430091364936199</v>
      </c>
      <c r="F165" s="350">
        <f t="shared" si="13"/>
        <v>6.3162951138310408</v>
      </c>
      <c r="G165">
        <f t="shared" si="14"/>
        <v>2.1037009513500404E-3</v>
      </c>
      <c r="H165" s="196">
        <v>41852</v>
      </c>
      <c r="I165">
        <v>-0.71300000000000008</v>
      </c>
      <c r="J165" s="196">
        <v>41852</v>
      </c>
      <c r="K165">
        <v>1.6451128374449699</v>
      </c>
      <c r="L165" s="350">
        <f t="shared" si="15"/>
        <v>6.3056712768113341</v>
      </c>
      <c r="S165" s="196">
        <v>41852</v>
      </c>
      <c r="T165">
        <v>4.7690000000000001</v>
      </c>
      <c r="U165">
        <v>0.17</v>
      </c>
      <c r="W165">
        <f t="shared" si="16"/>
        <v>-1.1999999999999567E-2</v>
      </c>
      <c r="X165">
        <f t="shared" si="12"/>
        <v>0</v>
      </c>
      <c r="Y165" s="350">
        <f t="shared" si="17"/>
        <v>0</v>
      </c>
      <c r="AA165" s="196">
        <v>41852</v>
      </c>
      <c r="AB165">
        <v>4.7570000000000006</v>
      </c>
      <c r="AC165">
        <v>0.17</v>
      </c>
      <c r="AI165" s="196">
        <v>41821</v>
      </c>
      <c r="AJ165">
        <v>-34.594100570000002</v>
      </c>
    </row>
    <row r="166" spans="1:36" x14ac:dyDescent="0.2">
      <c r="A166" s="196">
        <v>41883</v>
      </c>
      <c r="B166">
        <v>-0.71300000000000008</v>
      </c>
      <c r="C166" s="196">
        <v>41883</v>
      </c>
      <c r="D166">
        <v>1.64385057524879</v>
      </c>
      <c r="F166" s="350">
        <f t="shared" si="13"/>
        <v>6.3101814782889241</v>
      </c>
      <c r="G166">
        <f t="shared" si="14"/>
        <v>2.2454301688099587E-3</v>
      </c>
      <c r="H166" s="196">
        <v>41883</v>
      </c>
      <c r="I166">
        <v>-0.71300000000000008</v>
      </c>
      <c r="J166" s="196">
        <v>41883</v>
      </c>
      <c r="K166">
        <v>1.6460960054175999</v>
      </c>
      <c r="L166" s="350">
        <f t="shared" si="15"/>
        <v>6.3000785454765138</v>
      </c>
      <c r="S166" s="196">
        <v>41883</v>
      </c>
      <c r="T166">
        <v>4.7629999999999999</v>
      </c>
      <c r="U166">
        <v>0.17</v>
      </c>
      <c r="W166">
        <f t="shared" si="16"/>
        <v>-1.1999999999999567E-2</v>
      </c>
      <c r="X166">
        <f t="shared" si="12"/>
        <v>0</v>
      </c>
      <c r="Y166" s="350">
        <f t="shared" si="17"/>
        <v>0</v>
      </c>
      <c r="AA166" s="196">
        <v>41883</v>
      </c>
      <c r="AB166">
        <v>4.7510000000000003</v>
      </c>
      <c r="AC166">
        <v>0.17</v>
      </c>
      <c r="AI166" s="196">
        <v>41852</v>
      </c>
      <c r="AJ166">
        <v>-34.389808039999998</v>
      </c>
    </row>
    <row r="167" spans="1:36" x14ac:dyDescent="0.2">
      <c r="A167" s="196">
        <v>41913</v>
      </c>
      <c r="B167">
        <v>-0.71300000000000008</v>
      </c>
      <c r="C167" s="196">
        <v>41913</v>
      </c>
      <c r="D167">
        <v>1.6446698174880798</v>
      </c>
      <c r="F167" s="350">
        <f t="shared" si="13"/>
        <v>6.3133262697209656</v>
      </c>
      <c r="G167">
        <f t="shared" si="14"/>
        <v>2.3843710583102418E-3</v>
      </c>
      <c r="H167" s="196">
        <v>41913</v>
      </c>
      <c r="I167">
        <v>-0.71300000000000008</v>
      </c>
      <c r="J167" s="196">
        <v>41913</v>
      </c>
      <c r="K167">
        <v>1.6470541885463901</v>
      </c>
      <c r="L167" s="350">
        <f t="shared" si="15"/>
        <v>6.3037457853898982</v>
      </c>
      <c r="S167" s="196">
        <v>41913</v>
      </c>
      <c r="T167">
        <v>4.7629999999999999</v>
      </c>
      <c r="U167">
        <v>0.17</v>
      </c>
      <c r="W167">
        <f t="shared" si="16"/>
        <v>-1.1999999999999567E-2</v>
      </c>
      <c r="X167">
        <f t="shared" si="12"/>
        <v>0</v>
      </c>
      <c r="Y167" s="350">
        <f t="shared" si="17"/>
        <v>0</v>
      </c>
      <c r="AA167" s="196">
        <v>41913</v>
      </c>
      <c r="AB167">
        <v>4.7510000000000003</v>
      </c>
      <c r="AC167">
        <v>0.17</v>
      </c>
      <c r="AI167" s="196">
        <v>41883</v>
      </c>
      <c r="AJ167">
        <v>-33.083512229999997</v>
      </c>
    </row>
    <row r="168" spans="1:36" x14ac:dyDescent="0.2">
      <c r="A168" s="196">
        <v>41944</v>
      </c>
      <c r="B168">
        <v>-0.67300000000000004</v>
      </c>
      <c r="C168" s="196">
        <v>41944</v>
      </c>
      <c r="D168">
        <v>1.64552148628753</v>
      </c>
      <c r="F168" s="350">
        <f t="shared" si="13"/>
        <v>6.6098103407653745</v>
      </c>
      <c r="G168">
        <f t="shared" si="14"/>
        <v>2.5297905035299717E-3</v>
      </c>
      <c r="H168" s="196">
        <v>41944</v>
      </c>
      <c r="I168">
        <v>-0.67300000000000004</v>
      </c>
      <c r="J168" s="196">
        <v>41944</v>
      </c>
      <c r="K168">
        <v>1.64805127679106</v>
      </c>
      <c r="L168" s="350">
        <f t="shared" si="15"/>
        <v>6.6027895647205561</v>
      </c>
      <c r="S168" s="196">
        <v>41944</v>
      </c>
      <c r="T168">
        <v>4.9110000000000005</v>
      </c>
      <c r="U168">
        <v>0.17</v>
      </c>
      <c r="W168">
        <f t="shared" si="16"/>
        <v>-1.1000000000000121E-2</v>
      </c>
      <c r="X168">
        <f t="shared" si="12"/>
        <v>0</v>
      </c>
      <c r="Y168" s="350">
        <f t="shared" si="17"/>
        <v>0</v>
      </c>
      <c r="AA168" s="196">
        <v>41944</v>
      </c>
      <c r="AB168">
        <v>4.9000000000000004</v>
      </c>
      <c r="AC168">
        <v>0.17</v>
      </c>
      <c r="AI168" s="196">
        <v>41913</v>
      </c>
      <c r="AJ168">
        <v>-33.990092369999999</v>
      </c>
    </row>
    <row r="169" spans="1:36" x14ac:dyDescent="0.2">
      <c r="A169" s="196">
        <v>41974</v>
      </c>
      <c r="B169">
        <v>-0.67300000000000004</v>
      </c>
      <c r="C169" s="196">
        <v>41974</v>
      </c>
      <c r="D169">
        <v>1.64635064194776</v>
      </c>
      <c r="F169" s="350">
        <f t="shared" si="13"/>
        <v>6.8503276775362325</v>
      </c>
      <c r="G169">
        <f t="shared" si="14"/>
        <v>2.6723106222898974E-3</v>
      </c>
      <c r="H169" s="196">
        <v>41974</v>
      </c>
      <c r="I169">
        <v>-0.67300000000000004</v>
      </c>
      <c r="J169" s="196">
        <v>41974</v>
      </c>
      <c r="K169">
        <v>1.6490229525700499</v>
      </c>
      <c r="L169" s="350">
        <f t="shared" si="15"/>
        <v>6.8442542474562957</v>
      </c>
      <c r="S169" s="196">
        <v>41974</v>
      </c>
      <c r="T169">
        <v>5.0630000000000006</v>
      </c>
      <c r="U169">
        <v>0.17</v>
      </c>
      <c r="W169">
        <f t="shared" si="16"/>
        <v>-1.1000000000000121E-2</v>
      </c>
      <c r="X169">
        <f t="shared" si="12"/>
        <v>0</v>
      </c>
      <c r="Y169" s="350">
        <f t="shared" si="17"/>
        <v>0</v>
      </c>
      <c r="AA169" s="196">
        <v>41974</v>
      </c>
      <c r="AB169">
        <v>5.0520000000000005</v>
      </c>
      <c r="AC169">
        <v>0.17</v>
      </c>
      <c r="AI169" s="196">
        <v>41944</v>
      </c>
      <c r="AJ169">
        <v>-32.698178140000003</v>
      </c>
    </row>
    <row r="170" spans="1:36" x14ac:dyDescent="0.2">
      <c r="A170" s="196">
        <v>42005</v>
      </c>
      <c r="B170">
        <v>-0.67300000000000004</v>
      </c>
      <c r="C170" s="196">
        <v>42005</v>
      </c>
      <c r="D170">
        <v>1.6472125685320398</v>
      </c>
      <c r="F170" s="350">
        <f t="shared" si="13"/>
        <v>6.967105146147909</v>
      </c>
      <c r="G170">
        <f t="shared" si="14"/>
        <v>2.821436992400228E-3</v>
      </c>
      <c r="H170" s="196">
        <v>42005</v>
      </c>
      <c r="I170">
        <v>-0.67300000000000004</v>
      </c>
      <c r="J170" s="196">
        <v>42005</v>
      </c>
      <c r="K170">
        <v>1.65003400552444</v>
      </c>
      <c r="L170" s="350">
        <f t="shared" si="15"/>
        <v>6.9696552084625534</v>
      </c>
      <c r="S170" s="196">
        <v>42005</v>
      </c>
      <c r="T170">
        <v>5.1355000000000004</v>
      </c>
      <c r="U170">
        <v>0.17</v>
      </c>
      <c r="W170">
        <f t="shared" si="16"/>
        <v>-6.0000000000002274E-3</v>
      </c>
      <c r="X170">
        <f t="shared" si="12"/>
        <v>0</v>
      </c>
      <c r="Y170" s="350">
        <f t="shared" si="17"/>
        <v>0</v>
      </c>
      <c r="AA170" s="196">
        <v>42005</v>
      </c>
      <c r="AB170">
        <v>5.1295000000000002</v>
      </c>
      <c r="AC170">
        <v>0.17</v>
      </c>
      <c r="AI170" s="196">
        <v>41974</v>
      </c>
      <c r="AJ170">
        <v>-33.593402099999999</v>
      </c>
    </row>
    <row r="171" spans="1:36" x14ac:dyDescent="0.2">
      <c r="A171" s="196">
        <v>42036</v>
      </c>
      <c r="B171">
        <v>-0.67300000000000004</v>
      </c>
      <c r="C171" s="196">
        <v>42036</v>
      </c>
      <c r="D171">
        <v>1.6480797188380298</v>
      </c>
      <c r="F171" s="350">
        <f t="shared" si="13"/>
        <v>6.8348720918849812</v>
      </c>
      <c r="G171">
        <f t="shared" si="14"/>
        <v>2.9724537091802006E-3</v>
      </c>
      <c r="H171" s="196">
        <v>42036</v>
      </c>
      <c r="I171">
        <v>-0.67300000000000004</v>
      </c>
      <c r="J171" s="196">
        <v>42036</v>
      </c>
      <c r="K171">
        <v>1.65105217254721</v>
      </c>
      <c r="L171" s="350">
        <f t="shared" si="15"/>
        <v>6.8362451052574338</v>
      </c>
      <c r="S171" s="196">
        <v>42036</v>
      </c>
      <c r="T171">
        <v>5.0485000000000007</v>
      </c>
      <c r="U171">
        <v>0.17</v>
      </c>
      <c r="W171">
        <f t="shared" si="16"/>
        <v>-7.0000000000005613E-3</v>
      </c>
      <c r="X171">
        <f t="shared" si="12"/>
        <v>0</v>
      </c>
      <c r="Y171" s="350">
        <f t="shared" si="17"/>
        <v>0</v>
      </c>
      <c r="AA171" s="196">
        <v>42036</v>
      </c>
      <c r="AB171">
        <v>5.0415000000000001</v>
      </c>
      <c r="AC171">
        <v>0.17</v>
      </c>
      <c r="AI171" s="196">
        <v>42005</v>
      </c>
      <c r="AJ171">
        <v>-33.392965770000004</v>
      </c>
    </row>
    <row r="172" spans="1:36" x14ac:dyDescent="0.2">
      <c r="A172" s="196">
        <v>42064</v>
      </c>
      <c r="B172">
        <v>-0.67300000000000004</v>
      </c>
      <c r="C172" s="196">
        <v>42064</v>
      </c>
      <c r="D172">
        <v>1.6488674473505598</v>
      </c>
      <c r="F172" s="350">
        <f t="shared" si="13"/>
        <v>6.6209063222242683</v>
      </c>
      <c r="G172">
        <f t="shared" si="14"/>
        <v>3.1104843864402376E-3</v>
      </c>
      <c r="H172" s="196">
        <v>42064</v>
      </c>
      <c r="I172">
        <v>-0.67300000000000004</v>
      </c>
      <c r="J172" s="196">
        <v>42064</v>
      </c>
      <c r="K172">
        <v>1.651977931737</v>
      </c>
      <c r="L172" s="350">
        <f t="shared" si="15"/>
        <v>6.6224358349524968</v>
      </c>
      <c r="S172" s="196">
        <v>42064</v>
      </c>
      <c r="T172">
        <v>4.9095000000000004</v>
      </c>
      <c r="U172">
        <v>0.17</v>
      </c>
      <c r="W172">
        <f t="shared" si="16"/>
        <v>-7.0000000000005613E-3</v>
      </c>
      <c r="X172">
        <f t="shared" si="12"/>
        <v>0</v>
      </c>
      <c r="Y172" s="350">
        <f t="shared" si="17"/>
        <v>0</v>
      </c>
      <c r="AA172" s="196">
        <v>42064</v>
      </c>
      <c r="AB172">
        <v>4.9024999999999999</v>
      </c>
      <c r="AC172">
        <v>0.17</v>
      </c>
      <c r="AI172" s="196">
        <v>42036</v>
      </c>
      <c r="AJ172">
        <v>-29.981055909999998</v>
      </c>
    </row>
    <row r="173" spans="1:36" x14ac:dyDescent="0.2">
      <c r="A173" s="196">
        <v>42095</v>
      </c>
      <c r="B173">
        <v>-0.80800000000000005</v>
      </c>
      <c r="C173" s="196">
        <v>42095</v>
      </c>
      <c r="D173">
        <v>1.6497445598093599</v>
      </c>
      <c r="F173" s="350">
        <f t="shared" si="13"/>
        <v>6.1725317422463348</v>
      </c>
      <c r="G173">
        <f t="shared" si="14"/>
        <v>3.2651111471799776E-3</v>
      </c>
      <c r="H173" s="196">
        <v>42095</v>
      </c>
      <c r="I173">
        <v>-0.80800000000000005</v>
      </c>
      <c r="J173" s="196">
        <v>42095</v>
      </c>
      <c r="K173">
        <v>1.6530096709565398</v>
      </c>
      <c r="L173" s="350">
        <f t="shared" si="15"/>
        <v>6.1737809257558327</v>
      </c>
      <c r="S173" s="196">
        <v>42095</v>
      </c>
      <c r="T173">
        <v>4.7555000000000005</v>
      </c>
      <c r="U173">
        <v>0.17</v>
      </c>
      <c r="W173">
        <f t="shared" si="16"/>
        <v>-7.0000000000005613E-3</v>
      </c>
      <c r="X173">
        <f t="shared" si="12"/>
        <v>0</v>
      </c>
      <c r="Y173" s="350">
        <f t="shared" si="17"/>
        <v>0</v>
      </c>
      <c r="AA173" s="196">
        <v>42095</v>
      </c>
      <c r="AB173">
        <v>4.7484999999999999</v>
      </c>
      <c r="AC173">
        <v>0.17</v>
      </c>
      <c r="AI173" s="196">
        <v>42064</v>
      </c>
      <c r="AJ173">
        <v>-33.013652139999998</v>
      </c>
    </row>
    <row r="174" spans="1:36" x14ac:dyDescent="0.2">
      <c r="A174" s="196">
        <v>42125</v>
      </c>
      <c r="B174">
        <v>-0.80800000000000005</v>
      </c>
      <c r="C174" s="196">
        <v>42125</v>
      </c>
      <c r="D174">
        <v>1.6505983722500299</v>
      </c>
      <c r="F174" s="350">
        <f t="shared" si="13"/>
        <v>6.1835486138349474</v>
      </c>
      <c r="G174">
        <f t="shared" si="14"/>
        <v>3.4165621321899931E-3</v>
      </c>
      <c r="H174" s="196">
        <v>42125</v>
      </c>
      <c r="I174">
        <v>-0.80800000000000005</v>
      </c>
      <c r="J174" s="196">
        <v>42125</v>
      </c>
      <c r="K174">
        <v>1.6540149343822199</v>
      </c>
      <c r="L174" s="350">
        <f t="shared" si="15"/>
        <v>6.1853739740876774</v>
      </c>
      <c r="S174" s="196">
        <v>42125</v>
      </c>
      <c r="T174">
        <v>4.7605000000000004</v>
      </c>
      <c r="U174">
        <v>0.17</v>
      </c>
      <c r="W174">
        <f t="shared" si="16"/>
        <v>-7.0000000000005613E-3</v>
      </c>
      <c r="X174">
        <f t="shared" si="12"/>
        <v>0</v>
      </c>
      <c r="Y174" s="350">
        <f t="shared" si="17"/>
        <v>0</v>
      </c>
      <c r="AA174" s="196">
        <v>42125</v>
      </c>
      <c r="AB174">
        <v>4.7534999999999998</v>
      </c>
      <c r="AC174">
        <v>0.17</v>
      </c>
      <c r="AI174" s="196">
        <v>42095</v>
      </c>
      <c r="AJ174">
        <v>-31.756924089999998</v>
      </c>
    </row>
    <row r="175" spans="1:36" x14ac:dyDescent="0.2">
      <c r="A175" s="196">
        <v>42156</v>
      </c>
      <c r="B175">
        <v>-0.80800000000000005</v>
      </c>
      <c r="C175" s="196">
        <v>42156</v>
      </c>
      <c r="D175">
        <v>1.6514858127518</v>
      </c>
      <c r="F175" s="350">
        <f t="shared" si="13"/>
        <v>6.2463548245648184</v>
      </c>
      <c r="G175">
        <f t="shared" si="14"/>
        <v>3.574938507590053E-3</v>
      </c>
      <c r="H175" s="196">
        <v>42156</v>
      </c>
      <c r="I175">
        <v>-0.80800000000000005</v>
      </c>
      <c r="J175" s="196">
        <v>42156</v>
      </c>
      <c r="K175">
        <v>1.65506075125939</v>
      </c>
      <c r="L175" s="350">
        <f t="shared" si="15"/>
        <v>6.2488953218045111</v>
      </c>
      <c r="S175" s="196">
        <v>42156</v>
      </c>
      <c r="T175">
        <v>4.7985000000000007</v>
      </c>
      <c r="U175">
        <v>0.17</v>
      </c>
      <c r="W175">
        <f t="shared" si="16"/>
        <v>-7.0000000000005613E-3</v>
      </c>
      <c r="X175">
        <f t="shared" si="12"/>
        <v>0</v>
      </c>
      <c r="Y175" s="350">
        <f t="shared" si="17"/>
        <v>0</v>
      </c>
      <c r="AA175" s="196">
        <v>42156</v>
      </c>
      <c r="AB175">
        <v>4.7915000000000001</v>
      </c>
      <c r="AC175">
        <v>0.17</v>
      </c>
      <c r="AI175" s="196">
        <v>42125</v>
      </c>
      <c r="AJ175">
        <v>-32.624462450000003</v>
      </c>
    </row>
    <row r="176" spans="1:36" x14ac:dyDescent="0.2">
      <c r="A176" s="196">
        <v>42186</v>
      </c>
      <c r="B176">
        <v>-0.80800000000000005</v>
      </c>
      <c r="C176" s="196">
        <v>42186</v>
      </c>
      <c r="D176">
        <v>1.6523496340733199</v>
      </c>
      <c r="F176" s="350">
        <f t="shared" si="13"/>
        <v>6.3200976519757095</v>
      </c>
      <c r="G176">
        <f t="shared" si="14"/>
        <v>3.7300267252800001E-3</v>
      </c>
      <c r="H176" s="196">
        <v>42186</v>
      </c>
      <c r="I176">
        <v>-0.80800000000000005</v>
      </c>
      <c r="J176" s="196">
        <v>42186</v>
      </c>
      <c r="K176">
        <v>1.6560796607985999</v>
      </c>
      <c r="L176" s="350">
        <f t="shared" si="15"/>
        <v>6.3233770657928678</v>
      </c>
      <c r="S176" s="196">
        <v>42186</v>
      </c>
      <c r="T176">
        <v>4.8435000000000006</v>
      </c>
      <c r="U176">
        <v>0.17</v>
      </c>
      <c r="W176">
        <f t="shared" si="16"/>
        <v>-7.0000000000005613E-3</v>
      </c>
      <c r="X176">
        <f t="shared" si="12"/>
        <v>0</v>
      </c>
      <c r="Y176" s="350">
        <f t="shared" si="17"/>
        <v>0</v>
      </c>
      <c r="AA176" s="196">
        <v>42186</v>
      </c>
      <c r="AB176">
        <v>4.8365</v>
      </c>
      <c r="AC176">
        <v>0.17</v>
      </c>
      <c r="AI176" s="196">
        <v>42156</v>
      </c>
      <c r="AJ176">
        <v>-31.381780590000002</v>
      </c>
    </row>
    <row r="177" spans="1:36" x14ac:dyDescent="0.2">
      <c r="A177" s="196">
        <v>42217</v>
      </c>
      <c r="B177">
        <v>-0.80800000000000005</v>
      </c>
      <c r="C177" s="196">
        <v>42217</v>
      </c>
      <c r="D177">
        <v>1.6532474316463199</v>
      </c>
      <c r="F177" s="350">
        <f t="shared" si="13"/>
        <v>6.3830767398235588</v>
      </c>
      <c r="G177">
        <f t="shared" si="14"/>
        <v>3.8921705140699814E-3</v>
      </c>
      <c r="H177" s="196">
        <v>42217</v>
      </c>
      <c r="I177">
        <v>-0.80800000000000005</v>
      </c>
      <c r="J177" s="196">
        <v>42217</v>
      </c>
      <c r="K177">
        <v>1.6571396021603899</v>
      </c>
      <c r="L177" s="350">
        <f t="shared" si="15"/>
        <v>6.3871094919940044</v>
      </c>
      <c r="S177" s="196">
        <v>42217</v>
      </c>
      <c r="T177">
        <v>4.8815</v>
      </c>
      <c r="U177">
        <v>0.17</v>
      </c>
      <c r="W177">
        <f t="shared" si="16"/>
        <v>-6.9999999999996732E-3</v>
      </c>
      <c r="X177">
        <f t="shared" si="12"/>
        <v>0</v>
      </c>
      <c r="Y177" s="350">
        <f t="shared" si="17"/>
        <v>0</v>
      </c>
      <c r="AA177" s="196">
        <v>42217</v>
      </c>
      <c r="AB177">
        <v>4.8745000000000003</v>
      </c>
      <c r="AC177">
        <v>0.17</v>
      </c>
      <c r="AI177" s="196">
        <v>42186</v>
      </c>
      <c r="AJ177">
        <v>-32.23830624</v>
      </c>
    </row>
    <row r="178" spans="1:36" x14ac:dyDescent="0.2">
      <c r="A178" s="196">
        <v>42248</v>
      </c>
      <c r="B178">
        <v>-0.80800000000000005</v>
      </c>
      <c r="C178" s="196">
        <v>42248</v>
      </c>
      <c r="D178">
        <v>1.65415050389323</v>
      </c>
      <c r="F178" s="350">
        <f t="shared" si="13"/>
        <v>6.3771564491228085</v>
      </c>
      <c r="G178">
        <f t="shared" si="14"/>
        <v>4.056235813829856E-3</v>
      </c>
      <c r="H178" s="196">
        <v>42248</v>
      </c>
      <c r="I178">
        <v>-0.80800000000000005</v>
      </c>
      <c r="J178" s="196">
        <v>42248</v>
      </c>
      <c r="K178">
        <v>1.6582067397070599</v>
      </c>
      <c r="L178" s="350">
        <f t="shared" si="15"/>
        <v>6.3817924987683279</v>
      </c>
      <c r="S178" s="196">
        <v>42248</v>
      </c>
      <c r="T178">
        <v>4.8755000000000006</v>
      </c>
      <c r="U178">
        <v>0.17</v>
      </c>
      <c r="W178">
        <f t="shared" si="16"/>
        <v>-7.0000000000005613E-3</v>
      </c>
      <c r="X178">
        <f t="shared" si="12"/>
        <v>0</v>
      </c>
      <c r="Y178" s="350">
        <f t="shared" si="17"/>
        <v>0</v>
      </c>
      <c r="AA178" s="196">
        <v>42248</v>
      </c>
      <c r="AB178">
        <v>4.8685</v>
      </c>
      <c r="AC178">
        <v>0.17</v>
      </c>
      <c r="AI178" s="196">
        <v>42217</v>
      </c>
      <c r="AJ178">
        <v>-32.04322586</v>
      </c>
    </row>
    <row r="179" spans="1:36" x14ac:dyDescent="0.2">
      <c r="A179" s="196">
        <v>42278</v>
      </c>
      <c r="B179">
        <v>-0.80800000000000005</v>
      </c>
      <c r="C179" s="196">
        <v>42278</v>
      </c>
      <c r="D179">
        <v>1.6550294741677698</v>
      </c>
      <c r="F179" s="350">
        <f t="shared" si="13"/>
        <v>6.3805450954047984</v>
      </c>
      <c r="G179">
        <f t="shared" si="14"/>
        <v>4.2168426662601011E-3</v>
      </c>
      <c r="H179" s="196">
        <v>42278</v>
      </c>
      <c r="I179">
        <v>-0.80800000000000005</v>
      </c>
      <c r="J179" s="196">
        <v>42278</v>
      </c>
      <c r="K179">
        <v>1.6592463168340299</v>
      </c>
      <c r="L179" s="350">
        <f t="shared" si="15"/>
        <v>6.385793426609184</v>
      </c>
      <c r="S179" s="196">
        <v>42278</v>
      </c>
      <c r="T179">
        <v>4.8755000000000006</v>
      </c>
      <c r="U179">
        <v>0.17</v>
      </c>
      <c r="W179">
        <f t="shared" si="16"/>
        <v>-7.0000000000005613E-3</v>
      </c>
      <c r="X179">
        <f t="shared" si="12"/>
        <v>0</v>
      </c>
      <c r="Y179" s="350">
        <f t="shared" si="17"/>
        <v>0</v>
      </c>
      <c r="AA179" s="196">
        <v>42278</v>
      </c>
      <c r="AB179">
        <v>4.8685</v>
      </c>
      <c r="AC179">
        <v>0.17</v>
      </c>
      <c r="AI179" s="196">
        <v>42248</v>
      </c>
      <c r="AJ179">
        <v>-30.82154457</v>
      </c>
    </row>
    <row r="180" spans="1:36" x14ac:dyDescent="0.2">
      <c r="A180" s="196">
        <v>42309</v>
      </c>
      <c r="B180">
        <v>-0.70800000000000007</v>
      </c>
      <c r="C180" s="196">
        <v>42309</v>
      </c>
      <c r="D180">
        <v>1.6559429479741201</v>
      </c>
      <c r="F180" s="350">
        <f t="shared" si="13"/>
        <v>6.7733104138380487</v>
      </c>
      <c r="G180">
        <f t="shared" si="14"/>
        <v>4.3847028314196734E-3</v>
      </c>
      <c r="H180" s="196">
        <v>42309</v>
      </c>
      <c r="I180">
        <v>-0.70800000000000007</v>
      </c>
      <c r="J180" s="196">
        <v>42309</v>
      </c>
      <c r="K180">
        <v>1.6603276508055398</v>
      </c>
      <c r="L180" s="350">
        <f t="shared" si="15"/>
        <v>6.7818030617772651</v>
      </c>
      <c r="S180" s="196">
        <v>42309</v>
      </c>
      <c r="T180">
        <v>5.0235000000000003</v>
      </c>
      <c r="U180">
        <v>0.17</v>
      </c>
      <c r="W180">
        <f t="shared" si="16"/>
        <v>-6.0000000000002274E-3</v>
      </c>
      <c r="X180">
        <f t="shared" si="12"/>
        <v>0</v>
      </c>
      <c r="Y180" s="350">
        <f t="shared" si="17"/>
        <v>0</v>
      </c>
      <c r="AA180" s="196">
        <v>42309</v>
      </c>
      <c r="AB180">
        <v>5.0175000000000001</v>
      </c>
      <c r="AC180">
        <v>0.17</v>
      </c>
      <c r="AI180" s="196">
        <v>42278</v>
      </c>
      <c r="AJ180">
        <v>-31.66164698</v>
      </c>
    </row>
    <row r="181" spans="1:36" x14ac:dyDescent="0.2">
      <c r="A181" s="196">
        <v>42339</v>
      </c>
      <c r="B181">
        <v>-0.70800000000000007</v>
      </c>
      <c r="C181" s="196">
        <v>42339</v>
      </c>
      <c r="D181">
        <v>1.6568319987292899</v>
      </c>
      <c r="F181" s="350">
        <f t="shared" si="13"/>
        <v>7.0156436760921723</v>
      </c>
      <c r="G181">
        <f t="shared" si="14"/>
        <v>4.5489910985498927E-3</v>
      </c>
      <c r="H181" s="196">
        <v>42339</v>
      </c>
      <c r="I181">
        <v>-0.70800000000000007</v>
      </c>
      <c r="J181" s="196">
        <v>42339</v>
      </c>
      <c r="K181">
        <v>1.6613809898278398</v>
      </c>
      <c r="L181" s="350">
        <f t="shared" si="15"/>
        <v>7.025457687664832</v>
      </c>
      <c r="S181" s="196">
        <v>42339</v>
      </c>
      <c r="T181">
        <v>5.1755000000000004</v>
      </c>
      <c r="U181">
        <v>0.17</v>
      </c>
      <c r="W181">
        <f t="shared" si="16"/>
        <v>-6.0000000000002274E-3</v>
      </c>
      <c r="X181">
        <f t="shared" si="12"/>
        <v>0</v>
      </c>
      <c r="Y181" s="350">
        <f t="shared" si="17"/>
        <v>0</v>
      </c>
      <c r="AA181" s="196">
        <v>42339</v>
      </c>
      <c r="AB181">
        <v>5.1695000000000002</v>
      </c>
      <c r="AC181">
        <v>0.17</v>
      </c>
      <c r="AI181" s="196">
        <v>42309</v>
      </c>
      <c r="AJ181">
        <v>-30.45376766</v>
      </c>
    </row>
    <row r="182" spans="1:36" x14ac:dyDescent="0.2">
      <c r="A182" s="196">
        <v>42370</v>
      </c>
      <c r="B182">
        <v>-0.70800000000000007</v>
      </c>
      <c r="C182" s="196">
        <v>42370</v>
      </c>
      <c r="D182">
        <v>1.6577559040643299</v>
      </c>
      <c r="F182" s="350">
        <f t="shared" si="13"/>
        <v>7.1334714028943091</v>
      </c>
      <c r="G182">
        <f t="shared" si="14"/>
        <v>4.7206647370499066E-3</v>
      </c>
      <c r="H182" s="196">
        <v>42370</v>
      </c>
      <c r="I182">
        <v>-0.70800000000000007</v>
      </c>
      <c r="J182" s="196">
        <v>42370</v>
      </c>
      <c r="K182">
        <v>1.6624765688013798</v>
      </c>
      <c r="L182" s="350">
        <f t="shared" si="15"/>
        <v>7.1522091204537608</v>
      </c>
      <c r="S182" s="196">
        <v>42370</v>
      </c>
      <c r="T182">
        <v>5.2480000000000002</v>
      </c>
      <c r="U182">
        <v>0.17</v>
      </c>
      <c r="W182">
        <f t="shared" si="16"/>
        <v>-1.000000000000334E-3</v>
      </c>
      <c r="X182">
        <f t="shared" si="12"/>
        <v>0</v>
      </c>
      <c r="Y182" s="350">
        <f t="shared" si="17"/>
        <v>0</v>
      </c>
      <c r="AA182" s="196">
        <v>42370</v>
      </c>
      <c r="AB182">
        <v>5.2469999999999999</v>
      </c>
      <c r="AC182">
        <v>0.17</v>
      </c>
      <c r="AI182" s="196">
        <v>42339</v>
      </c>
      <c r="AJ182">
        <v>-31.283103959999998</v>
      </c>
    </row>
    <row r="183" spans="1:36" x14ac:dyDescent="0.2">
      <c r="A183" s="196">
        <v>42401</v>
      </c>
      <c r="B183">
        <v>-0.70800000000000007</v>
      </c>
      <c r="C183" s="196">
        <v>42401</v>
      </c>
      <c r="D183">
        <v>1.65868512227426</v>
      </c>
      <c r="F183" s="350">
        <f t="shared" si="13"/>
        <v>7.000694607193628</v>
      </c>
      <c r="G183">
        <f t="shared" si="14"/>
        <v>4.8942836056700134E-3</v>
      </c>
      <c r="H183" s="196">
        <v>42401</v>
      </c>
      <c r="I183">
        <v>-0.70800000000000007</v>
      </c>
      <c r="J183" s="196">
        <v>42401</v>
      </c>
      <c r="K183">
        <v>1.66357940587993</v>
      </c>
      <c r="L183" s="350">
        <f t="shared" si="15"/>
        <v>7.018198025101575</v>
      </c>
      <c r="S183" s="196">
        <v>42401</v>
      </c>
      <c r="T183">
        <v>5.1610000000000005</v>
      </c>
      <c r="U183">
        <v>0.17</v>
      </c>
      <c r="W183">
        <f t="shared" si="16"/>
        <v>-2.0000000000006679E-3</v>
      </c>
      <c r="X183">
        <f t="shared" si="12"/>
        <v>0</v>
      </c>
      <c r="Y183" s="350">
        <f t="shared" si="17"/>
        <v>0</v>
      </c>
      <c r="AA183" s="196">
        <v>42401</v>
      </c>
      <c r="AB183">
        <v>5.1589999999999998</v>
      </c>
      <c r="AC183">
        <v>0.17</v>
      </c>
    </row>
    <row r="184" spans="1:36" x14ac:dyDescent="0.2">
      <c r="A184" s="196">
        <v>42430</v>
      </c>
      <c r="B184">
        <v>-0.70800000000000007</v>
      </c>
      <c r="C184" s="196">
        <v>42430</v>
      </c>
      <c r="D184">
        <v>1.6595592076911101</v>
      </c>
      <c r="F184" s="350">
        <f t="shared" si="13"/>
        <v>6.7857425785735055</v>
      </c>
      <c r="G184">
        <f t="shared" si="14"/>
        <v>5.0584666565498537E-3</v>
      </c>
      <c r="H184" s="196">
        <v>42430</v>
      </c>
      <c r="I184">
        <v>-0.70800000000000007</v>
      </c>
      <c r="J184" s="196">
        <v>42430</v>
      </c>
      <c r="K184">
        <v>1.6646176743476599</v>
      </c>
      <c r="L184" s="350">
        <f t="shared" si="15"/>
        <v>6.8032705484705156</v>
      </c>
      <c r="S184" s="196">
        <v>42430</v>
      </c>
      <c r="T184">
        <v>5.0220000000000002</v>
      </c>
      <c r="U184">
        <v>0.17</v>
      </c>
      <c r="W184">
        <f t="shared" si="16"/>
        <v>-2.0000000000006679E-3</v>
      </c>
      <c r="X184">
        <f t="shared" si="12"/>
        <v>0</v>
      </c>
      <c r="Y184" s="350">
        <f t="shared" si="17"/>
        <v>0</v>
      </c>
      <c r="AA184" s="196">
        <v>42430</v>
      </c>
      <c r="AB184">
        <v>5.0199999999999996</v>
      </c>
      <c r="AC184">
        <v>0.17</v>
      </c>
    </row>
    <row r="185" spans="1:36" x14ac:dyDescent="0.2">
      <c r="A185" s="196">
        <v>42461</v>
      </c>
      <c r="B185">
        <v>-0.80800000000000005</v>
      </c>
      <c r="C185" s="196">
        <v>42461</v>
      </c>
      <c r="D185">
        <v>1.66049873133517</v>
      </c>
      <c r="F185" s="350">
        <f t="shared" si="13"/>
        <v>6.3898265582308342</v>
      </c>
      <c r="G185">
        <f t="shared" si="14"/>
        <v>5.2358645383399072E-3</v>
      </c>
      <c r="H185" s="196">
        <v>42461</v>
      </c>
      <c r="I185">
        <v>-0.80800000000000005</v>
      </c>
      <c r="J185" s="196">
        <v>42461</v>
      </c>
      <c r="K185">
        <v>1.6657345958735099</v>
      </c>
      <c r="L185" s="350">
        <f t="shared" si="15"/>
        <v>6.4068172590409462</v>
      </c>
      <c r="S185" s="196">
        <v>42461</v>
      </c>
      <c r="T185">
        <v>4.8680000000000003</v>
      </c>
      <c r="U185">
        <v>0.17</v>
      </c>
      <c r="W185">
        <f t="shared" si="16"/>
        <v>-1.9999999999997797E-3</v>
      </c>
      <c r="X185">
        <f t="shared" si="12"/>
        <v>0</v>
      </c>
      <c r="Y185" s="350">
        <f t="shared" si="17"/>
        <v>0</v>
      </c>
      <c r="AA185" s="196">
        <v>42461</v>
      </c>
      <c r="AB185">
        <v>4.8660000000000005</v>
      </c>
      <c r="AC185">
        <v>0.17</v>
      </c>
    </row>
    <row r="186" spans="1:36" x14ac:dyDescent="0.2">
      <c r="A186" s="196">
        <v>42491</v>
      </c>
      <c r="B186">
        <v>-0.80800000000000005</v>
      </c>
      <c r="C186" s="196">
        <v>42491</v>
      </c>
      <c r="D186">
        <v>1.6614130284272601</v>
      </c>
      <c r="F186" s="350">
        <f t="shared" si="13"/>
        <v>6.4012184761347388</v>
      </c>
      <c r="G186">
        <f t="shared" si="14"/>
        <v>5.4094058784699417E-3</v>
      </c>
      <c r="H186" s="196">
        <v>42491</v>
      </c>
      <c r="I186">
        <v>-0.80800000000000005</v>
      </c>
      <c r="J186" s="196">
        <v>42491</v>
      </c>
      <c r="K186">
        <v>1.6668224343057301</v>
      </c>
      <c r="L186" s="350">
        <f t="shared" si="15"/>
        <v>6.4189005612822276</v>
      </c>
      <c r="S186" s="196">
        <v>42491</v>
      </c>
      <c r="T186">
        <v>4.8730000000000002</v>
      </c>
      <c r="U186">
        <v>0.17</v>
      </c>
      <c r="W186">
        <f t="shared" si="16"/>
        <v>-1.9999999999997797E-3</v>
      </c>
      <c r="X186">
        <f t="shared" si="12"/>
        <v>0</v>
      </c>
      <c r="Y186" s="350">
        <f t="shared" si="17"/>
        <v>0</v>
      </c>
      <c r="AA186" s="196">
        <v>42491</v>
      </c>
      <c r="AB186">
        <v>4.8710000000000004</v>
      </c>
      <c r="AC186">
        <v>0.17</v>
      </c>
    </row>
    <row r="187" spans="1:36" x14ac:dyDescent="0.2">
      <c r="A187" s="196">
        <v>42522</v>
      </c>
      <c r="B187">
        <v>-0.80800000000000005</v>
      </c>
      <c r="C187" s="196">
        <v>42522</v>
      </c>
      <c r="D187">
        <v>1.6623630599256201</v>
      </c>
      <c r="F187" s="350">
        <f t="shared" si="13"/>
        <v>6.4647522357816269</v>
      </c>
      <c r="G187">
        <f t="shared" si="14"/>
        <v>5.590665023669894E-3</v>
      </c>
      <c r="H187" s="196">
        <v>42522</v>
      </c>
      <c r="I187">
        <v>-0.80800000000000005</v>
      </c>
      <c r="J187" s="196">
        <v>42522</v>
      </c>
      <c r="K187">
        <v>1.66795372494929</v>
      </c>
      <c r="L187" s="350">
        <f t="shared" si="15"/>
        <v>6.4833319046733422</v>
      </c>
      <c r="S187" s="196">
        <v>42522</v>
      </c>
      <c r="T187">
        <v>4.9110000000000005</v>
      </c>
      <c r="U187">
        <v>0.17</v>
      </c>
      <c r="W187">
        <f t="shared" si="16"/>
        <v>-2.0000000000006679E-3</v>
      </c>
      <c r="X187">
        <f t="shared" si="12"/>
        <v>0</v>
      </c>
      <c r="Y187" s="350">
        <f t="shared" si="17"/>
        <v>0</v>
      </c>
      <c r="AA187" s="196">
        <v>42522</v>
      </c>
      <c r="AB187">
        <v>4.9089999999999998</v>
      </c>
      <c r="AC187">
        <v>0.17</v>
      </c>
    </row>
    <row r="188" spans="1:36" x14ac:dyDescent="0.2">
      <c r="A188" s="196">
        <v>42552</v>
      </c>
      <c r="B188">
        <v>-0.80800000000000005</v>
      </c>
      <c r="C188" s="196">
        <v>42552</v>
      </c>
      <c r="D188">
        <v>1.6632875410057899</v>
      </c>
      <c r="F188" s="350">
        <f t="shared" si="13"/>
        <v>6.5392895922984353</v>
      </c>
      <c r="G188">
        <f t="shared" si="14"/>
        <v>5.7679525889100525E-3</v>
      </c>
      <c r="H188" s="196">
        <v>42552</v>
      </c>
      <c r="I188">
        <v>-0.80800000000000005</v>
      </c>
      <c r="J188" s="196">
        <v>42552</v>
      </c>
      <c r="K188">
        <v>1.6690554935947</v>
      </c>
      <c r="L188" s="350">
        <f t="shared" si="15"/>
        <v>6.5588026383847184</v>
      </c>
      <c r="S188" s="196">
        <v>42552</v>
      </c>
      <c r="T188">
        <v>4.9560000000000004</v>
      </c>
      <c r="U188">
        <v>0.17</v>
      </c>
      <c r="W188">
        <f t="shared" si="16"/>
        <v>-1.9999999999997797E-3</v>
      </c>
      <c r="X188">
        <f t="shared" si="12"/>
        <v>0</v>
      </c>
      <c r="Y188" s="350">
        <f t="shared" si="17"/>
        <v>0</v>
      </c>
      <c r="AA188" s="196">
        <v>42552</v>
      </c>
      <c r="AB188">
        <v>4.9540000000000006</v>
      </c>
      <c r="AC188">
        <v>0.17</v>
      </c>
    </row>
    <row r="189" spans="1:36" x14ac:dyDescent="0.2">
      <c r="A189" s="196">
        <v>42583</v>
      </c>
      <c r="B189">
        <v>-0.80800000000000005</v>
      </c>
      <c r="C189" s="196">
        <v>42583</v>
      </c>
      <c r="D189">
        <v>1.6642481116548</v>
      </c>
      <c r="F189" s="350">
        <f t="shared" si="13"/>
        <v>6.603007418930364</v>
      </c>
      <c r="G189">
        <f t="shared" si="14"/>
        <v>5.9530927528097521E-3</v>
      </c>
      <c r="H189" s="196">
        <v>42583</v>
      </c>
      <c r="I189">
        <v>-0.80800000000000005</v>
      </c>
      <c r="J189" s="196">
        <v>42583</v>
      </c>
      <c r="K189">
        <v>1.6702012044076098</v>
      </c>
      <c r="L189" s="350">
        <f t="shared" si="15"/>
        <v>6.6234605928419343</v>
      </c>
      <c r="S189" s="196">
        <v>42583</v>
      </c>
      <c r="T189">
        <v>4.9940000000000007</v>
      </c>
      <c r="U189">
        <v>0.17</v>
      </c>
      <c r="W189">
        <f t="shared" si="16"/>
        <v>-2.0000000000006679E-3</v>
      </c>
      <c r="X189">
        <f t="shared" si="12"/>
        <v>0</v>
      </c>
      <c r="Y189" s="350">
        <f t="shared" si="17"/>
        <v>0</v>
      </c>
      <c r="AA189" s="196">
        <v>42583</v>
      </c>
      <c r="AB189">
        <v>4.992</v>
      </c>
      <c r="AC189">
        <v>0.17</v>
      </c>
    </row>
    <row r="190" spans="1:36" x14ac:dyDescent="0.2">
      <c r="A190" s="196">
        <v>42614</v>
      </c>
      <c r="B190">
        <v>-0.80800000000000005</v>
      </c>
      <c r="C190" s="196">
        <v>42614</v>
      </c>
      <c r="D190">
        <v>1.6652140503822799</v>
      </c>
      <c r="F190" s="350">
        <f t="shared" si="13"/>
        <v>6.5973699316414782</v>
      </c>
      <c r="G190">
        <f t="shared" si="14"/>
        <v>6.1402129151701956E-3</v>
      </c>
      <c r="H190" s="196">
        <v>42614</v>
      </c>
      <c r="I190">
        <v>-0.80800000000000005</v>
      </c>
      <c r="J190" s="196">
        <v>42614</v>
      </c>
      <c r="K190">
        <v>1.6713542632974501</v>
      </c>
      <c r="L190" s="350">
        <f t="shared" si="15"/>
        <v>6.6185284118158165</v>
      </c>
      <c r="S190" s="196">
        <v>42614</v>
      </c>
      <c r="T190">
        <v>4.9880000000000004</v>
      </c>
      <c r="U190">
        <v>0.17</v>
      </c>
      <c r="W190">
        <f t="shared" si="16"/>
        <v>-1.9999999999997797E-3</v>
      </c>
      <c r="X190">
        <f t="shared" si="12"/>
        <v>0</v>
      </c>
      <c r="Y190" s="350">
        <f t="shared" si="17"/>
        <v>0</v>
      </c>
      <c r="AA190" s="196">
        <v>42614</v>
      </c>
      <c r="AB190">
        <v>4.9860000000000007</v>
      </c>
      <c r="AC190">
        <v>0.17</v>
      </c>
    </row>
    <row r="191" spans="1:36" x14ac:dyDescent="0.2">
      <c r="A191" s="196">
        <v>42644</v>
      </c>
      <c r="B191">
        <v>-0.80800000000000005</v>
      </c>
      <c r="C191" s="196">
        <v>42644</v>
      </c>
      <c r="D191">
        <v>1.6661539486752801</v>
      </c>
      <c r="F191" s="350">
        <f t="shared" si="13"/>
        <v>6.6010936911999663</v>
      </c>
      <c r="G191">
        <f t="shared" si="14"/>
        <v>6.3231870932898282E-3</v>
      </c>
      <c r="H191" s="196">
        <v>42644</v>
      </c>
      <c r="I191">
        <v>-0.80800000000000005</v>
      </c>
      <c r="J191" s="196">
        <v>42644</v>
      </c>
      <c r="K191">
        <v>1.6724771357685699</v>
      </c>
      <c r="L191" s="350">
        <f t="shared" si="15"/>
        <v>6.6229749636427702</v>
      </c>
      <c r="S191" s="196">
        <v>42644</v>
      </c>
      <c r="T191">
        <v>4.9880000000000004</v>
      </c>
      <c r="U191">
        <v>0.17</v>
      </c>
      <c r="W191">
        <f t="shared" si="16"/>
        <v>-1.9999999999997797E-3</v>
      </c>
      <c r="X191">
        <f t="shared" si="12"/>
        <v>0</v>
      </c>
      <c r="Y191" s="350">
        <f t="shared" si="17"/>
        <v>0</v>
      </c>
      <c r="AA191" s="196">
        <v>42644</v>
      </c>
      <c r="AB191">
        <v>4.9860000000000007</v>
      </c>
      <c r="AC191">
        <v>0.17</v>
      </c>
    </row>
    <row r="192" spans="1:36" x14ac:dyDescent="0.2">
      <c r="A192" s="196">
        <v>42675</v>
      </c>
      <c r="B192">
        <v>-0.70800000000000007</v>
      </c>
      <c r="C192" s="196">
        <v>42675</v>
      </c>
      <c r="D192">
        <v>1.6668521642454299</v>
      </c>
      <c r="F192" s="350">
        <f t="shared" si="13"/>
        <v>6.9956678918263711</v>
      </c>
      <c r="G192">
        <f t="shared" si="14"/>
        <v>6.5280610772300296E-3</v>
      </c>
      <c r="H192" s="196">
        <v>42675</v>
      </c>
      <c r="I192">
        <v>-0.70800000000000007</v>
      </c>
      <c r="J192" s="196">
        <v>42675</v>
      </c>
      <c r="K192">
        <v>1.67338022532266</v>
      </c>
      <c r="L192" s="350">
        <f t="shared" si="15"/>
        <v>7.0214796726462056</v>
      </c>
      <c r="S192" s="196">
        <v>42675</v>
      </c>
      <c r="T192">
        <v>5.1360000000000001</v>
      </c>
      <c r="U192">
        <v>0.17</v>
      </c>
      <c r="W192">
        <f t="shared" si="16"/>
        <v>-1.000000000000334E-3</v>
      </c>
      <c r="X192">
        <f t="shared" si="12"/>
        <v>0</v>
      </c>
      <c r="Y192" s="350">
        <f t="shared" si="17"/>
        <v>0</v>
      </c>
      <c r="AA192" s="196">
        <v>42675</v>
      </c>
      <c r="AB192">
        <v>5.1349999999999998</v>
      </c>
      <c r="AC192">
        <v>0.17</v>
      </c>
    </row>
    <row r="193" spans="1:29" x14ac:dyDescent="0.2">
      <c r="A193" s="196">
        <v>42705</v>
      </c>
      <c r="B193">
        <v>-0.70800000000000007</v>
      </c>
      <c r="C193" s="196">
        <v>42705</v>
      </c>
      <c r="D193">
        <v>1.6667511273957498</v>
      </c>
      <c r="F193" s="350">
        <f t="shared" si="13"/>
        <v>7.2353696519166135</v>
      </c>
      <c r="G193">
        <f t="shared" si="14"/>
        <v>6.6245112457801181E-3</v>
      </c>
      <c r="H193" s="196">
        <v>42705</v>
      </c>
      <c r="I193">
        <v>-0.70800000000000007</v>
      </c>
      <c r="J193" s="196">
        <v>42705</v>
      </c>
      <c r="K193">
        <v>1.6733756386415299</v>
      </c>
      <c r="L193" s="350">
        <f t="shared" si="15"/>
        <v>7.2625406133319608</v>
      </c>
      <c r="S193" s="196">
        <v>42705</v>
      </c>
      <c r="T193">
        <v>5.2880000000000003</v>
      </c>
      <c r="U193">
        <v>0.17</v>
      </c>
      <c r="W193">
        <f t="shared" si="16"/>
        <v>-1.000000000000334E-3</v>
      </c>
      <c r="X193">
        <f t="shared" si="12"/>
        <v>0</v>
      </c>
      <c r="Y193" s="350">
        <f t="shared" si="17"/>
        <v>0</v>
      </c>
      <c r="AA193" s="196">
        <v>42705</v>
      </c>
      <c r="AB193">
        <v>5.2869999999999999</v>
      </c>
      <c r="AC193">
        <v>0.17</v>
      </c>
    </row>
    <row r="194" spans="1:29" x14ac:dyDescent="0.2">
      <c r="A194" s="196">
        <v>42736</v>
      </c>
      <c r="B194">
        <v>-0.70800000000000007</v>
      </c>
      <c r="C194" s="196">
        <v>42736</v>
      </c>
      <c r="D194">
        <v>1.66663953630411</v>
      </c>
      <c r="F194" s="350">
        <f t="shared" si="13"/>
        <v>7.3494112565161203</v>
      </c>
      <c r="G194">
        <f t="shared" si="14"/>
        <v>6.7248674461197755E-3</v>
      </c>
      <c r="H194" s="196">
        <v>42736</v>
      </c>
      <c r="I194">
        <v>-0.70800000000000007</v>
      </c>
      <c r="J194" s="196">
        <v>42736</v>
      </c>
      <c r="K194">
        <v>1.6733644037502298</v>
      </c>
      <c r="L194" s="350">
        <f t="shared" si="15"/>
        <v>7.3854102019825918</v>
      </c>
      <c r="S194" s="196">
        <v>42736</v>
      </c>
      <c r="T194">
        <v>5.3605</v>
      </c>
      <c r="U194">
        <v>0.17</v>
      </c>
      <c r="W194">
        <f t="shared" si="16"/>
        <v>4.0000000000004476E-3</v>
      </c>
      <c r="X194">
        <f t="shared" si="12"/>
        <v>0</v>
      </c>
      <c r="Y194" s="350">
        <f t="shared" si="17"/>
        <v>0</v>
      </c>
      <c r="AA194" s="196">
        <v>42736</v>
      </c>
      <c r="AB194">
        <v>5.3645000000000005</v>
      </c>
      <c r="AC194">
        <v>0.17</v>
      </c>
    </row>
    <row r="195" spans="1:29" x14ac:dyDescent="0.2">
      <c r="A195" s="196">
        <v>42767</v>
      </c>
      <c r="B195">
        <v>-0.70800000000000007</v>
      </c>
      <c r="C195" s="196">
        <v>42767</v>
      </c>
      <c r="D195">
        <v>1.6665206429802899</v>
      </c>
      <c r="F195" s="350">
        <f t="shared" si="13"/>
        <v>7.2114655482993451</v>
      </c>
      <c r="G195">
        <f t="shared" si="14"/>
        <v>6.8259246428801212E-3</v>
      </c>
      <c r="H195" s="196">
        <v>42767</v>
      </c>
      <c r="I195">
        <v>-0.70800000000000007</v>
      </c>
      <c r="J195" s="196">
        <v>42767</v>
      </c>
      <c r="K195">
        <v>1.67334656762317</v>
      </c>
      <c r="L195" s="350">
        <f t="shared" si="15"/>
        <v>7.2457611673564744</v>
      </c>
      <c r="S195" s="196">
        <v>42767</v>
      </c>
      <c r="T195">
        <v>5.2735000000000003</v>
      </c>
      <c r="U195">
        <v>0.17</v>
      </c>
      <c r="W195">
        <f t="shared" si="16"/>
        <v>3.0000000000001137E-3</v>
      </c>
      <c r="X195">
        <f t="shared" si="12"/>
        <v>0</v>
      </c>
      <c r="Y195" s="350">
        <f t="shared" si="17"/>
        <v>0</v>
      </c>
      <c r="AA195" s="196">
        <v>42767</v>
      </c>
      <c r="AB195">
        <v>5.2765000000000004</v>
      </c>
      <c r="AC195">
        <v>0.17</v>
      </c>
    </row>
    <row r="196" spans="1:29" x14ac:dyDescent="0.2">
      <c r="A196" s="196">
        <v>42795</v>
      </c>
      <c r="B196">
        <v>-0.70800000000000007</v>
      </c>
      <c r="C196" s="196">
        <v>42795</v>
      </c>
      <c r="D196">
        <v>1.6664069807323498</v>
      </c>
      <c r="F196" s="350">
        <f t="shared" si="13"/>
        <v>6.9914303129044777</v>
      </c>
      <c r="G196">
        <f t="shared" si="14"/>
        <v>6.9178034761701035E-3</v>
      </c>
      <c r="H196" s="196">
        <v>42795</v>
      </c>
      <c r="I196">
        <v>-0.70800000000000007</v>
      </c>
      <c r="J196" s="196">
        <v>42795</v>
      </c>
      <c r="K196">
        <v>1.6733247842085199</v>
      </c>
      <c r="L196" s="350">
        <f t="shared" si="15"/>
        <v>7.0252120566601572</v>
      </c>
      <c r="S196" s="196">
        <v>42795</v>
      </c>
      <c r="T196">
        <v>5.1345000000000001</v>
      </c>
      <c r="U196">
        <v>0.17</v>
      </c>
      <c r="W196">
        <f t="shared" si="16"/>
        <v>3.0000000000001137E-3</v>
      </c>
      <c r="X196">
        <f t="shared" si="12"/>
        <v>0</v>
      </c>
      <c r="Y196" s="350">
        <f t="shared" si="17"/>
        <v>0</v>
      </c>
      <c r="AA196" s="196">
        <v>42795</v>
      </c>
      <c r="AB196">
        <v>5.1375000000000002</v>
      </c>
      <c r="AC196">
        <v>0.17</v>
      </c>
    </row>
    <row r="197" spans="1:29" x14ac:dyDescent="0.2">
      <c r="A197" s="196">
        <v>42826</v>
      </c>
      <c r="B197">
        <v>-0.80800000000000005</v>
      </c>
      <c r="C197" s="196">
        <v>42826</v>
      </c>
      <c r="D197">
        <v>1.66627419532664</v>
      </c>
      <c r="F197" s="350">
        <f t="shared" si="13"/>
        <v>6.5897251709865694</v>
      </c>
      <c r="G197">
        <f t="shared" si="14"/>
        <v>7.0201909714098232E-3</v>
      </c>
      <c r="H197" s="196">
        <v>42826</v>
      </c>
      <c r="I197">
        <v>-0.80800000000000005</v>
      </c>
      <c r="J197" s="196">
        <v>42826</v>
      </c>
      <c r="K197">
        <v>1.6732943862980498</v>
      </c>
      <c r="L197" s="350">
        <f t="shared" si="15"/>
        <v>6.6222463167713448</v>
      </c>
      <c r="S197" s="196">
        <v>42826</v>
      </c>
      <c r="T197">
        <v>4.9805000000000001</v>
      </c>
      <c r="U197">
        <v>0.17</v>
      </c>
      <c r="W197">
        <f t="shared" si="16"/>
        <v>3.0000000000001137E-3</v>
      </c>
      <c r="X197">
        <f t="shared" si="12"/>
        <v>0</v>
      </c>
      <c r="Y197" s="350">
        <f t="shared" si="17"/>
        <v>0</v>
      </c>
      <c r="AA197" s="196">
        <v>42826</v>
      </c>
      <c r="AB197">
        <v>4.9835000000000003</v>
      </c>
      <c r="AC197">
        <v>0.17</v>
      </c>
    </row>
    <row r="198" spans="1:29" x14ac:dyDescent="0.2">
      <c r="A198" s="196">
        <v>42856</v>
      </c>
      <c r="B198">
        <v>-0.80800000000000005</v>
      </c>
      <c r="C198" s="196">
        <v>42856</v>
      </c>
      <c r="D198">
        <v>1.6661387464900899</v>
      </c>
      <c r="F198" s="350">
        <f t="shared" si="13"/>
        <v>6.597085475522011</v>
      </c>
      <c r="G198">
        <f t="shared" si="14"/>
        <v>7.1199392109699833E-3</v>
      </c>
      <c r="H198" s="196">
        <v>42856</v>
      </c>
      <c r="I198">
        <v>-0.80800000000000005</v>
      </c>
      <c r="J198" s="196">
        <v>42856</v>
      </c>
      <c r="K198">
        <v>1.6732586857010598</v>
      </c>
      <c r="L198" s="350">
        <f t="shared" si="15"/>
        <v>6.6300347427750577</v>
      </c>
      <c r="S198" s="196">
        <v>42856</v>
      </c>
      <c r="T198">
        <v>4.9855</v>
      </c>
      <c r="U198">
        <v>0.17</v>
      </c>
      <c r="W198">
        <f t="shared" si="16"/>
        <v>3.0000000000001137E-3</v>
      </c>
      <c r="X198">
        <f t="shared" si="12"/>
        <v>0</v>
      </c>
      <c r="Y198" s="350">
        <f t="shared" si="17"/>
        <v>0</v>
      </c>
      <c r="AA198" s="196">
        <v>42856</v>
      </c>
      <c r="AB198">
        <v>4.9885000000000002</v>
      </c>
      <c r="AC198">
        <v>0.17</v>
      </c>
    </row>
    <row r="199" spans="1:29" x14ac:dyDescent="0.2">
      <c r="A199" s="196">
        <v>42887</v>
      </c>
      <c r="B199">
        <v>-0.80800000000000005</v>
      </c>
      <c r="C199" s="196">
        <v>42887</v>
      </c>
      <c r="D199">
        <v>1.6659916065543801</v>
      </c>
      <c r="F199" s="350">
        <f t="shared" si="13"/>
        <v>6.6565069697058643</v>
      </c>
      <c r="G199">
        <f t="shared" si="14"/>
        <v>7.2236966745997666E-3</v>
      </c>
      <c r="H199" s="196">
        <v>42887</v>
      </c>
      <c r="I199">
        <v>-0.80800000000000005</v>
      </c>
      <c r="J199" s="196">
        <v>42887</v>
      </c>
      <c r="K199">
        <v>1.6732153032289798</v>
      </c>
      <c r="L199" s="350">
        <f t="shared" si="15"/>
        <v>6.6901271180595652</v>
      </c>
      <c r="S199" s="196">
        <v>42887</v>
      </c>
      <c r="T199">
        <v>5.0235000000000003</v>
      </c>
      <c r="U199">
        <v>0.17</v>
      </c>
      <c r="W199">
        <f t="shared" si="16"/>
        <v>3.0000000000001137E-3</v>
      </c>
      <c r="X199">
        <f t="shared" si="12"/>
        <v>0</v>
      </c>
      <c r="Y199" s="350">
        <f t="shared" si="17"/>
        <v>0</v>
      </c>
      <c r="AA199" s="196">
        <v>42887</v>
      </c>
      <c r="AB199">
        <v>5.0265000000000004</v>
      </c>
      <c r="AC199">
        <v>0.17</v>
      </c>
    </row>
    <row r="200" spans="1:29" x14ac:dyDescent="0.2">
      <c r="A200" s="196">
        <v>42917</v>
      </c>
      <c r="B200">
        <v>-0.80800000000000005</v>
      </c>
      <c r="C200" s="196">
        <v>42917</v>
      </c>
      <c r="D200">
        <v>1.6658422706639298</v>
      </c>
      <c r="F200" s="350">
        <f t="shared" si="13"/>
        <v>6.7269614069430181</v>
      </c>
      <c r="G200">
        <f t="shared" si="14"/>
        <v>7.3247679733301485E-3</v>
      </c>
      <c r="H200" s="196">
        <v>42917</v>
      </c>
      <c r="I200">
        <v>-0.80800000000000005</v>
      </c>
      <c r="J200" s="196">
        <v>42917</v>
      </c>
      <c r="K200">
        <v>1.6731670386372599</v>
      </c>
      <c r="L200" s="350">
        <f t="shared" si="15"/>
        <v>6.761297664986464</v>
      </c>
      <c r="S200" s="196">
        <v>42917</v>
      </c>
      <c r="T200">
        <v>5.0685000000000002</v>
      </c>
      <c r="U200">
        <v>0.17</v>
      </c>
      <c r="W200">
        <f t="shared" si="16"/>
        <v>3.0000000000001137E-3</v>
      </c>
      <c r="X200">
        <f t="shared" si="12"/>
        <v>0</v>
      </c>
      <c r="Y200" s="350">
        <f t="shared" si="17"/>
        <v>0</v>
      </c>
      <c r="AA200" s="196">
        <v>42917</v>
      </c>
      <c r="AB200">
        <v>5.0715000000000003</v>
      </c>
      <c r="AC200">
        <v>0.17</v>
      </c>
    </row>
    <row r="201" spans="1:29" x14ac:dyDescent="0.2">
      <c r="A201" s="196">
        <v>42948</v>
      </c>
      <c r="B201">
        <v>-0.80800000000000005</v>
      </c>
      <c r="C201" s="196">
        <v>42948</v>
      </c>
      <c r="D201">
        <v>1.6656807855298299</v>
      </c>
      <c r="F201" s="350">
        <f t="shared" si="13"/>
        <v>6.7863022025370929</v>
      </c>
      <c r="G201">
        <f t="shared" si="14"/>
        <v>7.4298897571498657E-3</v>
      </c>
      <c r="H201" s="196">
        <v>42948</v>
      </c>
      <c r="I201">
        <v>-0.80800000000000005</v>
      </c>
      <c r="J201" s="196">
        <v>42948</v>
      </c>
      <c r="K201">
        <v>1.6731106752869798</v>
      </c>
      <c r="L201" s="350">
        <f t="shared" si="15"/>
        <v>6.8213304030752342</v>
      </c>
      <c r="S201" s="196">
        <v>42948</v>
      </c>
      <c r="T201">
        <v>5.1065000000000005</v>
      </c>
      <c r="U201">
        <v>0.17</v>
      </c>
      <c r="W201">
        <f t="shared" si="16"/>
        <v>3.0000000000001137E-3</v>
      </c>
      <c r="X201">
        <f t="shared" si="12"/>
        <v>0</v>
      </c>
      <c r="Y201" s="350">
        <f t="shared" si="17"/>
        <v>0</v>
      </c>
      <c r="AA201" s="196">
        <v>42948</v>
      </c>
      <c r="AB201">
        <v>5.1095000000000006</v>
      </c>
      <c r="AC201">
        <v>0.17</v>
      </c>
    </row>
    <row r="202" spans="1:29" x14ac:dyDescent="0.2">
      <c r="A202" s="196">
        <v>42979</v>
      </c>
      <c r="B202">
        <v>-0.80800000000000005</v>
      </c>
      <c r="C202" s="196">
        <v>42979</v>
      </c>
      <c r="D202">
        <v>1.6655120140222399</v>
      </c>
      <c r="F202" s="350">
        <f t="shared" si="13"/>
        <v>6.7761429916425913</v>
      </c>
      <c r="G202">
        <f t="shared" si="14"/>
        <v>7.5357026766200708E-3</v>
      </c>
      <c r="H202" s="196">
        <v>42979</v>
      </c>
      <c r="I202">
        <v>-0.80800000000000005</v>
      </c>
      <c r="J202" s="196">
        <v>42979</v>
      </c>
      <c r="K202">
        <v>1.67304771669886</v>
      </c>
      <c r="L202" s="350">
        <f t="shared" si="15"/>
        <v>6.811559260437317</v>
      </c>
      <c r="S202" s="196">
        <v>42979</v>
      </c>
      <c r="T202">
        <v>5.1005000000000003</v>
      </c>
      <c r="U202">
        <v>0.17</v>
      </c>
      <c r="W202">
        <f t="shared" si="16"/>
        <v>3.0000000000001137E-3</v>
      </c>
      <c r="X202">
        <f t="shared" si="12"/>
        <v>0</v>
      </c>
      <c r="Y202" s="350">
        <f t="shared" si="17"/>
        <v>0</v>
      </c>
      <c r="AA202" s="196">
        <v>42979</v>
      </c>
      <c r="AB202">
        <v>5.1035000000000004</v>
      </c>
      <c r="AC202">
        <v>0.17</v>
      </c>
    </row>
    <row r="203" spans="1:29" x14ac:dyDescent="0.2">
      <c r="A203" s="196">
        <v>43009</v>
      </c>
      <c r="B203">
        <v>-0.80800000000000005</v>
      </c>
      <c r="C203" s="196">
        <v>43009</v>
      </c>
      <c r="D203">
        <v>1.6653417516948699</v>
      </c>
      <c r="F203" s="350">
        <f t="shared" si="13"/>
        <v>6.7754502786110216</v>
      </c>
      <c r="G203">
        <f t="shared" si="14"/>
        <v>7.6387589064099704E-3</v>
      </c>
      <c r="H203" s="196">
        <v>43009</v>
      </c>
      <c r="I203">
        <v>-0.80800000000000005</v>
      </c>
      <c r="J203" s="196">
        <v>43009</v>
      </c>
      <c r="K203">
        <v>1.6729805106012798</v>
      </c>
      <c r="L203" s="350">
        <f t="shared" si="15"/>
        <v>6.8112856410349769</v>
      </c>
      <c r="S203" s="196">
        <v>43009</v>
      </c>
      <c r="T203">
        <v>5.1005000000000003</v>
      </c>
      <c r="U203">
        <v>0.17</v>
      </c>
      <c r="W203">
        <f t="shared" si="16"/>
        <v>3.0000000000001137E-3</v>
      </c>
      <c r="X203">
        <f t="shared" si="12"/>
        <v>0</v>
      </c>
      <c r="Y203" s="350">
        <f t="shared" si="17"/>
        <v>0</v>
      </c>
      <c r="AA203" s="196">
        <v>43009</v>
      </c>
      <c r="AB203">
        <v>5.1035000000000004</v>
      </c>
      <c r="AC203">
        <v>0.17</v>
      </c>
    </row>
    <row r="204" spans="1:29" x14ac:dyDescent="0.2">
      <c r="A204" s="196">
        <v>43040</v>
      </c>
      <c r="B204">
        <v>-0.70800000000000007</v>
      </c>
      <c r="C204" s="196">
        <v>43040</v>
      </c>
      <c r="D204">
        <v>1.6651586504385498</v>
      </c>
      <c r="F204" s="350">
        <f t="shared" si="13"/>
        <v>7.1661152131415164</v>
      </c>
      <c r="G204">
        <f t="shared" si="14"/>
        <v>7.7459273747100266E-3</v>
      </c>
      <c r="H204" s="196">
        <v>43040</v>
      </c>
      <c r="I204">
        <v>-0.70800000000000007</v>
      </c>
      <c r="J204" s="196">
        <v>43040</v>
      </c>
      <c r="K204">
        <v>1.6729045778132599</v>
      </c>
      <c r="L204" s="350">
        <f t="shared" si="15"/>
        <v>7.2057927293644699</v>
      </c>
      <c r="S204" s="196">
        <v>43040</v>
      </c>
      <c r="T204">
        <v>5.2484999999999999</v>
      </c>
      <c r="U204">
        <v>0.17</v>
      </c>
      <c r="W204">
        <f t="shared" si="16"/>
        <v>4.0000000000004476E-3</v>
      </c>
      <c r="X204">
        <f t="shared" ref="X204:X267" si="18">AC204-U204</f>
        <v>0</v>
      </c>
      <c r="Y204" s="350">
        <f t="shared" si="17"/>
        <v>0</v>
      </c>
      <c r="AA204" s="196">
        <v>43040</v>
      </c>
      <c r="AB204">
        <v>5.2525000000000004</v>
      </c>
      <c r="AC204">
        <v>0.17</v>
      </c>
    </row>
    <row r="205" spans="1:29" x14ac:dyDescent="0.2">
      <c r="A205" s="196">
        <v>43070</v>
      </c>
      <c r="B205">
        <v>-0.70800000000000007</v>
      </c>
      <c r="C205" s="196">
        <v>43070</v>
      </c>
      <c r="D205">
        <v>1.6649745259214899</v>
      </c>
      <c r="F205" s="350">
        <f t="shared" ref="F205:F244" si="19">(B205+T205)*D205/1.055056</f>
        <v>7.4051926749732626</v>
      </c>
      <c r="G205">
        <f t="shared" ref="G205:G244" si="20">K205-D205</f>
        <v>7.8502925473200591E-3</v>
      </c>
      <c r="H205" s="196">
        <v>43070</v>
      </c>
      <c r="I205">
        <v>-0.70800000000000007</v>
      </c>
      <c r="J205" s="196">
        <v>43070</v>
      </c>
      <c r="K205">
        <v>1.6728248184688099</v>
      </c>
      <c r="L205" s="350">
        <f t="shared" ref="L205:L244" si="21">IF(H205="",F205,(I205+AB205)*K205/1.055056)</f>
        <v>7.4464500082827509</v>
      </c>
      <c r="S205" s="196">
        <v>43070</v>
      </c>
      <c r="T205">
        <v>5.4005000000000001</v>
      </c>
      <c r="U205">
        <v>0.17</v>
      </c>
      <c r="W205">
        <f t="shared" ref="W205:W268" si="22">AB205-T205</f>
        <v>4.0000000000004476E-3</v>
      </c>
      <c r="X205">
        <f t="shared" si="18"/>
        <v>0</v>
      </c>
      <c r="Y205" s="350">
        <f t="shared" ref="Y205:Y268" si="23">I205-B205</f>
        <v>0</v>
      </c>
      <c r="AA205" s="196">
        <v>43070</v>
      </c>
      <c r="AB205">
        <v>5.4045000000000005</v>
      </c>
      <c r="AC205">
        <v>0.17</v>
      </c>
    </row>
    <row r="206" spans="1:29" x14ac:dyDescent="0.2">
      <c r="A206" s="196">
        <v>43101</v>
      </c>
      <c r="B206">
        <v>-0.70800000000000007</v>
      </c>
      <c r="C206" s="196">
        <v>43101</v>
      </c>
      <c r="D206">
        <v>1.66477710607091</v>
      </c>
      <c r="F206" s="350">
        <f t="shared" si="19"/>
        <v>7.5187126658944035</v>
      </c>
      <c r="G206">
        <f t="shared" si="20"/>
        <v>7.9588105819199395E-3</v>
      </c>
      <c r="H206" s="196">
        <v>43101</v>
      </c>
      <c r="I206">
        <v>-0.70800000000000007</v>
      </c>
      <c r="J206" s="196">
        <v>43101</v>
      </c>
      <c r="K206">
        <v>1.6727359166528299</v>
      </c>
      <c r="L206" s="350">
        <f t="shared" si="21"/>
        <v>7.5689264513927323</v>
      </c>
      <c r="S206" s="196">
        <v>43101</v>
      </c>
      <c r="T206">
        <v>5.4729999999999999</v>
      </c>
      <c r="U206">
        <v>0.17</v>
      </c>
      <c r="W206">
        <f t="shared" si="22"/>
        <v>9.0000000000003411E-3</v>
      </c>
      <c r="X206">
        <f t="shared" si="18"/>
        <v>0</v>
      </c>
      <c r="Y206" s="350">
        <f t="shared" si="23"/>
        <v>0</v>
      </c>
      <c r="AA206" s="196">
        <v>43101</v>
      </c>
      <c r="AB206">
        <v>5.4820000000000002</v>
      </c>
      <c r="AC206">
        <v>0.17</v>
      </c>
    </row>
    <row r="207" spans="1:29" x14ac:dyDescent="0.2">
      <c r="A207" s="196">
        <v>43132</v>
      </c>
      <c r="B207">
        <v>-0.70800000000000007</v>
      </c>
      <c r="C207" s="196">
        <v>43132</v>
      </c>
      <c r="D207">
        <v>1.66457241406469</v>
      </c>
      <c r="F207" s="350">
        <f t="shared" si="19"/>
        <v>7.3805274345576155</v>
      </c>
      <c r="G207">
        <f t="shared" si="20"/>
        <v>8.0680121265899185E-3</v>
      </c>
      <c r="H207" s="196">
        <v>43132</v>
      </c>
      <c r="I207">
        <v>-0.70800000000000007</v>
      </c>
      <c r="J207" s="196">
        <v>43132</v>
      </c>
      <c r="K207">
        <v>1.6726404261912799</v>
      </c>
      <c r="L207" s="350">
        <f t="shared" si="21"/>
        <v>7.4289829517412711</v>
      </c>
      <c r="S207" s="196">
        <v>43132</v>
      </c>
      <c r="T207">
        <v>5.3860000000000001</v>
      </c>
      <c r="U207">
        <v>0.17</v>
      </c>
      <c r="W207">
        <f t="shared" si="22"/>
        <v>8.0000000000000071E-3</v>
      </c>
      <c r="X207">
        <f t="shared" si="18"/>
        <v>0</v>
      </c>
      <c r="Y207" s="350">
        <f t="shared" si="23"/>
        <v>0</v>
      </c>
      <c r="AA207" s="196">
        <v>43132</v>
      </c>
      <c r="AB207">
        <v>5.3940000000000001</v>
      </c>
      <c r="AC207">
        <v>0.17</v>
      </c>
    </row>
    <row r="208" spans="1:29" x14ac:dyDescent="0.2">
      <c r="A208" s="196">
        <v>43160</v>
      </c>
      <c r="B208">
        <v>-0.70800000000000007</v>
      </c>
      <c r="C208" s="196">
        <v>43160</v>
      </c>
      <c r="D208">
        <v>1.6643812830185098</v>
      </c>
      <c r="F208" s="350">
        <f t="shared" si="19"/>
        <v>7.1604034701674752</v>
      </c>
      <c r="G208">
        <f t="shared" si="20"/>
        <v>8.1672319436101315E-3</v>
      </c>
      <c r="H208" s="196">
        <v>43160</v>
      </c>
      <c r="I208">
        <v>-0.70800000000000007</v>
      </c>
      <c r="J208" s="196">
        <v>43160</v>
      </c>
      <c r="K208">
        <v>1.67254851496212</v>
      </c>
      <c r="L208" s="350">
        <f t="shared" si="21"/>
        <v>7.2082222152499575</v>
      </c>
      <c r="S208" s="196">
        <v>43160</v>
      </c>
      <c r="T208">
        <v>5.2469999999999999</v>
      </c>
      <c r="U208">
        <v>0.17</v>
      </c>
      <c r="W208">
        <f t="shared" si="22"/>
        <v>8.0000000000000071E-3</v>
      </c>
      <c r="X208">
        <f t="shared" si="18"/>
        <v>0</v>
      </c>
      <c r="Y208" s="350">
        <f t="shared" si="23"/>
        <v>0</v>
      </c>
      <c r="AA208" s="196">
        <v>43160</v>
      </c>
      <c r="AB208">
        <v>5.2549999999999999</v>
      </c>
      <c r="AC208">
        <v>0.17</v>
      </c>
    </row>
    <row r="209" spans="1:29" x14ac:dyDescent="0.2">
      <c r="A209" s="196">
        <v>43191</v>
      </c>
      <c r="B209">
        <v>-0.80800000000000005</v>
      </c>
      <c r="C209" s="196">
        <v>43191</v>
      </c>
      <c r="D209">
        <v>1.66416275927573</v>
      </c>
      <c r="F209" s="350">
        <f t="shared" si="19"/>
        <v>6.758823629737666</v>
      </c>
      <c r="G209">
        <f t="shared" si="20"/>
        <v>8.2777299369598545E-3</v>
      </c>
      <c r="H209" s="196">
        <v>43191</v>
      </c>
      <c r="I209">
        <v>-0.80800000000000005</v>
      </c>
      <c r="J209" s="196">
        <v>43191</v>
      </c>
      <c r="K209">
        <v>1.6724404892126898</v>
      </c>
      <c r="L209" s="350">
        <f t="shared" si="21"/>
        <v>6.8051241073365558</v>
      </c>
      <c r="S209" s="196">
        <v>43191</v>
      </c>
      <c r="T209">
        <v>5.093</v>
      </c>
      <c r="U209">
        <v>0.17</v>
      </c>
      <c r="W209">
        <f t="shared" si="22"/>
        <v>8.0000000000000071E-3</v>
      </c>
      <c r="X209">
        <f t="shared" si="18"/>
        <v>0</v>
      </c>
      <c r="Y209" s="350">
        <f t="shared" si="23"/>
        <v>0</v>
      </c>
      <c r="AA209" s="196">
        <v>43191</v>
      </c>
      <c r="AB209">
        <v>5.101</v>
      </c>
      <c r="AC209">
        <v>0.17</v>
      </c>
    </row>
    <row r="210" spans="1:29" x14ac:dyDescent="0.2">
      <c r="A210" s="196">
        <v>43221</v>
      </c>
      <c r="B210">
        <v>-0.80800000000000005</v>
      </c>
      <c r="C210" s="196">
        <v>43221</v>
      </c>
      <c r="D210">
        <v>1.6639443695834299</v>
      </c>
      <c r="F210" s="350">
        <f t="shared" si="19"/>
        <v>6.7658222364622489</v>
      </c>
      <c r="G210">
        <f t="shared" si="20"/>
        <v>8.3853098295700867E-3</v>
      </c>
      <c r="H210" s="196">
        <v>43221</v>
      </c>
      <c r="I210">
        <v>-0.80800000000000005</v>
      </c>
      <c r="J210" s="196">
        <v>43221</v>
      </c>
      <c r="K210">
        <v>1.672329679413</v>
      </c>
      <c r="L210" s="350">
        <f t="shared" si="21"/>
        <v>6.8125985370606621</v>
      </c>
      <c r="S210" s="196">
        <v>43221</v>
      </c>
      <c r="T210">
        <v>5.0979999999999999</v>
      </c>
      <c r="U210">
        <v>0.17</v>
      </c>
      <c r="W210">
        <f t="shared" si="22"/>
        <v>8.0000000000000071E-3</v>
      </c>
      <c r="X210">
        <f t="shared" si="18"/>
        <v>0</v>
      </c>
      <c r="Y210" s="350">
        <f t="shared" si="23"/>
        <v>0</v>
      </c>
      <c r="AA210" s="196">
        <v>43221</v>
      </c>
      <c r="AB210">
        <v>5.1059999999999999</v>
      </c>
      <c r="AC210">
        <v>0.17</v>
      </c>
    </row>
    <row r="211" spans="1:29" x14ac:dyDescent="0.2">
      <c r="A211" s="196">
        <v>43252</v>
      </c>
      <c r="B211">
        <v>-0.80800000000000005</v>
      </c>
      <c r="C211" s="196">
        <v>43252</v>
      </c>
      <c r="D211">
        <v>1.6637115579739399</v>
      </c>
      <c r="F211" s="350">
        <f t="shared" si="19"/>
        <v>6.8247975680070176</v>
      </c>
      <c r="G211">
        <f t="shared" si="20"/>
        <v>8.4971420119799301E-3</v>
      </c>
      <c r="H211" s="196">
        <v>43252</v>
      </c>
      <c r="I211">
        <v>-0.80800000000000005</v>
      </c>
      <c r="J211" s="196">
        <v>43252</v>
      </c>
      <c r="K211">
        <v>1.6722086999859198</v>
      </c>
      <c r="L211" s="350">
        <f t="shared" si="21"/>
        <v>6.8723337179627899</v>
      </c>
      <c r="S211" s="196">
        <v>43252</v>
      </c>
      <c r="T211">
        <v>5.1360000000000001</v>
      </c>
      <c r="U211">
        <v>0.17</v>
      </c>
      <c r="W211">
        <f t="shared" si="22"/>
        <v>8.0000000000000071E-3</v>
      </c>
      <c r="X211">
        <f t="shared" si="18"/>
        <v>0</v>
      </c>
      <c r="Y211" s="350">
        <f t="shared" si="23"/>
        <v>0</v>
      </c>
      <c r="AA211" s="196">
        <v>43252</v>
      </c>
      <c r="AB211">
        <v>5.1440000000000001</v>
      </c>
      <c r="AC211">
        <v>0.17</v>
      </c>
    </row>
    <row r="212" spans="1:29" x14ac:dyDescent="0.2">
      <c r="A212" s="196">
        <v>43282</v>
      </c>
      <c r="B212">
        <v>-0.80800000000000005</v>
      </c>
      <c r="C212" s="196">
        <v>43282</v>
      </c>
      <c r="D212">
        <v>1.6634793478399399</v>
      </c>
      <c r="F212" s="350">
        <f t="shared" si="19"/>
        <v>6.8947953360807936</v>
      </c>
      <c r="G212">
        <f t="shared" si="20"/>
        <v>8.6060099551699132E-3</v>
      </c>
      <c r="H212" s="196">
        <v>43282</v>
      </c>
      <c r="I212">
        <v>-0.80800000000000005</v>
      </c>
      <c r="J212" s="196">
        <v>43282</v>
      </c>
      <c r="K212">
        <v>1.6720853577951098</v>
      </c>
      <c r="L212" s="350">
        <f t="shared" si="21"/>
        <v>6.9431442051420742</v>
      </c>
      <c r="S212" s="196">
        <v>43282</v>
      </c>
      <c r="T212">
        <v>5.181</v>
      </c>
      <c r="U212">
        <v>0.17</v>
      </c>
      <c r="W212">
        <f t="shared" si="22"/>
        <v>8.0000000000000071E-3</v>
      </c>
      <c r="X212">
        <f t="shared" si="18"/>
        <v>0</v>
      </c>
      <c r="Y212" s="350">
        <f t="shared" si="23"/>
        <v>0</v>
      </c>
      <c r="AA212" s="196">
        <v>43282</v>
      </c>
      <c r="AB212">
        <v>5.1890000000000001</v>
      </c>
      <c r="AC212">
        <v>0.17</v>
      </c>
    </row>
    <row r="213" spans="1:29" x14ac:dyDescent="0.2">
      <c r="A213" s="196">
        <v>43313</v>
      </c>
      <c r="B213">
        <v>-0.80800000000000005</v>
      </c>
      <c r="C213" s="196">
        <v>43313</v>
      </c>
      <c r="D213">
        <v>1.6632322620323399</v>
      </c>
      <c r="F213" s="350">
        <f t="shared" si="19"/>
        <v>6.9536759260405629</v>
      </c>
      <c r="G213">
        <f t="shared" si="20"/>
        <v>8.7191698868200884E-3</v>
      </c>
      <c r="H213" s="196">
        <v>43313</v>
      </c>
      <c r="I213">
        <v>-0.80800000000000005</v>
      </c>
      <c r="J213" s="196">
        <v>43313</v>
      </c>
      <c r="K213">
        <v>1.67195143191916</v>
      </c>
      <c r="L213" s="350">
        <f t="shared" si="21"/>
        <v>7.0028068440450255</v>
      </c>
      <c r="S213" s="196">
        <v>43313</v>
      </c>
      <c r="T213">
        <v>5.2190000000000003</v>
      </c>
      <c r="U213">
        <v>0.17</v>
      </c>
      <c r="W213">
        <f t="shared" si="22"/>
        <v>8.0000000000000071E-3</v>
      </c>
      <c r="X213">
        <f t="shared" si="18"/>
        <v>0</v>
      </c>
      <c r="Y213" s="350">
        <f t="shared" si="23"/>
        <v>0</v>
      </c>
      <c r="AA213" s="196">
        <v>43313</v>
      </c>
      <c r="AB213">
        <v>5.2270000000000003</v>
      </c>
      <c r="AC213">
        <v>0.17</v>
      </c>
    </row>
    <row r="214" spans="1:29" x14ac:dyDescent="0.2">
      <c r="A214" s="196">
        <v>43344</v>
      </c>
      <c r="B214">
        <v>-0.80800000000000005</v>
      </c>
      <c r="C214" s="196">
        <v>43344</v>
      </c>
      <c r="D214">
        <v>1.6629779275932099</v>
      </c>
      <c r="F214" s="350">
        <f t="shared" si="19"/>
        <v>6.9431554069623695</v>
      </c>
      <c r="G214">
        <f t="shared" si="20"/>
        <v>8.833002066640061E-3</v>
      </c>
      <c r="H214" s="196">
        <v>43344</v>
      </c>
      <c r="I214">
        <v>-0.80800000000000005</v>
      </c>
      <c r="J214" s="196">
        <v>43344</v>
      </c>
      <c r="K214">
        <v>1.67181092965985</v>
      </c>
      <c r="L214" s="350">
        <f t="shared" si="21"/>
        <v>6.9927109391244811</v>
      </c>
      <c r="S214" s="196">
        <v>43344</v>
      </c>
      <c r="T214">
        <v>5.2130000000000001</v>
      </c>
      <c r="U214">
        <v>0.17</v>
      </c>
      <c r="W214">
        <f t="shared" si="22"/>
        <v>8.0000000000000071E-3</v>
      </c>
      <c r="X214">
        <f t="shared" si="18"/>
        <v>0</v>
      </c>
      <c r="Y214" s="350">
        <f t="shared" si="23"/>
        <v>0</v>
      </c>
      <c r="AA214" s="196">
        <v>43344</v>
      </c>
      <c r="AB214">
        <v>5.2210000000000001</v>
      </c>
      <c r="AC214">
        <v>0.17</v>
      </c>
    </row>
    <row r="215" spans="1:29" x14ac:dyDescent="0.2">
      <c r="A215" s="196">
        <v>43374</v>
      </c>
      <c r="B215">
        <v>-0.80800000000000005</v>
      </c>
      <c r="C215" s="196">
        <v>43374</v>
      </c>
      <c r="D215">
        <v>1.6627248994166899</v>
      </c>
      <c r="F215" s="350">
        <f t="shared" si="19"/>
        <v>6.9420989804621929</v>
      </c>
      <c r="G215">
        <f t="shared" si="20"/>
        <v>8.9438006962800909E-3</v>
      </c>
      <c r="H215" s="196">
        <v>43374</v>
      </c>
      <c r="I215">
        <v>-0.80800000000000005</v>
      </c>
      <c r="J215" s="196">
        <v>43374</v>
      </c>
      <c r="K215">
        <v>1.67166870011297</v>
      </c>
      <c r="L215" s="350">
        <f t="shared" si="21"/>
        <v>6.992116033270781</v>
      </c>
      <c r="S215" s="196">
        <v>43374</v>
      </c>
      <c r="T215">
        <v>5.2130000000000001</v>
      </c>
      <c r="U215">
        <v>0.17</v>
      </c>
      <c r="W215">
        <f t="shared" si="22"/>
        <v>8.0000000000000071E-3</v>
      </c>
      <c r="X215">
        <f t="shared" si="18"/>
        <v>0</v>
      </c>
      <c r="Y215" s="350">
        <f t="shared" si="23"/>
        <v>0</v>
      </c>
      <c r="AA215" s="196">
        <v>43374</v>
      </c>
      <c r="AB215">
        <v>5.2210000000000001</v>
      </c>
      <c r="AC215">
        <v>0.17</v>
      </c>
    </row>
    <row r="216" spans="1:29" x14ac:dyDescent="0.2">
      <c r="A216" s="196">
        <v>43405</v>
      </c>
      <c r="B216">
        <v>-0.70800000000000007</v>
      </c>
      <c r="C216" s="196">
        <v>43405</v>
      </c>
      <c r="D216">
        <v>1.6624563127569199</v>
      </c>
      <c r="F216" s="350">
        <f t="shared" si="19"/>
        <v>7.3317522702661746</v>
      </c>
      <c r="G216">
        <f t="shared" si="20"/>
        <v>9.0589506667499986E-3</v>
      </c>
      <c r="H216" s="196">
        <v>43405</v>
      </c>
      <c r="I216">
        <v>-0.70800000000000007</v>
      </c>
      <c r="J216" s="196">
        <v>43405</v>
      </c>
      <c r="K216">
        <v>1.6715152634236699</v>
      </c>
      <c r="L216" s="350">
        <f t="shared" si="21"/>
        <v>7.3859626011142057</v>
      </c>
      <c r="S216" s="196">
        <v>43405</v>
      </c>
      <c r="T216">
        <v>5.3610000000000007</v>
      </c>
      <c r="U216">
        <v>0.17</v>
      </c>
      <c r="W216">
        <f t="shared" si="22"/>
        <v>8.9999999999994529E-3</v>
      </c>
      <c r="X216">
        <f t="shared" si="18"/>
        <v>0</v>
      </c>
      <c r="Y216" s="350">
        <f t="shared" si="23"/>
        <v>0</v>
      </c>
      <c r="AA216" s="196">
        <v>43405</v>
      </c>
      <c r="AB216">
        <v>5.37</v>
      </c>
      <c r="AC216">
        <v>0.17</v>
      </c>
    </row>
    <row r="217" spans="1:29" x14ac:dyDescent="0.2">
      <c r="A217" s="196">
        <v>43435</v>
      </c>
      <c r="B217">
        <v>-0.70800000000000007</v>
      </c>
      <c r="C217" s="196">
        <v>43435</v>
      </c>
      <c r="D217">
        <v>1.6621894995086399</v>
      </c>
      <c r="F217" s="350">
        <f t="shared" si="19"/>
        <v>7.5700441920988215</v>
      </c>
      <c r="G217">
        <f t="shared" si="20"/>
        <v>9.1710213198901158E-3</v>
      </c>
      <c r="H217" s="196">
        <v>43435</v>
      </c>
      <c r="I217">
        <v>-0.70800000000000007</v>
      </c>
      <c r="J217" s="196">
        <v>43435</v>
      </c>
      <c r="K217">
        <v>1.67136052082853</v>
      </c>
      <c r="L217" s="350">
        <f t="shared" si="21"/>
        <v>7.6260687084558016</v>
      </c>
      <c r="S217" s="196">
        <v>43435</v>
      </c>
      <c r="T217">
        <v>5.5129999999999999</v>
      </c>
      <c r="U217">
        <v>0.17</v>
      </c>
      <c r="W217">
        <f t="shared" si="22"/>
        <v>9.0000000000003411E-3</v>
      </c>
      <c r="X217">
        <f t="shared" si="18"/>
        <v>0</v>
      </c>
      <c r="Y217" s="350">
        <f t="shared" si="23"/>
        <v>0</v>
      </c>
      <c r="AA217" s="196">
        <v>43435</v>
      </c>
      <c r="AB217">
        <v>5.5220000000000002</v>
      </c>
      <c r="AC217">
        <v>0.17</v>
      </c>
    </row>
    <row r="218" spans="1:29" x14ac:dyDescent="0.2">
      <c r="A218" s="196">
        <v>43466</v>
      </c>
      <c r="B218">
        <v>-0.70800000000000007</v>
      </c>
      <c r="C218" s="196">
        <v>43466</v>
      </c>
      <c r="D218">
        <v>1.6619066761016299</v>
      </c>
      <c r="F218" s="350">
        <f t="shared" si="19"/>
        <v>7.6829569356372565</v>
      </c>
      <c r="G218">
        <f t="shared" si="20"/>
        <v>9.2874823158699549E-3</v>
      </c>
      <c r="H218" s="196">
        <v>43466</v>
      </c>
      <c r="I218">
        <v>-0.70800000000000007</v>
      </c>
      <c r="J218" s="196">
        <v>43466</v>
      </c>
      <c r="K218">
        <v>1.6711941584174999</v>
      </c>
      <c r="L218" s="350">
        <f t="shared" si="21"/>
        <v>7.7480685630897321</v>
      </c>
      <c r="S218" s="196">
        <v>43466</v>
      </c>
      <c r="T218">
        <v>5.5855000000000006</v>
      </c>
      <c r="U218">
        <v>0.17</v>
      </c>
      <c r="W218">
        <f t="shared" si="22"/>
        <v>1.3999999999999346E-2</v>
      </c>
      <c r="X218">
        <f t="shared" si="18"/>
        <v>0</v>
      </c>
      <c r="Y218" s="350">
        <f t="shared" si="23"/>
        <v>0</v>
      </c>
      <c r="AA218" s="196">
        <v>43466</v>
      </c>
      <c r="AB218">
        <v>5.5994999999999999</v>
      </c>
      <c r="AC218">
        <v>0.17</v>
      </c>
    </row>
    <row r="219" spans="1:29" x14ac:dyDescent="0.2">
      <c r="A219" s="196">
        <v>43497</v>
      </c>
      <c r="B219">
        <v>-0.70800000000000007</v>
      </c>
      <c r="C219" s="196">
        <v>43497</v>
      </c>
      <c r="D219">
        <v>1.6616166237859999</v>
      </c>
      <c r="F219" s="350">
        <f t="shared" si="19"/>
        <v>7.5445989940314373</v>
      </c>
      <c r="G219">
        <f t="shared" si="20"/>
        <v>9.4046069369098095E-3</v>
      </c>
      <c r="H219" s="196">
        <v>43497</v>
      </c>
      <c r="I219">
        <v>-0.70800000000000007</v>
      </c>
      <c r="J219" s="196">
        <v>43497</v>
      </c>
      <c r="K219">
        <v>1.6710212307229098</v>
      </c>
      <c r="L219" s="350">
        <f t="shared" si="21"/>
        <v>7.6078904643710814</v>
      </c>
      <c r="S219" s="196">
        <v>43497</v>
      </c>
      <c r="T219">
        <v>5.4984999999999999</v>
      </c>
      <c r="U219">
        <v>0.17</v>
      </c>
      <c r="W219">
        <f t="shared" si="22"/>
        <v>1.2999999999999901E-2</v>
      </c>
      <c r="X219">
        <f t="shared" si="18"/>
        <v>0</v>
      </c>
      <c r="Y219" s="350">
        <f t="shared" si="23"/>
        <v>0</v>
      </c>
      <c r="AA219" s="196">
        <v>43497</v>
      </c>
      <c r="AB219">
        <v>5.5114999999999998</v>
      </c>
      <c r="AC219">
        <v>0.17</v>
      </c>
    </row>
    <row r="220" spans="1:29" x14ac:dyDescent="0.2">
      <c r="A220" s="196">
        <v>43525</v>
      </c>
      <c r="B220">
        <v>-0.70800000000000007</v>
      </c>
      <c r="C220" s="196">
        <v>43525</v>
      </c>
      <c r="D220">
        <v>1.6613484312024998</v>
      </c>
      <c r="F220" s="350">
        <f t="shared" si="19"/>
        <v>7.3245043180062748</v>
      </c>
      <c r="G220">
        <f t="shared" si="20"/>
        <v>9.5109658225300819E-3</v>
      </c>
      <c r="H220" s="196">
        <v>43525</v>
      </c>
      <c r="I220">
        <v>-0.70800000000000007</v>
      </c>
      <c r="J220" s="196">
        <v>43525</v>
      </c>
      <c r="K220">
        <v>1.6708593970250298</v>
      </c>
      <c r="L220" s="350">
        <f t="shared" si="21"/>
        <v>7.3870236816086079</v>
      </c>
      <c r="S220" s="196">
        <v>43525</v>
      </c>
      <c r="T220">
        <v>5.3595000000000006</v>
      </c>
      <c r="U220">
        <v>0.17</v>
      </c>
      <c r="W220">
        <f t="shared" si="22"/>
        <v>1.2999999999999012E-2</v>
      </c>
      <c r="X220">
        <f t="shared" si="18"/>
        <v>0</v>
      </c>
      <c r="Y220" s="350">
        <f t="shared" si="23"/>
        <v>0</v>
      </c>
      <c r="AA220" s="196">
        <v>43525</v>
      </c>
      <c r="AB220">
        <v>5.3724999999999996</v>
      </c>
      <c r="AC220">
        <v>0.17</v>
      </c>
    </row>
    <row r="221" spans="1:29" x14ac:dyDescent="0.2">
      <c r="A221" s="196">
        <v>43556</v>
      </c>
      <c r="B221">
        <v>-0.80800000000000005</v>
      </c>
      <c r="C221" s="196">
        <v>43556</v>
      </c>
      <c r="D221">
        <v>1.6610446325313499</v>
      </c>
      <c r="F221" s="350">
        <f t="shared" si="19"/>
        <v>6.9232758939398593</v>
      </c>
      <c r="G221">
        <f t="shared" si="20"/>
        <v>9.6293484927199025E-3</v>
      </c>
      <c r="H221" s="196">
        <v>43556</v>
      </c>
      <c r="I221">
        <v>-0.80800000000000005</v>
      </c>
      <c r="J221" s="196">
        <v>43556</v>
      </c>
      <c r="K221">
        <v>1.6706739810240698</v>
      </c>
      <c r="L221" s="350">
        <f t="shared" si="21"/>
        <v>6.9839966725052136</v>
      </c>
      <c r="S221" s="196">
        <v>43556</v>
      </c>
      <c r="T221">
        <v>5.2055000000000007</v>
      </c>
      <c r="U221">
        <v>0.17</v>
      </c>
      <c r="W221">
        <f t="shared" si="22"/>
        <v>1.2999999999999901E-2</v>
      </c>
      <c r="X221">
        <f t="shared" si="18"/>
        <v>0</v>
      </c>
      <c r="Y221" s="350">
        <f t="shared" si="23"/>
        <v>0</v>
      </c>
      <c r="AA221" s="196">
        <v>43556</v>
      </c>
      <c r="AB221">
        <v>5.2185000000000006</v>
      </c>
      <c r="AC221">
        <v>0.17</v>
      </c>
    </row>
    <row r="222" spans="1:29" x14ac:dyDescent="0.2">
      <c r="A222" s="196">
        <v>43586</v>
      </c>
      <c r="B222">
        <v>-0.80800000000000005</v>
      </c>
      <c r="C222" s="196">
        <v>43586</v>
      </c>
      <c r="D222">
        <v>1.6607437629522299</v>
      </c>
      <c r="F222" s="350">
        <f t="shared" si="19"/>
        <v>6.9298922677063528</v>
      </c>
      <c r="G222">
        <f t="shared" si="20"/>
        <v>9.7445392334201131E-3</v>
      </c>
      <c r="H222" s="196">
        <v>43586</v>
      </c>
      <c r="I222">
        <v>-0.80800000000000005</v>
      </c>
      <c r="J222" s="196">
        <v>43586</v>
      </c>
      <c r="K222">
        <v>1.67048830218565</v>
      </c>
      <c r="L222" s="350">
        <f t="shared" si="21"/>
        <v>6.9911370565171316</v>
      </c>
      <c r="S222" s="196">
        <v>43586</v>
      </c>
      <c r="T222">
        <v>5.2105000000000006</v>
      </c>
      <c r="U222">
        <v>0.17</v>
      </c>
      <c r="W222">
        <f t="shared" si="22"/>
        <v>1.2999999999999901E-2</v>
      </c>
      <c r="X222">
        <f t="shared" si="18"/>
        <v>0</v>
      </c>
      <c r="Y222" s="350">
        <f t="shared" si="23"/>
        <v>0</v>
      </c>
      <c r="AA222" s="196">
        <v>43586</v>
      </c>
      <c r="AB222">
        <v>5.2235000000000005</v>
      </c>
      <c r="AC222">
        <v>0.17</v>
      </c>
    </row>
    <row r="223" spans="1:29" x14ac:dyDescent="0.2">
      <c r="A223" s="196">
        <v>43617</v>
      </c>
      <c r="B223">
        <v>-0.80800000000000005</v>
      </c>
      <c r="C223" s="196">
        <v>43617</v>
      </c>
      <c r="D223">
        <v>1.6604257689178799</v>
      </c>
      <c r="F223" s="350">
        <f t="shared" si="19"/>
        <v>6.9883689840916938</v>
      </c>
      <c r="G223">
        <f t="shared" si="20"/>
        <v>9.8642156311801177E-3</v>
      </c>
      <c r="H223" s="196">
        <v>43617</v>
      </c>
      <c r="I223">
        <v>-0.80800000000000005</v>
      </c>
      <c r="J223" s="196">
        <v>43617</v>
      </c>
      <c r="K223">
        <v>1.67028998454906</v>
      </c>
      <c r="L223" s="350">
        <f t="shared" si="21"/>
        <v>7.0504659906102027</v>
      </c>
      <c r="S223" s="196">
        <v>43617</v>
      </c>
      <c r="T223">
        <v>5.2484999999999999</v>
      </c>
      <c r="U223">
        <v>0.17</v>
      </c>
      <c r="W223">
        <f t="shared" si="22"/>
        <v>1.2999999999999901E-2</v>
      </c>
      <c r="X223">
        <f t="shared" si="18"/>
        <v>0</v>
      </c>
      <c r="Y223" s="350">
        <f t="shared" si="23"/>
        <v>0</v>
      </c>
      <c r="AA223" s="196">
        <v>43617</v>
      </c>
      <c r="AB223">
        <v>5.2614999999999998</v>
      </c>
      <c r="AC223">
        <v>0.17</v>
      </c>
    </row>
    <row r="224" spans="1:29" x14ac:dyDescent="0.2">
      <c r="A224" s="196">
        <v>43647</v>
      </c>
      <c r="B224">
        <v>-0.80800000000000005</v>
      </c>
      <c r="C224" s="196">
        <v>43647</v>
      </c>
      <c r="D224">
        <v>1.6601111704935598</v>
      </c>
      <c r="F224" s="350">
        <f t="shared" si="19"/>
        <v>7.057851578730288</v>
      </c>
      <c r="G224">
        <f t="shared" si="20"/>
        <v>9.980654893510188E-3</v>
      </c>
      <c r="H224" s="196">
        <v>43647</v>
      </c>
      <c r="I224">
        <v>-0.80800000000000005</v>
      </c>
      <c r="J224" s="196">
        <v>43647</v>
      </c>
      <c r="K224">
        <v>1.67009182538707</v>
      </c>
      <c r="L224" s="350">
        <f t="shared" si="21"/>
        <v>7.1208619035423109</v>
      </c>
      <c r="S224" s="196">
        <v>43647</v>
      </c>
      <c r="T224">
        <v>5.2934999999999999</v>
      </c>
      <c r="U224">
        <v>0.17</v>
      </c>
      <c r="W224">
        <f t="shared" si="22"/>
        <v>1.3000000000000789E-2</v>
      </c>
      <c r="X224">
        <f t="shared" si="18"/>
        <v>0</v>
      </c>
      <c r="Y224" s="350">
        <f t="shared" si="23"/>
        <v>0</v>
      </c>
      <c r="AA224" s="196">
        <v>43647</v>
      </c>
      <c r="AB224">
        <v>5.3065000000000007</v>
      </c>
      <c r="AC224">
        <v>0.17</v>
      </c>
    </row>
    <row r="225" spans="1:29" x14ac:dyDescent="0.2">
      <c r="A225" s="196">
        <v>43678</v>
      </c>
      <c r="B225">
        <v>-0.80800000000000005</v>
      </c>
      <c r="C225" s="196">
        <v>43678</v>
      </c>
      <c r="D225">
        <v>1.65977899905471</v>
      </c>
      <c r="F225" s="350">
        <f t="shared" si="19"/>
        <v>7.1162197098769937</v>
      </c>
      <c r="G225">
        <f t="shared" si="20"/>
        <v>1.0101617809950003E-2</v>
      </c>
      <c r="H225" s="196">
        <v>43678</v>
      </c>
      <c r="I225">
        <v>-0.80800000000000005</v>
      </c>
      <c r="J225" s="196">
        <v>43678</v>
      </c>
      <c r="K225">
        <v>1.6698806168646601</v>
      </c>
      <c r="L225" s="350">
        <f t="shared" si="21"/>
        <v>7.180105528433117</v>
      </c>
      <c r="S225" s="196">
        <v>43678</v>
      </c>
      <c r="T225">
        <v>5.3315000000000001</v>
      </c>
      <c r="U225">
        <v>0.17</v>
      </c>
      <c r="W225">
        <f t="shared" si="22"/>
        <v>1.2999999999999901E-2</v>
      </c>
      <c r="X225">
        <f t="shared" si="18"/>
        <v>0</v>
      </c>
      <c r="Y225" s="350">
        <f t="shared" si="23"/>
        <v>0</v>
      </c>
      <c r="AA225" s="196">
        <v>43678</v>
      </c>
      <c r="AB225">
        <v>5.3445</v>
      </c>
      <c r="AC225">
        <v>0.17</v>
      </c>
    </row>
    <row r="226" spans="1:29" x14ac:dyDescent="0.2">
      <c r="A226" s="196">
        <v>43709</v>
      </c>
      <c r="B226">
        <v>-0.80800000000000005</v>
      </c>
      <c r="C226" s="196">
        <v>43709</v>
      </c>
      <c r="D226">
        <v>1.6594396298157099</v>
      </c>
      <c r="F226" s="350">
        <f t="shared" si="19"/>
        <v>7.1053276107547552</v>
      </c>
      <c r="G226">
        <f t="shared" si="20"/>
        <v>1.0223231727860105E-2</v>
      </c>
      <c r="H226" s="196">
        <v>43709</v>
      </c>
      <c r="I226">
        <v>-0.80800000000000005</v>
      </c>
      <c r="J226" s="196">
        <v>43709</v>
      </c>
      <c r="K226">
        <v>1.66966286154357</v>
      </c>
      <c r="L226" s="350">
        <f t="shared" si="21"/>
        <v>7.1696740213061156</v>
      </c>
      <c r="S226" s="196">
        <v>43709</v>
      </c>
      <c r="T226">
        <v>5.3254999999999999</v>
      </c>
      <c r="U226">
        <v>0.17</v>
      </c>
      <c r="W226">
        <f t="shared" si="22"/>
        <v>1.3000000000000789E-2</v>
      </c>
      <c r="X226">
        <f t="shared" si="18"/>
        <v>0</v>
      </c>
      <c r="Y226" s="350">
        <f t="shared" si="23"/>
        <v>0</v>
      </c>
      <c r="AA226" s="196">
        <v>43709</v>
      </c>
      <c r="AB226">
        <v>5.3385000000000007</v>
      </c>
      <c r="AC226">
        <v>0.17</v>
      </c>
    </row>
    <row r="227" spans="1:29" x14ac:dyDescent="0.2">
      <c r="A227" s="196">
        <v>43739</v>
      </c>
      <c r="B227">
        <v>-0.80800000000000005</v>
      </c>
      <c r="C227" s="196">
        <v>43739</v>
      </c>
      <c r="D227">
        <v>1.6591043593358399</v>
      </c>
      <c r="F227" s="350">
        <f t="shared" si="19"/>
        <v>7.1038920619376196</v>
      </c>
      <c r="G227">
        <f t="shared" si="20"/>
        <v>1.034154065660986E-2</v>
      </c>
      <c r="H227" s="196">
        <v>43739</v>
      </c>
      <c r="I227">
        <v>-0.80800000000000005</v>
      </c>
      <c r="J227" s="196">
        <v>43739</v>
      </c>
      <c r="K227">
        <v>1.6694458999924497</v>
      </c>
      <c r="L227" s="350">
        <f t="shared" si="21"/>
        <v>7.1687423699934367</v>
      </c>
      <c r="S227" s="196">
        <v>43739</v>
      </c>
      <c r="T227">
        <v>5.3254999999999999</v>
      </c>
      <c r="U227">
        <v>0.17</v>
      </c>
      <c r="W227">
        <f t="shared" si="22"/>
        <v>1.3000000000000789E-2</v>
      </c>
      <c r="X227">
        <f t="shared" si="18"/>
        <v>0</v>
      </c>
      <c r="Y227" s="350">
        <f t="shared" si="23"/>
        <v>0</v>
      </c>
      <c r="AA227" s="196">
        <v>43739</v>
      </c>
      <c r="AB227">
        <v>5.3385000000000007</v>
      </c>
      <c r="AC227">
        <v>0.17</v>
      </c>
    </row>
    <row r="228" spans="1:29" x14ac:dyDescent="0.2">
      <c r="A228" s="196">
        <v>43770</v>
      </c>
      <c r="B228">
        <v>-0.70800000000000007</v>
      </c>
      <c r="C228" s="196">
        <v>43770</v>
      </c>
      <c r="D228">
        <v>1.6587508411227299</v>
      </c>
      <c r="F228" s="350">
        <f t="shared" si="19"/>
        <v>7.4922820526781235</v>
      </c>
      <c r="G228">
        <f t="shared" si="20"/>
        <v>1.0464429982570023E-2</v>
      </c>
      <c r="H228" s="196">
        <v>43770</v>
      </c>
      <c r="I228">
        <v>-0.70800000000000007</v>
      </c>
      <c r="J228" s="196">
        <v>43770</v>
      </c>
      <c r="K228">
        <v>1.6692152711052999</v>
      </c>
      <c r="L228" s="350">
        <f t="shared" si="21"/>
        <v>7.5616975669990794</v>
      </c>
      <c r="S228" s="196">
        <v>43770</v>
      </c>
      <c r="T228">
        <v>5.4735000000000005</v>
      </c>
      <c r="U228">
        <v>0.17</v>
      </c>
      <c r="W228">
        <f t="shared" si="22"/>
        <v>1.3999999999999346E-2</v>
      </c>
      <c r="X228">
        <f t="shared" si="18"/>
        <v>0</v>
      </c>
      <c r="Y228" s="350">
        <f t="shared" si="23"/>
        <v>0</v>
      </c>
      <c r="AA228" s="196">
        <v>43770</v>
      </c>
      <c r="AB228">
        <v>5.4874999999999998</v>
      </c>
      <c r="AC228">
        <v>0.17</v>
      </c>
    </row>
    <row r="229" spans="1:29" x14ac:dyDescent="0.2">
      <c r="A229" s="196">
        <v>43800</v>
      </c>
      <c r="B229">
        <v>-0.70800000000000007</v>
      </c>
      <c r="C229" s="196">
        <v>43800</v>
      </c>
      <c r="D229">
        <v>1.65840188755274</v>
      </c>
      <c r="F229" s="350">
        <f t="shared" si="19"/>
        <v>7.7296288368016475</v>
      </c>
      <c r="G229">
        <f t="shared" si="20"/>
        <v>1.0583969551809957E-2</v>
      </c>
      <c r="H229" s="196">
        <v>43800</v>
      </c>
      <c r="I229">
        <v>-0.70800000000000007</v>
      </c>
      <c r="J229" s="196">
        <v>43800</v>
      </c>
      <c r="K229">
        <v>1.6689858571045499</v>
      </c>
      <c r="L229" s="350">
        <f t="shared" si="21"/>
        <v>7.8011060591201673</v>
      </c>
      <c r="S229" s="196">
        <v>43800</v>
      </c>
      <c r="T229">
        <v>5.6255000000000006</v>
      </c>
      <c r="U229">
        <v>0.17</v>
      </c>
      <c r="W229">
        <f t="shared" si="22"/>
        <v>1.3999999999999346E-2</v>
      </c>
      <c r="X229">
        <f t="shared" si="18"/>
        <v>0</v>
      </c>
      <c r="Y229" s="350">
        <f t="shared" si="23"/>
        <v>0</v>
      </c>
      <c r="AA229" s="196">
        <v>43800</v>
      </c>
      <c r="AB229">
        <v>5.6395</v>
      </c>
      <c r="AC229">
        <v>0.17</v>
      </c>
    </row>
    <row r="230" spans="1:29" x14ac:dyDescent="0.2">
      <c r="A230" s="196">
        <v>43831</v>
      </c>
      <c r="B230">
        <v>-0.70800000000000007</v>
      </c>
      <c r="C230" s="196">
        <v>43831</v>
      </c>
      <c r="D230">
        <v>1.65803424010545</v>
      </c>
      <c r="F230" s="350">
        <f t="shared" si="19"/>
        <v>7.8418499663773265</v>
      </c>
      <c r="G230">
        <f t="shared" si="20"/>
        <v>1.0708126762079884E-2</v>
      </c>
      <c r="H230" s="196">
        <v>43831</v>
      </c>
      <c r="I230">
        <v>-0.70800000000000007</v>
      </c>
      <c r="J230" s="196">
        <v>43831</v>
      </c>
      <c r="K230">
        <v>1.6687423668675299</v>
      </c>
      <c r="L230" s="350">
        <f t="shared" si="21"/>
        <v>7.9225467801135272</v>
      </c>
      <c r="S230" s="196">
        <v>43831</v>
      </c>
      <c r="T230">
        <v>5.6980000000000004</v>
      </c>
      <c r="U230">
        <v>0.17</v>
      </c>
      <c r="W230">
        <f t="shared" si="22"/>
        <v>1.9000000000000128E-2</v>
      </c>
      <c r="X230">
        <f t="shared" si="18"/>
        <v>0</v>
      </c>
      <c r="Y230" s="350">
        <f t="shared" si="23"/>
        <v>0</v>
      </c>
      <c r="AA230" s="196">
        <v>43831</v>
      </c>
      <c r="AB230">
        <v>5.7170000000000005</v>
      </c>
      <c r="AC230">
        <v>0.17</v>
      </c>
    </row>
    <row r="231" spans="1:29" x14ac:dyDescent="0.2">
      <c r="A231" s="196">
        <v>43862</v>
      </c>
      <c r="B231">
        <v>-0.70800000000000007</v>
      </c>
      <c r="C231" s="196">
        <v>43862</v>
      </c>
      <c r="D231">
        <v>1.6576594200192201</v>
      </c>
      <c r="F231" s="350">
        <f t="shared" si="19"/>
        <v>7.7033864897732789</v>
      </c>
      <c r="G231">
        <f t="shared" si="20"/>
        <v>1.0832925383859715E-2</v>
      </c>
      <c r="H231" s="196">
        <v>43862</v>
      </c>
      <c r="I231">
        <v>-0.70800000000000007</v>
      </c>
      <c r="J231" s="196">
        <v>43862</v>
      </c>
      <c r="K231">
        <v>1.6684923454030798</v>
      </c>
      <c r="L231" s="350">
        <f t="shared" si="21"/>
        <v>7.7821943401379219</v>
      </c>
      <c r="S231" s="196">
        <v>43862</v>
      </c>
      <c r="T231">
        <v>5.6110000000000007</v>
      </c>
      <c r="U231">
        <v>0.17</v>
      </c>
      <c r="W231">
        <f t="shared" si="22"/>
        <v>1.7999999999999794E-2</v>
      </c>
      <c r="X231">
        <f t="shared" si="18"/>
        <v>0</v>
      </c>
      <c r="Y231" s="350">
        <f t="shared" si="23"/>
        <v>0</v>
      </c>
      <c r="AA231" s="196">
        <v>43862</v>
      </c>
      <c r="AB231">
        <v>5.6290000000000004</v>
      </c>
      <c r="AC231">
        <v>0.17</v>
      </c>
    </row>
    <row r="232" spans="1:29" x14ac:dyDescent="0.2">
      <c r="A232" s="196">
        <v>43891</v>
      </c>
      <c r="B232">
        <v>-0.70800000000000007</v>
      </c>
      <c r="C232" s="196">
        <v>43891</v>
      </c>
      <c r="D232">
        <v>1.6573022931926298</v>
      </c>
      <c r="F232" s="350">
        <f t="shared" si="19"/>
        <v>7.4833829908267315</v>
      </c>
      <c r="G232">
        <f t="shared" si="20"/>
        <v>1.0950251392110033E-2</v>
      </c>
      <c r="H232" s="196">
        <v>43891</v>
      </c>
      <c r="I232">
        <v>-0.70800000000000007</v>
      </c>
      <c r="J232" s="196">
        <v>43891</v>
      </c>
      <c r="K232">
        <v>1.6682525445847398</v>
      </c>
      <c r="L232" s="350">
        <f t="shared" si="21"/>
        <v>7.5612893232247638</v>
      </c>
      <c r="S232" s="196">
        <v>43891</v>
      </c>
      <c r="T232">
        <v>5.4720000000000004</v>
      </c>
      <c r="U232">
        <v>0.17</v>
      </c>
      <c r="W232">
        <f t="shared" si="22"/>
        <v>1.7999999999999794E-2</v>
      </c>
      <c r="X232">
        <f t="shared" si="18"/>
        <v>0</v>
      </c>
      <c r="Y232" s="350">
        <f t="shared" si="23"/>
        <v>0</v>
      </c>
      <c r="AA232" s="196">
        <v>43891</v>
      </c>
      <c r="AB232">
        <v>5.49</v>
      </c>
      <c r="AC232">
        <v>0.17</v>
      </c>
    </row>
    <row r="233" spans="1:29" x14ac:dyDescent="0.2">
      <c r="A233" s="196">
        <v>43922</v>
      </c>
      <c r="B233">
        <v>-0.80800000000000005</v>
      </c>
      <c r="C233" s="196">
        <v>43922</v>
      </c>
      <c r="D233">
        <v>1.6569136059259599</v>
      </c>
      <c r="F233" s="350">
        <f t="shared" si="19"/>
        <v>7.0827333930389296</v>
      </c>
      <c r="G233">
        <f t="shared" si="20"/>
        <v>1.1076285784000106E-2</v>
      </c>
      <c r="H233" s="196">
        <v>43922</v>
      </c>
      <c r="I233">
        <v>-0.80800000000000005</v>
      </c>
      <c r="J233" s="196">
        <v>43922</v>
      </c>
      <c r="K233">
        <v>1.66798989170996</v>
      </c>
      <c r="L233" s="350">
        <f t="shared" si="21"/>
        <v>7.1585377739785372</v>
      </c>
      <c r="S233" s="196">
        <v>43922</v>
      </c>
      <c r="T233">
        <v>5.3180000000000005</v>
      </c>
      <c r="U233">
        <v>0.17</v>
      </c>
      <c r="W233">
        <f t="shared" si="22"/>
        <v>1.7999999999999794E-2</v>
      </c>
      <c r="X233">
        <f t="shared" si="18"/>
        <v>0</v>
      </c>
      <c r="Y233" s="350">
        <f t="shared" si="23"/>
        <v>0</v>
      </c>
      <c r="AA233" s="196">
        <v>43922</v>
      </c>
      <c r="AB233">
        <v>5.3360000000000003</v>
      </c>
      <c r="AC233">
        <v>0.17</v>
      </c>
    </row>
    <row r="234" spans="1:29" x14ac:dyDescent="0.2">
      <c r="A234" s="196">
        <v>43952</v>
      </c>
      <c r="B234">
        <v>-0.80800000000000005</v>
      </c>
      <c r="C234" s="196">
        <v>43952</v>
      </c>
      <c r="D234">
        <v>1.6565306428614699</v>
      </c>
      <c r="F234" s="350">
        <f t="shared" si="19"/>
        <v>7.0889467976292613</v>
      </c>
      <c r="G234">
        <f t="shared" si="20"/>
        <v>1.1198859670700223E-2</v>
      </c>
      <c r="H234" s="196">
        <v>43952</v>
      </c>
      <c r="I234">
        <v>-0.80800000000000005</v>
      </c>
      <c r="J234" s="196">
        <v>43952</v>
      </c>
      <c r="K234">
        <v>1.6677295025321701</v>
      </c>
      <c r="L234" s="350">
        <f t="shared" si="21"/>
        <v>7.1653237695234449</v>
      </c>
      <c r="S234" s="196">
        <v>43952</v>
      </c>
      <c r="T234">
        <v>5.3230000000000004</v>
      </c>
      <c r="U234">
        <v>0.17</v>
      </c>
      <c r="W234">
        <f t="shared" si="22"/>
        <v>1.7999999999999794E-2</v>
      </c>
      <c r="X234">
        <f t="shared" si="18"/>
        <v>0</v>
      </c>
      <c r="Y234" s="350">
        <f t="shared" si="23"/>
        <v>0</v>
      </c>
      <c r="AA234" s="196">
        <v>43952</v>
      </c>
      <c r="AB234">
        <v>5.3410000000000002</v>
      </c>
      <c r="AC234">
        <v>0.17</v>
      </c>
    </row>
    <row r="235" spans="1:29" x14ac:dyDescent="0.2">
      <c r="A235" s="196">
        <v>43983</v>
      </c>
      <c r="B235">
        <v>-0.80800000000000005</v>
      </c>
      <c r="C235" s="196">
        <v>43983</v>
      </c>
      <c r="D235">
        <v>1.6561278786204898</v>
      </c>
      <c r="F235" s="350">
        <f t="shared" si="19"/>
        <v>7.1468720440991671</v>
      </c>
      <c r="G235">
        <f t="shared" si="20"/>
        <v>1.1326142660600169E-2</v>
      </c>
      <c r="H235" s="196">
        <v>43983</v>
      </c>
      <c r="I235">
        <v>-0.80800000000000005</v>
      </c>
      <c r="J235" s="196">
        <v>43983</v>
      </c>
      <c r="K235">
        <v>1.66745402128109</v>
      </c>
      <c r="L235" s="350">
        <f t="shared" si="21"/>
        <v>7.2241969443099361</v>
      </c>
      <c r="S235" s="196">
        <v>43983</v>
      </c>
      <c r="T235">
        <v>5.3610000000000007</v>
      </c>
      <c r="U235">
        <v>0.17</v>
      </c>
      <c r="W235">
        <f t="shared" si="22"/>
        <v>1.7999999999999794E-2</v>
      </c>
      <c r="X235">
        <f t="shared" si="18"/>
        <v>0</v>
      </c>
      <c r="Y235" s="350">
        <f t="shared" si="23"/>
        <v>0</v>
      </c>
      <c r="AA235" s="196">
        <v>43983</v>
      </c>
      <c r="AB235">
        <v>5.3790000000000004</v>
      </c>
      <c r="AC235">
        <v>0.17</v>
      </c>
    </row>
    <row r="236" spans="1:29" x14ac:dyDescent="0.2">
      <c r="A236" s="196">
        <v>44013</v>
      </c>
      <c r="B236">
        <v>-0.80800000000000005</v>
      </c>
      <c r="C236" s="196">
        <v>44013</v>
      </c>
      <c r="D236">
        <v>1.6557313033344798</v>
      </c>
      <c r="F236" s="350">
        <f t="shared" si="19"/>
        <v>7.215780520400755</v>
      </c>
      <c r="G236">
        <f t="shared" si="20"/>
        <v>1.1449921034130117E-2</v>
      </c>
      <c r="H236" s="196">
        <v>44013</v>
      </c>
      <c r="I236">
        <v>-0.80800000000000005</v>
      </c>
      <c r="J236" s="196">
        <v>44013</v>
      </c>
      <c r="K236">
        <v>1.6671812243686099</v>
      </c>
      <c r="L236" s="350">
        <f t="shared" si="21"/>
        <v>7.2941232803618998</v>
      </c>
      <c r="S236" s="196">
        <v>44013</v>
      </c>
      <c r="T236">
        <v>5.4060000000000006</v>
      </c>
      <c r="U236">
        <v>0.17</v>
      </c>
      <c r="W236">
        <f t="shared" si="22"/>
        <v>1.7999999999999794E-2</v>
      </c>
      <c r="X236">
        <f t="shared" si="18"/>
        <v>0</v>
      </c>
      <c r="Y236" s="350">
        <f t="shared" si="23"/>
        <v>0</v>
      </c>
      <c r="AA236" s="196">
        <v>44013</v>
      </c>
      <c r="AB236">
        <v>5.4240000000000004</v>
      </c>
      <c r="AC236">
        <v>0.17</v>
      </c>
    </row>
    <row r="237" spans="1:29" x14ac:dyDescent="0.2">
      <c r="A237" s="196">
        <v>44044</v>
      </c>
      <c r="B237">
        <v>-0.80800000000000005</v>
      </c>
      <c r="C237" s="196">
        <v>44044</v>
      </c>
      <c r="D237">
        <v>1.6553144843196499</v>
      </c>
      <c r="F237" s="350">
        <f t="shared" si="19"/>
        <v>7.2735835342445307</v>
      </c>
      <c r="G237">
        <f t="shared" si="20"/>
        <v>1.1578444668089993E-2</v>
      </c>
      <c r="H237" s="196">
        <v>44044</v>
      </c>
      <c r="I237">
        <v>-0.80800000000000005</v>
      </c>
      <c r="J237" s="196">
        <v>44044</v>
      </c>
      <c r="K237">
        <v>1.6668929289877399</v>
      </c>
      <c r="L237" s="350">
        <f t="shared" si="21"/>
        <v>7.3528985110827696</v>
      </c>
      <c r="S237" s="196">
        <v>44044</v>
      </c>
      <c r="T237">
        <v>5.444</v>
      </c>
      <c r="U237">
        <v>0.17</v>
      </c>
      <c r="W237">
        <f t="shared" si="22"/>
        <v>1.8000000000000682E-2</v>
      </c>
      <c r="X237">
        <f t="shared" si="18"/>
        <v>0</v>
      </c>
      <c r="Y237" s="350">
        <f t="shared" si="23"/>
        <v>0</v>
      </c>
      <c r="AA237" s="196">
        <v>44044</v>
      </c>
      <c r="AB237">
        <v>5.4620000000000006</v>
      </c>
      <c r="AC237">
        <v>0.17</v>
      </c>
    </row>
    <row r="238" spans="1:29" x14ac:dyDescent="0.2">
      <c r="A238" s="196">
        <v>44075</v>
      </c>
      <c r="B238">
        <v>-0.80800000000000005</v>
      </c>
      <c r="C238" s="196">
        <v>44075</v>
      </c>
      <c r="D238">
        <v>1.65489053144715</v>
      </c>
      <c r="F238" s="350">
        <f t="shared" si="19"/>
        <v>7.2623094514417303</v>
      </c>
      <c r="G238">
        <f t="shared" si="20"/>
        <v>1.170759570616009E-2</v>
      </c>
      <c r="H238" s="196">
        <v>44075</v>
      </c>
      <c r="I238">
        <v>-0.80800000000000005</v>
      </c>
      <c r="J238" s="196">
        <v>44075</v>
      </c>
      <c r="K238">
        <v>1.6665981271533101</v>
      </c>
      <c r="L238" s="350">
        <f t="shared" si="21"/>
        <v>7.3421203187400348</v>
      </c>
      <c r="S238" s="196">
        <v>44075</v>
      </c>
      <c r="T238">
        <v>5.4380000000000006</v>
      </c>
      <c r="U238">
        <v>0.17</v>
      </c>
      <c r="W238">
        <f t="shared" si="22"/>
        <v>1.7999999999999794E-2</v>
      </c>
      <c r="X238">
        <f t="shared" si="18"/>
        <v>0</v>
      </c>
      <c r="Y238" s="350">
        <f t="shared" si="23"/>
        <v>0</v>
      </c>
      <c r="AA238" s="196">
        <v>44075</v>
      </c>
      <c r="AB238">
        <v>5.4560000000000004</v>
      </c>
      <c r="AC238">
        <v>0.17</v>
      </c>
    </row>
    <row r="239" spans="1:29" x14ac:dyDescent="0.2">
      <c r="A239" s="196">
        <v>44105</v>
      </c>
      <c r="B239">
        <v>-0.80800000000000005</v>
      </c>
      <c r="C239" s="196">
        <v>44105</v>
      </c>
      <c r="D239">
        <v>1.6544734677475599</v>
      </c>
      <c r="F239" s="350">
        <f t="shared" si="19"/>
        <v>7.2604792121661825</v>
      </c>
      <c r="G239">
        <f t="shared" si="20"/>
        <v>1.1833175974709897E-2</v>
      </c>
      <c r="H239" s="196">
        <v>44105</v>
      </c>
      <c r="I239">
        <v>-0.80800000000000005</v>
      </c>
      <c r="J239" s="196">
        <v>44105</v>
      </c>
      <c r="K239">
        <v>1.6663066437222698</v>
      </c>
      <c r="L239" s="350">
        <f t="shared" si="21"/>
        <v>7.3408362020794264</v>
      </c>
      <c r="S239" s="196">
        <v>44105</v>
      </c>
      <c r="T239">
        <v>5.4380000000000006</v>
      </c>
      <c r="U239">
        <v>0.17</v>
      </c>
      <c r="W239">
        <f t="shared" si="22"/>
        <v>1.7999999999999794E-2</v>
      </c>
      <c r="X239">
        <f t="shared" si="18"/>
        <v>0</v>
      </c>
      <c r="Y239" s="350">
        <f t="shared" si="23"/>
        <v>0</v>
      </c>
      <c r="AA239" s="196">
        <v>44105</v>
      </c>
      <c r="AB239">
        <v>5.4560000000000004</v>
      </c>
      <c r="AC239">
        <v>0.17</v>
      </c>
    </row>
    <row r="240" spans="1:29" x14ac:dyDescent="0.2">
      <c r="A240" s="196">
        <v>44136</v>
      </c>
      <c r="B240">
        <v>-0.70800000000000007</v>
      </c>
      <c r="C240" s="196">
        <v>44136</v>
      </c>
      <c r="D240">
        <v>1.6540354949076299</v>
      </c>
      <c r="F240" s="350">
        <f t="shared" si="19"/>
        <v>7.6473525046627095</v>
      </c>
      <c r="G240">
        <f t="shared" si="20"/>
        <v>1.1963555431220074E-2</v>
      </c>
      <c r="H240" s="196">
        <v>44136</v>
      </c>
      <c r="I240">
        <v>-0.70800000000000007</v>
      </c>
      <c r="J240" s="196">
        <v>44136</v>
      </c>
      <c r="K240">
        <v>1.66599905033885</v>
      </c>
      <c r="L240" s="350">
        <f t="shared" si="21"/>
        <v>7.732667602012925</v>
      </c>
      <c r="S240" s="196">
        <v>44136</v>
      </c>
      <c r="T240">
        <v>5.5860000000000003</v>
      </c>
      <c r="U240">
        <v>0.17</v>
      </c>
      <c r="W240">
        <f t="shared" si="22"/>
        <v>1.9000000000000128E-2</v>
      </c>
      <c r="X240">
        <f t="shared" si="18"/>
        <v>0</v>
      </c>
      <c r="Y240" s="350">
        <f t="shared" si="23"/>
        <v>0</v>
      </c>
      <c r="AA240" s="196">
        <v>44136</v>
      </c>
      <c r="AB240">
        <v>5.6050000000000004</v>
      </c>
      <c r="AC240">
        <v>0.17</v>
      </c>
    </row>
    <row r="241" spans="1:29" x14ac:dyDescent="0.2">
      <c r="A241" s="196">
        <v>44166</v>
      </c>
      <c r="B241">
        <v>-0.70800000000000007</v>
      </c>
      <c r="C241" s="196">
        <v>44166</v>
      </c>
      <c r="D241">
        <v>1.6536048750030499</v>
      </c>
      <c r="F241" s="350">
        <f t="shared" si="19"/>
        <v>7.8835934028765697</v>
      </c>
      <c r="G241">
        <f t="shared" si="20"/>
        <v>1.2090320511090047E-2</v>
      </c>
      <c r="H241" s="196">
        <v>44166</v>
      </c>
      <c r="I241">
        <v>-0.70800000000000007</v>
      </c>
      <c r="J241" s="196">
        <v>44166</v>
      </c>
      <c r="K241">
        <v>1.6656951955141399</v>
      </c>
      <c r="L241" s="350">
        <f t="shared" si="21"/>
        <v>7.9712309509171959</v>
      </c>
      <c r="S241" s="196">
        <v>44166</v>
      </c>
      <c r="T241">
        <v>5.7380000000000004</v>
      </c>
      <c r="U241">
        <v>0.17</v>
      </c>
      <c r="W241">
        <f t="shared" si="22"/>
        <v>1.9000000000000128E-2</v>
      </c>
      <c r="X241">
        <f t="shared" si="18"/>
        <v>0</v>
      </c>
      <c r="Y241" s="350">
        <f t="shared" si="23"/>
        <v>0</v>
      </c>
      <c r="AA241" s="196">
        <v>44166</v>
      </c>
      <c r="AB241">
        <v>5.7570000000000006</v>
      </c>
      <c r="AC241">
        <v>0.17</v>
      </c>
    </row>
    <row r="242" spans="1:29" x14ac:dyDescent="0.2">
      <c r="A242"/>
      <c r="C242" s="196">
        <v>44197</v>
      </c>
      <c r="D242">
        <v>1.65315290614851</v>
      </c>
      <c r="F242" s="350">
        <f t="shared" si="19"/>
        <v>9.1043934740676491</v>
      </c>
      <c r="G242">
        <f t="shared" si="20"/>
        <v>1.2221920129079855E-2</v>
      </c>
      <c r="J242" s="196">
        <v>44197</v>
      </c>
      <c r="K242">
        <v>1.6653748262775898</v>
      </c>
      <c r="L242" s="350">
        <f t="shared" si="21"/>
        <v>9.1043934740676491</v>
      </c>
      <c r="S242" s="196">
        <v>44197</v>
      </c>
      <c r="T242">
        <v>5.8105000000000002</v>
      </c>
      <c r="U242">
        <v>0.17</v>
      </c>
      <c r="W242">
        <f t="shared" si="22"/>
        <v>2.4000000000000021E-2</v>
      </c>
      <c r="X242">
        <f t="shared" si="18"/>
        <v>0</v>
      </c>
      <c r="Y242" s="350">
        <f t="shared" si="23"/>
        <v>0</v>
      </c>
      <c r="AA242" s="196">
        <v>44197</v>
      </c>
      <c r="AB242">
        <v>5.8345000000000002</v>
      </c>
      <c r="AC242">
        <v>0.17</v>
      </c>
    </row>
    <row r="243" spans="1:29" x14ac:dyDescent="0.2">
      <c r="A243"/>
      <c r="C243" s="196">
        <v>44228</v>
      </c>
      <c r="D243">
        <v>1.65269383396743</v>
      </c>
      <c r="F243" s="350">
        <f t="shared" si="19"/>
        <v>8.9655839677823614</v>
      </c>
      <c r="G243">
        <f t="shared" si="20"/>
        <v>1.2354136626530066E-2</v>
      </c>
      <c r="J243" s="196">
        <v>44228</v>
      </c>
      <c r="K243">
        <v>1.66504797059396</v>
      </c>
      <c r="L243" s="350">
        <f t="shared" si="21"/>
        <v>8.9655839677823614</v>
      </c>
      <c r="S243" s="196">
        <v>44228</v>
      </c>
      <c r="T243">
        <v>5.7235000000000005</v>
      </c>
      <c r="U243">
        <v>0.17</v>
      </c>
      <c r="W243">
        <f t="shared" si="22"/>
        <v>2.2999999999999687E-2</v>
      </c>
      <c r="X243">
        <f t="shared" si="18"/>
        <v>0</v>
      </c>
      <c r="Y243" s="350">
        <f t="shared" si="23"/>
        <v>0</v>
      </c>
      <c r="AA243" s="196">
        <v>44228</v>
      </c>
      <c r="AB243">
        <v>5.7465000000000002</v>
      </c>
      <c r="AC243">
        <v>0.17</v>
      </c>
    </row>
    <row r="244" spans="1:29" x14ac:dyDescent="0.2">
      <c r="A244"/>
      <c r="C244" s="196">
        <v>44256</v>
      </c>
      <c r="D244">
        <v>1.6522730880345098</v>
      </c>
      <c r="F244" s="350">
        <f t="shared" si="19"/>
        <v>8.7456201946898737</v>
      </c>
      <c r="G244">
        <f t="shared" si="20"/>
        <v>1.2474086388050143E-2</v>
      </c>
      <c r="J244" s="196">
        <v>44256</v>
      </c>
      <c r="K244">
        <v>1.6647471744225599</v>
      </c>
      <c r="L244" s="350">
        <f t="shared" si="21"/>
        <v>8.7456201946898737</v>
      </c>
      <c r="S244" s="196">
        <v>44256</v>
      </c>
      <c r="T244">
        <v>5.5845000000000002</v>
      </c>
      <c r="U244">
        <v>0.17</v>
      </c>
      <c r="W244">
        <f t="shared" si="22"/>
        <v>2.2999999999999687E-2</v>
      </c>
      <c r="X244">
        <f t="shared" si="18"/>
        <v>0</v>
      </c>
      <c r="Y244" s="350">
        <f t="shared" si="23"/>
        <v>0</v>
      </c>
      <c r="AA244" s="196">
        <v>44256</v>
      </c>
      <c r="AB244">
        <v>5.6074999999999999</v>
      </c>
      <c r="AC244">
        <v>0.17</v>
      </c>
    </row>
    <row r="245" spans="1:29" x14ac:dyDescent="0.2">
      <c r="A245"/>
      <c r="C245" s="196">
        <v>44287</v>
      </c>
      <c r="D245">
        <v>1.65180051453263</v>
      </c>
      <c r="J245" s="196">
        <v>44287</v>
      </c>
      <c r="K245">
        <v>1.66440798544644</v>
      </c>
      <c r="S245" s="196">
        <v>44287</v>
      </c>
      <c r="T245">
        <v>5.4305000000000003</v>
      </c>
      <c r="U245">
        <v>0.17</v>
      </c>
      <c r="W245">
        <f t="shared" si="22"/>
        <v>2.2999999999999687E-2</v>
      </c>
      <c r="X245">
        <f t="shared" si="18"/>
        <v>0</v>
      </c>
      <c r="Y245" s="350">
        <f t="shared" si="23"/>
        <v>0</v>
      </c>
      <c r="AA245" s="196">
        <v>44287</v>
      </c>
      <c r="AB245">
        <v>5.4535</v>
      </c>
      <c r="AC245">
        <v>0.17</v>
      </c>
    </row>
    <row r="246" spans="1:29" x14ac:dyDescent="0.2">
      <c r="A246"/>
      <c r="C246" s="196">
        <v>44317</v>
      </c>
      <c r="D246">
        <v>1.6513364400423198</v>
      </c>
      <c r="J246" s="196">
        <v>44317</v>
      </c>
      <c r="K246">
        <v>1.6640735740655899</v>
      </c>
      <c r="S246" s="196">
        <v>44317</v>
      </c>
      <c r="T246">
        <v>5.4355000000000002</v>
      </c>
      <c r="U246">
        <v>0.17</v>
      </c>
      <c r="W246">
        <f t="shared" si="22"/>
        <v>2.2999999999999687E-2</v>
      </c>
      <c r="X246">
        <f t="shared" si="18"/>
        <v>0</v>
      </c>
      <c r="Y246" s="350">
        <f t="shared" si="23"/>
        <v>0</v>
      </c>
      <c r="AA246" s="196">
        <v>44317</v>
      </c>
      <c r="AB246">
        <v>5.4584999999999999</v>
      </c>
      <c r="AC246">
        <v>0.17</v>
      </c>
    </row>
    <row r="247" spans="1:29" x14ac:dyDescent="0.2">
      <c r="A247"/>
      <c r="C247" s="196">
        <v>44348</v>
      </c>
      <c r="D247">
        <v>1.65084993280328</v>
      </c>
      <c r="J247" s="196">
        <v>44348</v>
      </c>
      <c r="K247">
        <v>1.66372165056291</v>
      </c>
      <c r="S247" s="196">
        <v>44348</v>
      </c>
      <c r="T247">
        <v>5.4735000000000005</v>
      </c>
      <c r="U247">
        <v>0.17</v>
      </c>
      <c r="W247">
        <f t="shared" si="22"/>
        <v>2.2999999999999687E-2</v>
      </c>
      <c r="X247">
        <f t="shared" si="18"/>
        <v>0</v>
      </c>
      <c r="Y247" s="350">
        <f t="shared" si="23"/>
        <v>0</v>
      </c>
      <c r="AA247" s="196">
        <v>44348</v>
      </c>
      <c r="AB247">
        <v>5.4965000000000002</v>
      </c>
      <c r="AC247">
        <v>0.17</v>
      </c>
    </row>
    <row r="248" spans="1:29" x14ac:dyDescent="0.2">
      <c r="A248"/>
      <c r="C248" s="196">
        <v>44378</v>
      </c>
      <c r="D248">
        <v>1.6503723867214799</v>
      </c>
      <c r="J248" s="196">
        <v>44378</v>
      </c>
      <c r="K248">
        <v>1.6633749239369999</v>
      </c>
      <c r="S248" s="196">
        <v>44378</v>
      </c>
      <c r="T248">
        <v>5.5185000000000004</v>
      </c>
      <c r="U248">
        <v>0.17</v>
      </c>
      <c r="W248">
        <f t="shared" si="22"/>
        <v>2.2999999999999687E-2</v>
      </c>
      <c r="X248">
        <f t="shared" si="18"/>
        <v>0</v>
      </c>
      <c r="Y248" s="350">
        <f t="shared" si="23"/>
        <v>0</v>
      </c>
      <c r="AA248" s="196">
        <v>44378</v>
      </c>
      <c r="AB248">
        <v>5.5415000000000001</v>
      </c>
      <c r="AC248">
        <v>0.17</v>
      </c>
    </row>
    <row r="249" spans="1:29" x14ac:dyDescent="0.2">
      <c r="A249"/>
      <c r="C249" s="196">
        <v>44409</v>
      </c>
      <c r="D249">
        <v>1.6498719721034498</v>
      </c>
      <c r="J249" s="196">
        <v>44409</v>
      </c>
      <c r="K249">
        <v>1.6630102835980098</v>
      </c>
      <c r="S249" s="196">
        <v>44409</v>
      </c>
      <c r="T249">
        <v>5.5565000000000007</v>
      </c>
      <c r="U249">
        <v>0.17</v>
      </c>
      <c r="W249">
        <f t="shared" si="22"/>
        <v>2.2999999999999687E-2</v>
      </c>
      <c r="X249">
        <f t="shared" si="18"/>
        <v>0</v>
      </c>
      <c r="Y249" s="350">
        <f t="shared" si="23"/>
        <v>0</v>
      </c>
      <c r="AA249" s="196">
        <v>44409</v>
      </c>
      <c r="AB249">
        <v>5.5795000000000003</v>
      </c>
      <c r="AC249">
        <v>0.17</v>
      </c>
    </row>
    <row r="250" spans="1:29" x14ac:dyDescent="0.2">
      <c r="A250"/>
      <c r="C250" s="196">
        <v>44440</v>
      </c>
      <c r="D250">
        <v>1.6493645001224899</v>
      </c>
      <c r="J250" s="196">
        <v>44440</v>
      </c>
      <c r="K250">
        <v>1.66263918756685</v>
      </c>
      <c r="S250" s="196">
        <v>44440</v>
      </c>
      <c r="T250">
        <v>5.5505000000000004</v>
      </c>
      <c r="U250">
        <v>0.17</v>
      </c>
      <c r="W250">
        <f t="shared" si="22"/>
        <v>2.2999999999999687E-2</v>
      </c>
      <c r="X250">
        <f t="shared" si="18"/>
        <v>0</v>
      </c>
      <c r="Y250" s="350">
        <f t="shared" si="23"/>
        <v>0</v>
      </c>
      <c r="AA250" s="196">
        <v>44440</v>
      </c>
      <c r="AB250">
        <v>5.5735000000000001</v>
      </c>
      <c r="AC250">
        <v>0.17</v>
      </c>
    </row>
    <row r="251" spans="1:29" x14ac:dyDescent="0.2">
      <c r="A251"/>
      <c r="C251" s="196">
        <v>44470</v>
      </c>
      <c r="D251">
        <v>1.6488666853189</v>
      </c>
      <c r="J251" s="196">
        <v>44470</v>
      </c>
      <c r="K251">
        <v>1.6622739202085599</v>
      </c>
      <c r="S251" s="196">
        <v>44470</v>
      </c>
      <c r="T251">
        <v>5.5505000000000004</v>
      </c>
      <c r="U251">
        <v>0.17</v>
      </c>
      <c r="W251">
        <f t="shared" si="22"/>
        <v>2.2999999999999687E-2</v>
      </c>
      <c r="X251">
        <f t="shared" si="18"/>
        <v>0</v>
      </c>
      <c r="Y251" s="350">
        <f t="shared" si="23"/>
        <v>0</v>
      </c>
      <c r="AA251" s="196">
        <v>44470</v>
      </c>
      <c r="AB251">
        <v>5.5735000000000001</v>
      </c>
      <c r="AC251">
        <v>0.17</v>
      </c>
    </row>
    <row r="252" spans="1:29" x14ac:dyDescent="0.2">
      <c r="A252"/>
      <c r="C252" s="196">
        <v>44501</v>
      </c>
      <c r="D252">
        <v>1.6484400755056698</v>
      </c>
      <c r="J252" s="196">
        <v>44501</v>
      </c>
      <c r="K252">
        <v>1.6617973048782499</v>
      </c>
      <c r="S252" s="196">
        <v>44501</v>
      </c>
      <c r="T252">
        <v>5.6985000000000001</v>
      </c>
      <c r="U252">
        <v>0.17</v>
      </c>
      <c r="W252">
        <f t="shared" si="22"/>
        <v>2.4000000000000021E-2</v>
      </c>
      <c r="X252">
        <f t="shared" si="18"/>
        <v>0</v>
      </c>
      <c r="Y252" s="350">
        <f t="shared" si="23"/>
        <v>0</v>
      </c>
      <c r="AA252" s="196">
        <v>44501</v>
      </c>
      <c r="AB252">
        <v>5.7225000000000001</v>
      </c>
      <c r="AC252">
        <v>0.17</v>
      </c>
    </row>
    <row r="253" spans="1:29" x14ac:dyDescent="0.2">
      <c r="A253"/>
      <c r="C253" s="196">
        <v>44531</v>
      </c>
      <c r="D253">
        <v>1.6485840659228099</v>
      </c>
      <c r="J253" s="196">
        <v>44531</v>
      </c>
      <c r="K253">
        <v>1.66194823053519</v>
      </c>
      <c r="S253" s="196">
        <v>44531</v>
      </c>
      <c r="T253">
        <v>5.8505000000000003</v>
      </c>
      <c r="U253">
        <v>0.17</v>
      </c>
      <c r="W253">
        <f t="shared" si="22"/>
        <v>2.4000000000000021E-2</v>
      </c>
      <c r="X253">
        <f t="shared" si="18"/>
        <v>0</v>
      </c>
      <c r="Y253" s="350">
        <f t="shared" si="23"/>
        <v>0</v>
      </c>
      <c r="AA253" s="196">
        <v>44531</v>
      </c>
      <c r="AB253">
        <v>5.8745000000000003</v>
      </c>
      <c r="AC253">
        <v>0.17</v>
      </c>
    </row>
    <row r="254" spans="1:29" x14ac:dyDescent="0.2">
      <c r="A254"/>
      <c r="C254" s="196">
        <v>44562</v>
      </c>
      <c r="D254">
        <v>1.64873136712492</v>
      </c>
      <c r="J254" s="196">
        <v>44562</v>
      </c>
      <c r="K254">
        <v>1.66210228279034</v>
      </c>
      <c r="S254" s="196">
        <v>44562</v>
      </c>
      <c r="T254">
        <v>5.923</v>
      </c>
      <c r="U254">
        <v>0.17</v>
      </c>
      <c r="W254">
        <f t="shared" si="22"/>
        <v>2.8999999999999915E-2</v>
      </c>
      <c r="X254">
        <f t="shared" si="18"/>
        <v>0</v>
      </c>
      <c r="Y254" s="350">
        <f t="shared" si="23"/>
        <v>0</v>
      </c>
      <c r="AA254" s="196">
        <v>44562</v>
      </c>
      <c r="AB254">
        <v>5.952</v>
      </c>
      <c r="AC254">
        <v>0.17</v>
      </c>
    </row>
    <row r="255" spans="1:29" x14ac:dyDescent="0.2">
      <c r="A255"/>
      <c r="C255" s="196">
        <v>44593</v>
      </c>
      <c r="D255">
        <v>1.6488771546188499</v>
      </c>
      <c r="J255" s="196">
        <v>44593</v>
      </c>
      <c r="K255">
        <v>1.66225439904232</v>
      </c>
      <c r="S255" s="196">
        <v>44593</v>
      </c>
      <c r="T255">
        <v>5.8360000000000003</v>
      </c>
      <c r="U255">
        <v>0.17</v>
      </c>
      <c r="W255">
        <f t="shared" si="22"/>
        <v>2.7999999999999581E-2</v>
      </c>
      <c r="X255">
        <f t="shared" si="18"/>
        <v>0</v>
      </c>
      <c r="Y255" s="350">
        <f t="shared" si="23"/>
        <v>0</v>
      </c>
      <c r="AA255" s="196">
        <v>44593</v>
      </c>
      <c r="AB255">
        <v>5.8639999999999999</v>
      </c>
      <c r="AC255">
        <v>0.17</v>
      </c>
    </row>
    <row r="256" spans="1:29" x14ac:dyDescent="0.2">
      <c r="A256"/>
      <c r="C256" s="196">
        <v>44621</v>
      </c>
      <c r="D256">
        <v>1.64900753224442</v>
      </c>
      <c r="J256" s="196">
        <v>44621</v>
      </c>
      <c r="K256">
        <v>1.6623901298914601</v>
      </c>
      <c r="S256" s="196">
        <v>44621</v>
      </c>
      <c r="T256">
        <v>5.6970000000000001</v>
      </c>
      <c r="U256">
        <v>0.17</v>
      </c>
      <c r="W256">
        <f t="shared" si="22"/>
        <v>2.7999999999999581E-2</v>
      </c>
      <c r="X256">
        <f t="shared" si="18"/>
        <v>0</v>
      </c>
      <c r="Y256" s="350">
        <f t="shared" si="23"/>
        <v>0</v>
      </c>
      <c r="AA256" s="196">
        <v>44621</v>
      </c>
      <c r="AB256">
        <v>5.7249999999999996</v>
      </c>
      <c r="AC256">
        <v>0.17</v>
      </c>
    </row>
    <row r="257" spans="1:29" x14ac:dyDescent="0.2">
      <c r="A257"/>
      <c r="C257" s="196">
        <v>44652</v>
      </c>
      <c r="D257">
        <v>1.6491504376951498</v>
      </c>
      <c r="J257" s="196">
        <v>44652</v>
      </c>
      <c r="K257">
        <v>1.6625385600396299</v>
      </c>
      <c r="S257" s="196">
        <v>44652</v>
      </c>
      <c r="T257">
        <v>5.5430000000000001</v>
      </c>
      <c r="U257">
        <v>0.17</v>
      </c>
      <c r="W257">
        <f t="shared" si="22"/>
        <v>2.8000000000000469E-2</v>
      </c>
      <c r="X257">
        <f t="shared" si="18"/>
        <v>0</v>
      </c>
      <c r="Y257" s="350">
        <f t="shared" si="23"/>
        <v>0</v>
      </c>
      <c r="AA257" s="196">
        <v>44652</v>
      </c>
      <c r="AB257">
        <v>5.5710000000000006</v>
      </c>
      <c r="AC257">
        <v>0.17</v>
      </c>
    </row>
    <row r="258" spans="1:29" x14ac:dyDescent="0.2">
      <c r="A258"/>
      <c r="C258" s="196">
        <v>44682</v>
      </c>
      <c r="D258">
        <v>1.64928729093702</v>
      </c>
      <c r="J258" s="196">
        <v>44682</v>
      </c>
      <c r="K258">
        <v>1.6626803573495599</v>
      </c>
      <c r="S258" s="196">
        <v>44682</v>
      </c>
      <c r="T258">
        <v>5.548</v>
      </c>
      <c r="U258">
        <v>0.17</v>
      </c>
      <c r="W258">
        <f t="shared" si="22"/>
        <v>2.8000000000000469E-2</v>
      </c>
      <c r="X258">
        <f t="shared" si="18"/>
        <v>0</v>
      </c>
      <c r="Y258" s="350">
        <f t="shared" si="23"/>
        <v>0</v>
      </c>
      <c r="AA258" s="196">
        <v>44682</v>
      </c>
      <c r="AB258">
        <v>5.5760000000000005</v>
      </c>
      <c r="AC258">
        <v>0.17</v>
      </c>
    </row>
    <row r="259" spans="1:29" x14ac:dyDescent="0.2">
      <c r="A259"/>
      <c r="C259" s="196">
        <v>44713</v>
      </c>
      <c r="D259">
        <v>1.64942721513728</v>
      </c>
      <c r="J259" s="196">
        <v>44713</v>
      </c>
      <c r="K259">
        <v>1.6628249744805599</v>
      </c>
      <c r="S259" s="196">
        <v>44713</v>
      </c>
      <c r="T259">
        <v>5.5860000000000003</v>
      </c>
      <c r="U259">
        <v>0.17</v>
      </c>
      <c r="W259">
        <f t="shared" si="22"/>
        <v>2.7999999999999581E-2</v>
      </c>
      <c r="X259">
        <f t="shared" si="18"/>
        <v>0</v>
      </c>
      <c r="Y259" s="350">
        <f t="shared" si="23"/>
        <v>0</v>
      </c>
      <c r="AA259" s="196">
        <v>44713</v>
      </c>
      <c r="AB259">
        <v>5.6139999999999999</v>
      </c>
      <c r="AC259">
        <v>0.17</v>
      </c>
    </row>
    <row r="260" spans="1:29" x14ac:dyDescent="0.2">
      <c r="A260"/>
      <c r="C260" s="196">
        <v>44743</v>
      </c>
      <c r="D260">
        <v>1.6495611825661498</v>
      </c>
      <c r="J260" s="196">
        <v>44743</v>
      </c>
      <c r="K260">
        <v>1.66296308082782</v>
      </c>
      <c r="S260" s="196">
        <v>44743</v>
      </c>
      <c r="T260">
        <v>5.6310000000000002</v>
      </c>
      <c r="U260">
        <v>0.17</v>
      </c>
      <c r="W260">
        <f t="shared" si="22"/>
        <v>2.8000000000000469E-2</v>
      </c>
      <c r="X260">
        <f t="shared" si="18"/>
        <v>0</v>
      </c>
      <c r="Y260" s="350">
        <f t="shared" si="23"/>
        <v>0</v>
      </c>
      <c r="AA260" s="196">
        <v>44743</v>
      </c>
      <c r="AB260">
        <v>5.6590000000000007</v>
      </c>
      <c r="AC260">
        <v>0.17</v>
      </c>
    </row>
    <row r="261" spans="1:29" x14ac:dyDescent="0.2">
      <c r="A261"/>
      <c r="C261" s="196">
        <v>44774</v>
      </c>
      <c r="D261">
        <v>1.64969812401134</v>
      </c>
      <c r="J261" s="196">
        <v>44774</v>
      </c>
      <c r="K261">
        <v>1.66310388299944</v>
      </c>
      <c r="S261" s="196">
        <v>44774</v>
      </c>
      <c r="T261">
        <v>5.6690000000000005</v>
      </c>
      <c r="U261">
        <v>0.17</v>
      </c>
      <c r="W261">
        <f t="shared" si="22"/>
        <v>2.7999999999999581E-2</v>
      </c>
      <c r="X261">
        <f t="shared" si="18"/>
        <v>0</v>
      </c>
      <c r="Y261" s="350">
        <f t="shared" si="23"/>
        <v>0</v>
      </c>
      <c r="AA261" s="196">
        <v>44774</v>
      </c>
      <c r="AB261">
        <v>5.6970000000000001</v>
      </c>
      <c r="AC261">
        <v>0.17</v>
      </c>
    </row>
    <row r="262" spans="1:29" x14ac:dyDescent="0.2">
      <c r="A262"/>
      <c r="C262" s="196">
        <v>44805</v>
      </c>
      <c r="D262">
        <v>1.6498335490637999</v>
      </c>
      <c r="J262" s="196">
        <v>44805</v>
      </c>
      <c r="K262">
        <v>1.6632427456934098</v>
      </c>
      <c r="S262" s="196">
        <v>44805</v>
      </c>
      <c r="T262">
        <v>5.6630000000000003</v>
      </c>
      <c r="U262">
        <v>0.17</v>
      </c>
      <c r="W262">
        <f t="shared" si="22"/>
        <v>2.7999999999999581E-2</v>
      </c>
      <c r="X262">
        <f t="shared" si="18"/>
        <v>0</v>
      </c>
      <c r="Y262" s="350">
        <f t="shared" si="23"/>
        <v>0</v>
      </c>
      <c r="AA262" s="196">
        <v>44805</v>
      </c>
      <c r="AB262">
        <v>5.6909999999999998</v>
      </c>
      <c r="AC262">
        <v>0.17</v>
      </c>
    </row>
    <row r="263" spans="1:29" x14ac:dyDescent="0.2">
      <c r="A263"/>
      <c r="C263" s="196">
        <v>44835</v>
      </c>
      <c r="D263">
        <v>1.6499631614039398</v>
      </c>
      <c r="J263" s="196">
        <v>44835</v>
      </c>
      <c r="K263">
        <v>1.6633752818510898</v>
      </c>
      <c r="S263" s="196">
        <v>44835</v>
      </c>
      <c r="T263">
        <v>5.6630000000000003</v>
      </c>
      <c r="U263">
        <v>0.17</v>
      </c>
      <c r="W263">
        <f t="shared" si="22"/>
        <v>2.7999999999999581E-2</v>
      </c>
      <c r="X263">
        <f t="shared" si="18"/>
        <v>0</v>
      </c>
      <c r="Y263" s="350">
        <f t="shared" si="23"/>
        <v>0</v>
      </c>
      <c r="AA263" s="196">
        <v>44835</v>
      </c>
      <c r="AB263">
        <v>5.6909999999999998</v>
      </c>
      <c r="AC263">
        <v>0.17</v>
      </c>
    </row>
    <row r="264" spans="1:29" x14ac:dyDescent="0.2">
      <c r="A264"/>
      <c r="C264" s="196">
        <v>44866</v>
      </c>
      <c r="D264">
        <v>1.6500956014923098</v>
      </c>
      <c r="J264" s="196">
        <v>44866</v>
      </c>
      <c r="K264">
        <v>1.6635103267541698</v>
      </c>
      <c r="S264" s="196">
        <v>44866</v>
      </c>
      <c r="T264">
        <v>5.8109999999999999</v>
      </c>
      <c r="U264">
        <v>0.17</v>
      </c>
      <c r="W264">
        <f t="shared" si="22"/>
        <v>2.8999999999999915E-2</v>
      </c>
      <c r="X264">
        <f t="shared" si="18"/>
        <v>0</v>
      </c>
      <c r="Y264" s="350">
        <f t="shared" si="23"/>
        <v>0</v>
      </c>
      <c r="AA264" s="196">
        <v>44866</v>
      </c>
      <c r="AB264">
        <v>5.84</v>
      </c>
      <c r="AC264">
        <v>0.17</v>
      </c>
    </row>
    <row r="265" spans="1:29" x14ac:dyDescent="0.2">
      <c r="A265"/>
      <c r="C265" s="196">
        <v>44896</v>
      </c>
      <c r="D265">
        <v>1.65022232446429</v>
      </c>
      <c r="J265" s="196">
        <v>44896</v>
      </c>
      <c r="K265">
        <v>1.6636391673921298</v>
      </c>
      <c r="S265" s="196">
        <v>44896</v>
      </c>
      <c r="T265">
        <v>5.9630000000000001</v>
      </c>
      <c r="U265">
        <v>0.17</v>
      </c>
      <c r="W265">
        <f t="shared" si="22"/>
        <v>2.8999999999999915E-2</v>
      </c>
      <c r="X265">
        <f t="shared" si="18"/>
        <v>0</v>
      </c>
      <c r="Y265" s="350">
        <f t="shared" si="23"/>
        <v>0</v>
      </c>
      <c r="AA265" s="196">
        <v>44896</v>
      </c>
      <c r="AB265">
        <v>5.992</v>
      </c>
      <c r="AC265">
        <v>0.17</v>
      </c>
    </row>
    <row r="266" spans="1:29" x14ac:dyDescent="0.2">
      <c r="A266"/>
      <c r="C266" s="196">
        <v>44927</v>
      </c>
      <c r="D266">
        <v>1.6503517781638899</v>
      </c>
      <c r="J266" s="196">
        <v>44927</v>
      </c>
      <c r="K266">
        <v>1.66377039269175</v>
      </c>
      <c r="S266" s="196">
        <v>44927</v>
      </c>
      <c r="T266">
        <v>6.0354999999999999</v>
      </c>
      <c r="U266">
        <v>0.17</v>
      </c>
      <c r="W266">
        <f t="shared" si="22"/>
        <v>3.4000000000000696E-2</v>
      </c>
      <c r="X266">
        <f t="shared" si="18"/>
        <v>0</v>
      </c>
      <c r="Y266" s="350">
        <f t="shared" si="23"/>
        <v>0</v>
      </c>
      <c r="AA266" s="196">
        <v>44927</v>
      </c>
      <c r="AB266">
        <v>6.0695000000000006</v>
      </c>
      <c r="AC266">
        <v>0.17</v>
      </c>
    </row>
    <row r="267" spans="1:29" x14ac:dyDescent="0.2">
      <c r="A267"/>
      <c r="C267" s="196">
        <v>44958</v>
      </c>
      <c r="D267">
        <v>1.65047971365477</v>
      </c>
      <c r="J267" s="196">
        <v>44958</v>
      </c>
      <c r="K267">
        <v>1.66389967620339</v>
      </c>
      <c r="S267" s="196">
        <v>44958</v>
      </c>
      <c r="T267">
        <v>5.9485000000000001</v>
      </c>
      <c r="U267">
        <v>0.17</v>
      </c>
      <c r="W267">
        <f t="shared" si="22"/>
        <v>3.3000000000000362E-2</v>
      </c>
      <c r="X267">
        <f t="shared" si="18"/>
        <v>0</v>
      </c>
      <c r="Y267" s="350">
        <f t="shared" si="23"/>
        <v>0</v>
      </c>
      <c r="AA267" s="196">
        <v>44958</v>
      </c>
      <c r="AB267">
        <v>5.9815000000000005</v>
      </c>
      <c r="AC267">
        <v>0.17</v>
      </c>
    </row>
    <row r="268" spans="1:29" x14ac:dyDescent="0.2">
      <c r="A268"/>
      <c r="C268" s="196">
        <v>44986</v>
      </c>
      <c r="D268">
        <v>1.6505939630630799</v>
      </c>
      <c r="J268" s="196">
        <v>44986</v>
      </c>
      <c r="K268">
        <v>1.6640147790265098</v>
      </c>
      <c r="S268" s="196">
        <v>44986</v>
      </c>
      <c r="T268">
        <v>5.8094999999999999</v>
      </c>
      <c r="U268">
        <v>0.17</v>
      </c>
      <c r="W268">
        <f t="shared" si="22"/>
        <v>3.3000000000000362E-2</v>
      </c>
      <c r="X268">
        <f t="shared" ref="X268:X296" si="24">AC268-U268</f>
        <v>0</v>
      </c>
      <c r="Y268" s="350">
        <f t="shared" si="23"/>
        <v>0</v>
      </c>
      <c r="AA268" s="196">
        <v>44986</v>
      </c>
      <c r="AB268">
        <v>5.8425000000000002</v>
      </c>
      <c r="AC268">
        <v>0.17</v>
      </c>
    </row>
    <row r="269" spans="1:29" x14ac:dyDescent="0.2">
      <c r="A269"/>
      <c r="C269" s="196">
        <v>45017</v>
      </c>
      <c r="D269">
        <v>1.6507190080811398</v>
      </c>
      <c r="J269" s="196">
        <v>45017</v>
      </c>
      <c r="K269">
        <v>1.66414036564526</v>
      </c>
      <c r="S269" s="196">
        <v>45017</v>
      </c>
      <c r="T269">
        <v>5.6555</v>
      </c>
      <c r="U269">
        <v>0.17</v>
      </c>
      <c r="W269">
        <f t="shared" ref="W269:W296" si="25">AB269-T269</f>
        <v>3.3000000000000362E-2</v>
      </c>
      <c r="X269">
        <f t="shared" si="24"/>
        <v>0</v>
      </c>
      <c r="Y269" s="350">
        <f t="shared" ref="Y269:Y296" si="26">I269-B269</f>
        <v>0</v>
      </c>
      <c r="AA269" s="196">
        <v>45017</v>
      </c>
      <c r="AB269">
        <v>5.6885000000000003</v>
      </c>
      <c r="AC269">
        <v>0.17</v>
      </c>
    </row>
    <row r="270" spans="1:29" x14ac:dyDescent="0.2">
      <c r="A270"/>
      <c r="C270" s="196">
        <v>45047</v>
      </c>
      <c r="D270">
        <v>1.65083857288381</v>
      </c>
      <c r="J270" s="196">
        <v>45047</v>
      </c>
      <c r="K270">
        <v>1.6642600510260299</v>
      </c>
      <c r="S270" s="196">
        <v>45047</v>
      </c>
      <c r="T270">
        <v>5.6604999999999999</v>
      </c>
      <c r="U270">
        <v>0.17</v>
      </c>
      <c r="W270">
        <f t="shared" si="25"/>
        <v>3.3000000000000362E-2</v>
      </c>
      <c r="X270">
        <f t="shared" si="24"/>
        <v>0</v>
      </c>
      <c r="Y270" s="350">
        <f t="shared" si="26"/>
        <v>0</v>
      </c>
      <c r="AA270" s="196">
        <v>45047</v>
      </c>
      <c r="AB270">
        <v>5.6935000000000002</v>
      </c>
      <c r="AC270">
        <v>0.17</v>
      </c>
    </row>
    <row r="271" spans="1:29" x14ac:dyDescent="0.2">
      <c r="A271"/>
      <c r="C271" s="196">
        <v>45078</v>
      </c>
      <c r="D271">
        <v>1.6509606281236799</v>
      </c>
      <c r="J271" s="196">
        <v>45078</v>
      </c>
      <c r="K271">
        <v>1.6643818137773698</v>
      </c>
      <c r="S271" s="196">
        <v>45078</v>
      </c>
      <c r="T271">
        <v>5.6985000000000001</v>
      </c>
      <c r="U271">
        <v>0.17</v>
      </c>
      <c r="W271">
        <f t="shared" si="25"/>
        <v>3.3000000000000362E-2</v>
      </c>
      <c r="X271">
        <f t="shared" si="24"/>
        <v>0</v>
      </c>
      <c r="Y271" s="350">
        <f t="shared" si="26"/>
        <v>0</v>
      </c>
      <c r="AA271" s="196">
        <v>45078</v>
      </c>
      <c r="AB271">
        <v>5.7315000000000005</v>
      </c>
      <c r="AC271">
        <v>0.17</v>
      </c>
    </row>
    <row r="272" spans="1:29" x14ac:dyDescent="0.2">
      <c r="A272"/>
      <c r="C272" s="196">
        <v>45108</v>
      </c>
      <c r="D272">
        <v>1.65107729895304</v>
      </c>
      <c r="J272" s="196">
        <v>45108</v>
      </c>
      <c r="K272">
        <v>1.6644977978451398</v>
      </c>
      <c r="S272" s="196">
        <v>45108</v>
      </c>
      <c r="T272">
        <v>5.7435</v>
      </c>
      <c r="U272">
        <v>0.17</v>
      </c>
      <c r="W272">
        <f t="shared" si="25"/>
        <v>3.3000000000000362E-2</v>
      </c>
      <c r="X272">
        <f t="shared" si="24"/>
        <v>0</v>
      </c>
      <c r="Y272" s="350">
        <f t="shared" si="26"/>
        <v>0</v>
      </c>
      <c r="AA272" s="196">
        <v>45108</v>
      </c>
      <c r="AB272">
        <v>5.7765000000000004</v>
      </c>
      <c r="AC272">
        <v>0.17</v>
      </c>
    </row>
    <row r="273" spans="1:29" x14ac:dyDescent="0.2">
      <c r="A273"/>
      <c r="C273" s="196">
        <v>45139</v>
      </c>
      <c r="D273">
        <v>1.6511963631009898</v>
      </c>
      <c r="J273" s="196">
        <v>45139</v>
      </c>
      <c r="K273">
        <v>1.6646157350966699</v>
      </c>
      <c r="S273" s="196">
        <v>45139</v>
      </c>
      <c r="T273">
        <v>5.7815000000000003</v>
      </c>
      <c r="U273">
        <v>0.17</v>
      </c>
      <c r="W273">
        <f t="shared" si="25"/>
        <v>3.3000000000000362E-2</v>
      </c>
      <c r="X273">
        <f t="shared" si="24"/>
        <v>0</v>
      </c>
      <c r="Y273" s="350">
        <f t="shared" si="26"/>
        <v>0</v>
      </c>
      <c r="AA273" s="196">
        <v>45139</v>
      </c>
      <c r="AB273">
        <v>5.8145000000000007</v>
      </c>
      <c r="AC273">
        <v>0.17</v>
      </c>
    </row>
    <row r="274" spans="1:29" x14ac:dyDescent="0.2">
      <c r="A274"/>
      <c r="C274" s="196">
        <v>45170</v>
      </c>
      <c r="D274">
        <v>1.6513139066926401</v>
      </c>
      <c r="J274" s="196">
        <v>45170</v>
      </c>
      <c r="K274">
        <v>1.66473172763278</v>
      </c>
      <c r="S274" s="196">
        <v>45170</v>
      </c>
      <c r="T274">
        <v>5.7755000000000001</v>
      </c>
      <c r="U274">
        <v>0.17</v>
      </c>
      <c r="W274">
        <f t="shared" si="25"/>
        <v>3.3000000000000362E-2</v>
      </c>
      <c r="X274">
        <f t="shared" si="24"/>
        <v>0</v>
      </c>
      <c r="Y274" s="350">
        <f t="shared" si="26"/>
        <v>0</v>
      </c>
      <c r="AA274" s="196">
        <v>45170</v>
      </c>
      <c r="AB274">
        <v>5.8085000000000004</v>
      </c>
      <c r="AC274">
        <v>0.17</v>
      </c>
    </row>
    <row r="275" spans="1:29" x14ac:dyDescent="0.2">
      <c r="A275"/>
      <c r="C275" s="196">
        <v>45200</v>
      </c>
      <c r="D275">
        <v>1.6514262104754998</v>
      </c>
      <c r="J275" s="196">
        <v>45200</v>
      </c>
      <c r="K275">
        <v>1.664842126468</v>
      </c>
      <c r="S275" s="196">
        <v>45200</v>
      </c>
      <c r="T275">
        <v>5.7755000000000001</v>
      </c>
      <c r="U275">
        <v>0.17</v>
      </c>
      <c r="W275">
        <f t="shared" si="25"/>
        <v>3.3000000000000362E-2</v>
      </c>
      <c r="X275">
        <f t="shared" si="24"/>
        <v>0</v>
      </c>
      <c r="Y275" s="350">
        <f t="shared" si="26"/>
        <v>0</v>
      </c>
      <c r="AA275" s="196">
        <v>45200</v>
      </c>
      <c r="AB275">
        <v>5.8085000000000004</v>
      </c>
      <c r="AC275">
        <v>0.17</v>
      </c>
    </row>
    <row r="276" spans="1:29" x14ac:dyDescent="0.2">
      <c r="A276"/>
      <c r="C276" s="196">
        <v>45231</v>
      </c>
      <c r="D276">
        <v>1.65154076105437</v>
      </c>
      <c r="J276" s="196">
        <v>45231</v>
      </c>
      <c r="K276">
        <v>1.6649542911405397</v>
      </c>
      <c r="S276" s="196">
        <v>45231</v>
      </c>
      <c r="T276">
        <v>5.9235000000000007</v>
      </c>
      <c r="U276">
        <v>0.17</v>
      </c>
      <c r="W276">
        <f t="shared" si="25"/>
        <v>3.399999999999892E-2</v>
      </c>
      <c r="X276">
        <f t="shared" si="24"/>
        <v>0</v>
      </c>
      <c r="Y276" s="350">
        <f t="shared" si="26"/>
        <v>0</v>
      </c>
      <c r="AA276" s="196">
        <v>45231</v>
      </c>
      <c r="AB276">
        <v>5.9574999999999996</v>
      </c>
      <c r="AC276">
        <v>0.17</v>
      </c>
    </row>
    <row r="277" spans="1:29" x14ac:dyDescent="0.2">
      <c r="A277"/>
      <c r="C277" s="196">
        <v>45261</v>
      </c>
      <c r="D277">
        <v>1.6516501677725599</v>
      </c>
      <c r="J277" s="196">
        <v>45261</v>
      </c>
      <c r="K277">
        <v>1.6650609848585001</v>
      </c>
      <c r="S277" s="196">
        <v>45261</v>
      </c>
      <c r="T277">
        <v>6.0754999999999999</v>
      </c>
      <c r="U277">
        <v>0.17</v>
      </c>
      <c r="W277">
        <f t="shared" si="25"/>
        <v>3.4000000000000696E-2</v>
      </c>
      <c r="X277">
        <f t="shared" si="24"/>
        <v>0</v>
      </c>
      <c r="Y277" s="350">
        <f t="shared" si="26"/>
        <v>0</v>
      </c>
      <c r="AA277" s="196">
        <v>45261</v>
      </c>
      <c r="AB277">
        <v>6.1095000000000006</v>
      </c>
      <c r="AC277">
        <v>0.17</v>
      </c>
    </row>
    <row r="278" spans="1:29" x14ac:dyDescent="0.2">
      <c r="A278"/>
      <c r="C278" s="196">
        <v>45292</v>
      </c>
      <c r="D278">
        <v>1.65176172410522</v>
      </c>
      <c r="J278" s="196">
        <v>45292</v>
      </c>
      <c r="K278">
        <v>1.6651693201653399</v>
      </c>
      <c r="S278" s="196">
        <v>45292</v>
      </c>
      <c r="T278">
        <v>6.1480000000000006</v>
      </c>
      <c r="U278">
        <v>0.17</v>
      </c>
      <c r="W278">
        <f t="shared" si="25"/>
        <v>3.8999999999999702E-2</v>
      </c>
      <c r="X278">
        <f t="shared" si="24"/>
        <v>0</v>
      </c>
      <c r="Y278" s="350">
        <f t="shared" si="26"/>
        <v>0</v>
      </c>
      <c r="AA278" s="196">
        <v>45292</v>
      </c>
      <c r="AB278">
        <v>6.1870000000000003</v>
      </c>
      <c r="AC278">
        <v>0.17</v>
      </c>
    </row>
    <row r="279" spans="1:29" x14ac:dyDescent="0.2">
      <c r="A279"/>
      <c r="C279" s="196">
        <v>45323</v>
      </c>
      <c r="D279">
        <v>1.6518717583093399</v>
      </c>
      <c r="J279" s="196">
        <v>45323</v>
      </c>
      <c r="K279">
        <v>1.6652757088420898</v>
      </c>
      <c r="S279" s="196">
        <v>45323</v>
      </c>
      <c r="T279">
        <v>6.0609999999999999</v>
      </c>
      <c r="U279">
        <v>0.17</v>
      </c>
      <c r="W279">
        <f t="shared" si="25"/>
        <v>3.8000000000000256E-2</v>
      </c>
      <c r="X279">
        <f t="shared" si="24"/>
        <v>0</v>
      </c>
      <c r="Y279" s="350">
        <f t="shared" si="26"/>
        <v>0</v>
      </c>
      <c r="AA279" s="196">
        <v>45323</v>
      </c>
      <c r="AB279">
        <v>6.0990000000000002</v>
      </c>
      <c r="AC279">
        <v>0.17</v>
      </c>
    </row>
    <row r="280" spans="1:29" x14ac:dyDescent="0.2">
      <c r="A280"/>
      <c r="C280" s="196">
        <v>45352</v>
      </c>
      <c r="D280">
        <v>1.6519733152678</v>
      </c>
      <c r="J280" s="196">
        <v>45352</v>
      </c>
      <c r="K280">
        <v>1.66537347110962</v>
      </c>
      <c r="S280" s="196">
        <v>45352</v>
      </c>
      <c r="T280">
        <v>5.9220000000000006</v>
      </c>
      <c r="U280">
        <v>0.17</v>
      </c>
      <c r="W280">
        <f t="shared" si="25"/>
        <v>3.7999999999999368E-2</v>
      </c>
      <c r="X280">
        <f t="shared" si="24"/>
        <v>0</v>
      </c>
      <c r="Y280" s="350">
        <f t="shared" si="26"/>
        <v>0</v>
      </c>
      <c r="AA280" s="196">
        <v>45352</v>
      </c>
      <c r="AB280">
        <v>5.96</v>
      </c>
      <c r="AC280">
        <v>0.17</v>
      </c>
    </row>
    <row r="281" spans="1:29" x14ac:dyDescent="0.2">
      <c r="A281"/>
      <c r="C281" s="196">
        <v>45383</v>
      </c>
      <c r="D281">
        <v>1.6520804025509299</v>
      </c>
      <c r="J281" s="196">
        <v>45383</v>
      </c>
      <c r="K281">
        <v>1.6654760910767599</v>
      </c>
      <c r="S281" s="196">
        <v>45383</v>
      </c>
      <c r="T281">
        <v>5.7680000000000007</v>
      </c>
      <c r="U281">
        <v>0.17</v>
      </c>
      <c r="W281">
        <f t="shared" si="25"/>
        <v>3.7999999999999368E-2</v>
      </c>
      <c r="X281">
        <f t="shared" si="24"/>
        <v>0</v>
      </c>
      <c r="Y281" s="350">
        <f t="shared" si="26"/>
        <v>0</v>
      </c>
      <c r="AA281" s="196">
        <v>45383</v>
      </c>
      <c r="AB281">
        <v>5.806</v>
      </c>
      <c r="AC281">
        <v>0.17</v>
      </c>
    </row>
    <row r="282" spans="1:29" x14ac:dyDescent="0.2">
      <c r="A282"/>
      <c r="C282" s="196">
        <v>45413</v>
      </c>
      <c r="D282">
        <v>1.6521825852954097</v>
      </c>
      <c r="J282" s="196">
        <v>45413</v>
      </c>
      <c r="K282">
        <v>1.66557354626565</v>
      </c>
      <c r="S282" s="196">
        <v>45413</v>
      </c>
      <c r="T282">
        <v>5.7730000000000006</v>
      </c>
      <c r="U282">
        <v>0.17</v>
      </c>
      <c r="W282">
        <f t="shared" si="25"/>
        <v>3.7999999999999368E-2</v>
      </c>
      <c r="X282">
        <f t="shared" si="24"/>
        <v>0</v>
      </c>
      <c r="Y282" s="350">
        <f t="shared" si="26"/>
        <v>0</v>
      </c>
      <c r="AA282" s="196">
        <v>45413</v>
      </c>
      <c r="AB282">
        <v>5.8109999999999999</v>
      </c>
      <c r="AC282">
        <v>0.17</v>
      </c>
    </row>
    <row r="283" spans="1:29" x14ac:dyDescent="0.2">
      <c r="A283"/>
      <c r="C283" s="196">
        <v>45444</v>
      </c>
      <c r="D283">
        <v>1.6522866753982699</v>
      </c>
      <c r="J283" s="196">
        <v>45444</v>
      </c>
      <c r="K283">
        <v>1.6656723333503998</v>
      </c>
      <c r="S283" s="196">
        <v>45444</v>
      </c>
      <c r="T283">
        <v>5.8109999999999999</v>
      </c>
      <c r="U283">
        <v>0.17</v>
      </c>
      <c r="W283">
        <f t="shared" si="25"/>
        <v>3.8000000000000256E-2</v>
      </c>
      <c r="X283">
        <f t="shared" si="24"/>
        <v>0</v>
      </c>
      <c r="Y283" s="350">
        <f t="shared" si="26"/>
        <v>0</v>
      </c>
      <c r="AA283" s="196">
        <v>45444</v>
      </c>
      <c r="AB283">
        <v>5.8490000000000002</v>
      </c>
      <c r="AC283">
        <v>0.17</v>
      </c>
    </row>
    <row r="284" spans="1:29" x14ac:dyDescent="0.2">
      <c r="A284"/>
      <c r="C284" s="196">
        <v>45474</v>
      </c>
      <c r="D284">
        <v>1.6523859570991499</v>
      </c>
      <c r="J284" s="196">
        <v>45474</v>
      </c>
      <c r="K284">
        <v>1.66576607865302</v>
      </c>
      <c r="S284" s="196">
        <v>45474</v>
      </c>
      <c r="T284">
        <v>5.8559999999999999</v>
      </c>
      <c r="U284">
        <v>0.17</v>
      </c>
      <c r="W284">
        <f t="shared" si="25"/>
        <v>3.8000000000000256E-2</v>
      </c>
      <c r="X284">
        <f t="shared" si="24"/>
        <v>0</v>
      </c>
      <c r="Y284" s="350">
        <f t="shared" si="26"/>
        <v>0</v>
      </c>
      <c r="AA284" s="196">
        <v>45474</v>
      </c>
      <c r="AB284">
        <v>5.8940000000000001</v>
      </c>
      <c r="AC284">
        <v>0.17</v>
      </c>
    </row>
    <row r="285" spans="1:29" x14ac:dyDescent="0.2">
      <c r="A285"/>
      <c r="C285" s="196">
        <v>45505</v>
      </c>
      <c r="D285">
        <v>1.6524870489002699</v>
      </c>
      <c r="J285" s="196">
        <v>45505</v>
      </c>
      <c r="K285">
        <v>1.6658610315349898</v>
      </c>
      <c r="S285" s="196">
        <v>45505</v>
      </c>
      <c r="T285">
        <v>5.8940000000000001</v>
      </c>
      <c r="U285">
        <v>0.17</v>
      </c>
      <c r="W285">
        <f t="shared" si="25"/>
        <v>3.8000000000000256E-2</v>
      </c>
      <c r="X285">
        <f t="shared" si="24"/>
        <v>0</v>
      </c>
      <c r="Y285" s="350">
        <f t="shared" si="26"/>
        <v>0</v>
      </c>
      <c r="AA285" s="196">
        <v>45505</v>
      </c>
      <c r="AB285">
        <v>5.9320000000000004</v>
      </c>
      <c r="AC285">
        <v>0.17</v>
      </c>
    </row>
    <row r="286" spans="1:29" x14ac:dyDescent="0.2">
      <c r="A286"/>
      <c r="C286" s="196">
        <v>45536</v>
      </c>
      <c r="D286">
        <v>1.6525866165547598</v>
      </c>
      <c r="J286" s="196">
        <v>45536</v>
      </c>
      <c r="K286">
        <v>1.66595403539836</v>
      </c>
      <c r="S286" s="196">
        <v>45536</v>
      </c>
      <c r="T286">
        <v>5.8879999999999999</v>
      </c>
      <c r="U286">
        <v>0.17</v>
      </c>
      <c r="W286">
        <f t="shared" si="25"/>
        <v>3.8000000000000256E-2</v>
      </c>
      <c r="X286">
        <f t="shared" si="24"/>
        <v>0</v>
      </c>
      <c r="Y286" s="350">
        <f t="shared" si="26"/>
        <v>0</v>
      </c>
      <c r="AA286" s="196">
        <v>45536</v>
      </c>
      <c r="AB286">
        <v>5.9260000000000002</v>
      </c>
      <c r="AC286">
        <v>0.17</v>
      </c>
    </row>
    <row r="287" spans="1:29" x14ac:dyDescent="0.2">
      <c r="A287"/>
      <c r="C287" s="196">
        <v>45566</v>
      </c>
      <c r="D287">
        <v>1.6526815208978098</v>
      </c>
      <c r="J287" s="196">
        <v>45566</v>
      </c>
      <c r="K287">
        <v>1.6660421831096501</v>
      </c>
      <c r="S287" s="196">
        <v>45566</v>
      </c>
      <c r="T287">
        <v>5.8879999999999999</v>
      </c>
      <c r="U287">
        <v>0.17</v>
      </c>
      <c r="W287">
        <f t="shared" si="25"/>
        <v>3.8000000000000256E-2</v>
      </c>
      <c r="X287">
        <f t="shared" si="24"/>
        <v>0</v>
      </c>
      <c r="Y287" s="350">
        <f t="shared" si="26"/>
        <v>0</v>
      </c>
      <c r="AA287" s="196">
        <v>45566</v>
      </c>
      <c r="AB287">
        <v>5.9260000000000002</v>
      </c>
      <c r="AC287">
        <v>0.17</v>
      </c>
    </row>
    <row r="288" spans="1:29" x14ac:dyDescent="0.2">
      <c r="A288"/>
      <c r="C288" s="196">
        <v>45597</v>
      </c>
      <c r="D288">
        <v>1.6527780886199099</v>
      </c>
      <c r="J288" s="196">
        <v>45597</v>
      </c>
      <c r="K288">
        <v>1.66613135087741</v>
      </c>
      <c r="S288" s="196">
        <v>45597</v>
      </c>
      <c r="T288">
        <v>6.0360000000000005</v>
      </c>
      <c r="U288">
        <v>0.17</v>
      </c>
      <c r="W288">
        <f t="shared" si="25"/>
        <v>3.8999999999999702E-2</v>
      </c>
      <c r="X288">
        <f t="shared" si="24"/>
        <v>0</v>
      </c>
      <c r="Y288" s="350">
        <f t="shared" si="26"/>
        <v>0</v>
      </c>
      <c r="AA288" s="196">
        <v>45597</v>
      </c>
      <c r="AB288">
        <v>6.0750000000000002</v>
      </c>
      <c r="AC288">
        <v>0.17</v>
      </c>
    </row>
    <row r="289" spans="1:29" x14ac:dyDescent="0.2">
      <c r="A289"/>
      <c r="C289" s="196">
        <v>45627</v>
      </c>
      <c r="D289">
        <v>1.6528700892949899</v>
      </c>
      <c r="J289" s="196">
        <v>45627</v>
      </c>
      <c r="K289">
        <v>1.6662157856561299</v>
      </c>
      <c r="S289" s="196">
        <v>45627</v>
      </c>
      <c r="T289">
        <v>6.1880000000000006</v>
      </c>
      <c r="U289">
        <v>0.17</v>
      </c>
      <c r="W289">
        <f t="shared" si="25"/>
        <v>3.8999999999999702E-2</v>
      </c>
      <c r="X289">
        <f t="shared" si="24"/>
        <v>0</v>
      </c>
      <c r="Y289" s="350">
        <f t="shared" si="26"/>
        <v>0</v>
      </c>
      <c r="AA289" s="196">
        <v>45627</v>
      </c>
      <c r="AB289">
        <v>6.2270000000000003</v>
      </c>
      <c r="AC289">
        <v>0.17</v>
      </c>
    </row>
    <row r="290" spans="1:29" x14ac:dyDescent="0.2">
      <c r="A290"/>
      <c r="C290" s="196">
        <v>45658</v>
      </c>
      <c r="D290">
        <v>1.6529636560438099</v>
      </c>
      <c r="J290" s="196">
        <v>45658</v>
      </c>
      <c r="K290">
        <v>1.6663011161385901</v>
      </c>
      <c r="W290">
        <f t="shared" si="25"/>
        <v>0</v>
      </c>
      <c r="X290">
        <f t="shared" si="24"/>
        <v>0</v>
      </c>
      <c r="Y290" s="350">
        <f t="shared" si="26"/>
        <v>0</v>
      </c>
    </row>
    <row r="291" spans="1:29" x14ac:dyDescent="0.2">
      <c r="A291"/>
      <c r="C291" s="196">
        <v>45689</v>
      </c>
      <c r="D291">
        <v>1.6530556973192398</v>
      </c>
      <c r="J291" s="196">
        <v>45689</v>
      </c>
      <c r="K291">
        <v>1.6663844960860799</v>
      </c>
      <c r="W291">
        <f t="shared" si="25"/>
        <v>0</v>
      </c>
      <c r="X291">
        <f t="shared" si="24"/>
        <v>0</v>
      </c>
      <c r="Y291" s="350">
        <f t="shared" si="26"/>
        <v>0</v>
      </c>
    </row>
    <row r="292" spans="1:29" x14ac:dyDescent="0.2">
      <c r="A292"/>
      <c r="C292" s="196">
        <v>45717</v>
      </c>
      <c r="D292">
        <v>1.6531375199843099</v>
      </c>
      <c r="J292" s="196">
        <v>45717</v>
      </c>
      <c r="K292">
        <v>1.6664581302411601</v>
      </c>
      <c r="W292">
        <f t="shared" si="25"/>
        <v>0</v>
      </c>
      <c r="X292">
        <f t="shared" si="24"/>
        <v>0</v>
      </c>
      <c r="Y292" s="350">
        <f t="shared" si="26"/>
        <v>0</v>
      </c>
    </row>
    <row r="293" spans="1:29" x14ac:dyDescent="0.2">
      <c r="A293"/>
      <c r="C293" s="196">
        <v>45748</v>
      </c>
      <c r="D293">
        <v>1.6532266572348899</v>
      </c>
      <c r="J293" s="196">
        <v>45748</v>
      </c>
      <c r="K293">
        <v>1.6665377970931599</v>
      </c>
      <c r="W293">
        <f t="shared" si="25"/>
        <v>0</v>
      </c>
      <c r="X293">
        <f t="shared" si="24"/>
        <v>0</v>
      </c>
      <c r="Y293" s="350">
        <f t="shared" si="26"/>
        <v>0</v>
      </c>
    </row>
    <row r="294" spans="1:29" x14ac:dyDescent="0.2">
      <c r="A294"/>
      <c r="C294" s="196">
        <v>45778</v>
      </c>
      <c r="D294">
        <v>1.6533114659416299</v>
      </c>
      <c r="J294" s="196">
        <v>45778</v>
      </c>
      <c r="K294">
        <v>1.6666130361052698</v>
      </c>
      <c r="W294">
        <f t="shared" si="25"/>
        <v>0</v>
      </c>
      <c r="X294">
        <f t="shared" si="24"/>
        <v>0</v>
      </c>
      <c r="Y294" s="350">
        <f t="shared" si="26"/>
        <v>0</v>
      </c>
    </row>
    <row r="295" spans="1:29" x14ac:dyDescent="0.2">
      <c r="A295"/>
      <c r="C295" s="196">
        <v>45809</v>
      </c>
      <c r="D295">
        <v>1.6533975997807</v>
      </c>
      <c r="J295" s="196">
        <v>45809</v>
      </c>
      <c r="K295">
        <v>1.6666888629516399</v>
      </c>
      <c r="W295">
        <f t="shared" si="25"/>
        <v>0</v>
      </c>
      <c r="X295">
        <f t="shared" si="24"/>
        <v>0</v>
      </c>
      <c r="Y295" s="350">
        <f t="shared" si="26"/>
        <v>0</v>
      </c>
    </row>
    <row r="296" spans="1:29" x14ac:dyDescent="0.2">
      <c r="A296"/>
      <c r="C296" s="196">
        <v>45839</v>
      </c>
      <c r="D296">
        <v>1.6534795015067298</v>
      </c>
      <c r="J296" s="196">
        <v>45839</v>
      </c>
      <c r="K296">
        <v>1.6667603853351001</v>
      </c>
      <c r="W296">
        <f t="shared" si="25"/>
        <v>0</v>
      </c>
      <c r="X296">
        <f t="shared" si="24"/>
        <v>0</v>
      </c>
      <c r="Y296" s="350">
        <f t="shared" si="26"/>
        <v>0</v>
      </c>
    </row>
    <row r="297" spans="1:29" x14ac:dyDescent="0.2">
      <c r="A297"/>
      <c r="C297" s="196">
        <v>45870</v>
      </c>
      <c r="D297">
        <v>1.65356263100529</v>
      </c>
      <c r="J297" s="196">
        <v>45870</v>
      </c>
      <c r="K297">
        <v>1.6668323711676598</v>
      </c>
    </row>
    <row r="298" spans="1:29" x14ac:dyDescent="0.2">
      <c r="A298"/>
      <c r="C298" s="196">
        <v>45901</v>
      </c>
      <c r="D298">
        <v>1.6536442333621499</v>
      </c>
      <c r="J298" s="196">
        <v>45901</v>
      </c>
      <c r="K298">
        <v>1.6669024046399699</v>
      </c>
    </row>
    <row r="299" spans="1:29" x14ac:dyDescent="0.2">
      <c r="A299"/>
      <c r="C299" s="196">
        <v>45931</v>
      </c>
      <c r="D299">
        <v>1.65372174912838</v>
      </c>
      <c r="J299" s="196">
        <v>45931</v>
      </c>
      <c r="K299">
        <v>1.6669683198348699</v>
      </c>
    </row>
    <row r="300" spans="1:29" x14ac:dyDescent="0.2">
      <c r="A300"/>
      <c r="C300" s="196">
        <v>45962</v>
      </c>
      <c r="D300">
        <v>1.6538003458044899</v>
      </c>
      <c r="J300" s="196">
        <v>45962</v>
      </c>
      <c r="K300">
        <v>1.66703451087167</v>
      </c>
    </row>
    <row r="301" spans="1:29" x14ac:dyDescent="0.2">
      <c r="A301"/>
      <c r="C301" s="196">
        <v>45992</v>
      </c>
      <c r="D301">
        <v>1.6538749524331098</v>
      </c>
      <c r="J301" s="196">
        <v>45992</v>
      </c>
      <c r="K301">
        <v>1.6670967071498499</v>
      </c>
    </row>
    <row r="302" spans="1:29" x14ac:dyDescent="0.2">
      <c r="A302"/>
      <c r="C302" s="196">
        <v>46023</v>
      </c>
      <c r="D302">
        <v>1.65395054258032</v>
      </c>
      <c r="J302" s="196">
        <v>46023</v>
      </c>
      <c r="K302">
        <v>1.6671590548740698</v>
      </c>
    </row>
    <row r="303" spans="1:29" x14ac:dyDescent="0.2">
      <c r="A303"/>
      <c r="C303" s="196">
        <v>46054</v>
      </c>
      <c r="D303">
        <v>1.6540246045047</v>
      </c>
      <c r="J303" s="196">
        <v>46054</v>
      </c>
      <c r="K303">
        <v>1.6672194491201</v>
      </c>
    </row>
    <row r="304" spans="1:29" x14ac:dyDescent="0.2">
      <c r="A304"/>
      <c r="C304" s="196">
        <v>46082</v>
      </c>
      <c r="D304">
        <v>1.6540901854341199</v>
      </c>
      <c r="J304" s="196">
        <v>46082</v>
      </c>
      <c r="K304">
        <v>1.6672723195338499</v>
      </c>
    </row>
    <row r="305" spans="1:11" x14ac:dyDescent="0.2">
      <c r="A305"/>
      <c r="C305" s="196">
        <v>46113</v>
      </c>
      <c r="D305">
        <v>1.6541613382384199</v>
      </c>
      <c r="J305" s="196">
        <v>46113</v>
      </c>
      <c r="K305">
        <v>1.6673289953059098</v>
      </c>
    </row>
    <row r="306" spans="1:11" x14ac:dyDescent="0.2">
      <c r="A306"/>
      <c r="C306" s="196">
        <v>46143</v>
      </c>
      <c r="D306">
        <v>1.65422874016164</v>
      </c>
      <c r="J306" s="196">
        <v>46143</v>
      </c>
      <c r="K306">
        <v>1.6673819823060101</v>
      </c>
    </row>
    <row r="307" spans="1:11" x14ac:dyDescent="0.2">
      <c r="A307"/>
      <c r="C307" s="196">
        <v>46174</v>
      </c>
      <c r="D307">
        <v>1.6542968844763</v>
      </c>
      <c r="J307" s="196">
        <v>46174</v>
      </c>
      <c r="K307">
        <v>1.6674348128194598</v>
      </c>
    </row>
    <row r="308" spans="1:11" x14ac:dyDescent="0.2">
      <c r="A308"/>
      <c r="C308" s="196">
        <v>46204</v>
      </c>
      <c r="D308">
        <v>1.65436137459787</v>
      </c>
      <c r="J308" s="196">
        <v>46204</v>
      </c>
      <c r="K308">
        <v>1.6674840782587699</v>
      </c>
    </row>
    <row r="309" spans="1:11" x14ac:dyDescent="0.2">
      <c r="A309"/>
      <c r="C309" s="196">
        <v>46235</v>
      </c>
      <c r="D309">
        <v>1.65442650968687</v>
      </c>
      <c r="J309" s="196">
        <v>46235</v>
      </c>
      <c r="K309">
        <v>1.6675330628184</v>
      </c>
    </row>
    <row r="310" spans="1:11" x14ac:dyDescent="0.2">
      <c r="A310"/>
      <c r="C310" s="196">
        <v>46266</v>
      </c>
      <c r="D310">
        <v>1.65449011522559</v>
      </c>
      <c r="J310" s="196">
        <v>46266</v>
      </c>
      <c r="K310">
        <v>1.6675800926272799</v>
      </c>
    </row>
    <row r="311" spans="1:11" x14ac:dyDescent="0.2">
      <c r="A311"/>
      <c r="C311" s="196">
        <v>46296</v>
      </c>
      <c r="D311">
        <v>1.6545502124698899</v>
      </c>
      <c r="J311" s="196">
        <v>46296</v>
      </c>
      <c r="K311">
        <v>1.6676237440125399</v>
      </c>
    </row>
    <row r="312" spans="1:11" x14ac:dyDescent="0.2">
      <c r="A312"/>
      <c r="C312" s="196">
        <v>46327</v>
      </c>
      <c r="D312">
        <v>1.65461080773406</v>
      </c>
      <c r="J312" s="196">
        <v>46327</v>
      </c>
      <c r="K312">
        <v>1.6676669269181699</v>
      </c>
    </row>
    <row r="313" spans="1:11" x14ac:dyDescent="0.2">
      <c r="A313"/>
      <c r="C313" s="196">
        <v>46357</v>
      </c>
      <c r="D313">
        <v>1.65466799148865</v>
      </c>
      <c r="J313" s="196">
        <v>46357</v>
      </c>
      <c r="K313">
        <v>1.6677068552146499</v>
      </c>
    </row>
    <row r="314" spans="1:11" x14ac:dyDescent="0.2">
      <c r="A314"/>
      <c r="C314" s="196">
        <v>46388</v>
      </c>
      <c r="D314">
        <v>1.6547255758233801</v>
      </c>
      <c r="J314" s="196">
        <v>46388</v>
      </c>
      <c r="K314">
        <v>1.66774619065326</v>
      </c>
    </row>
    <row r="315" spans="1:11" x14ac:dyDescent="0.2">
      <c r="A315"/>
      <c r="C315" s="196">
        <v>46419</v>
      </c>
      <c r="D315">
        <v>1.6547816297730198</v>
      </c>
      <c r="J315" s="196">
        <v>46419</v>
      </c>
      <c r="K315">
        <v>1.66778357062246</v>
      </c>
    </row>
    <row r="316" spans="1:11" x14ac:dyDescent="0.2">
      <c r="A316"/>
      <c r="C316" s="196">
        <v>46447</v>
      </c>
      <c r="D316">
        <v>1.65483094361798</v>
      </c>
      <c r="J316" s="196">
        <v>46447</v>
      </c>
      <c r="K316">
        <v>1.6678156523033498</v>
      </c>
    </row>
    <row r="317" spans="1:11" x14ac:dyDescent="0.2">
      <c r="A317"/>
      <c r="C317" s="196">
        <v>46478</v>
      </c>
      <c r="D317">
        <v>1.6548840844702901</v>
      </c>
      <c r="J317" s="196">
        <v>46478</v>
      </c>
      <c r="K317">
        <v>1.6678493102325098</v>
      </c>
    </row>
    <row r="318" spans="1:11" x14ac:dyDescent="0.2">
      <c r="A318"/>
      <c r="C318" s="196">
        <v>46508</v>
      </c>
      <c r="D318">
        <v>1.65493405355104</v>
      </c>
      <c r="J318" s="196">
        <v>46508</v>
      </c>
      <c r="K318">
        <v>1.6678800202278201</v>
      </c>
    </row>
    <row r="319" spans="1:11" x14ac:dyDescent="0.2">
      <c r="A319"/>
      <c r="C319" s="196">
        <v>46539</v>
      </c>
      <c r="D319">
        <v>1.65498418199186</v>
      </c>
      <c r="J319" s="196">
        <v>46539</v>
      </c>
      <c r="K319">
        <v>1.6679098295197499</v>
      </c>
    </row>
    <row r="320" spans="1:11" x14ac:dyDescent="0.2">
      <c r="A320"/>
      <c r="C320" s="196">
        <v>46569</v>
      </c>
      <c r="D320">
        <v>1.65503123556927</v>
      </c>
      <c r="J320" s="196">
        <v>46569</v>
      </c>
      <c r="K320">
        <v>1.6679368148363798</v>
      </c>
    </row>
    <row r="321" spans="1:11" x14ac:dyDescent="0.2">
      <c r="A321"/>
      <c r="C321" s="196">
        <v>46600</v>
      </c>
      <c r="D321">
        <v>1.6550783510561498</v>
      </c>
      <c r="J321" s="196">
        <v>46600</v>
      </c>
      <c r="K321">
        <v>1.6679627751094299</v>
      </c>
    </row>
    <row r="322" spans="1:11" x14ac:dyDescent="0.2">
      <c r="A322"/>
      <c r="C322" s="196">
        <v>46631</v>
      </c>
      <c r="D322">
        <v>1.65512393517222</v>
      </c>
      <c r="J322" s="196">
        <v>46631</v>
      </c>
      <c r="K322">
        <v>1.66798677919425</v>
      </c>
    </row>
    <row r="323" spans="1:11" x14ac:dyDescent="0.2">
      <c r="A323"/>
      <c r="C323" s="196">
        <v>46661</v>
      </c>
      <c r="D323">
        <v>1.6551665906438</v>
      </c>
      <c r="J323" s="196">
        <v>46661</v>
      </c>
      <c r="K323">
        <v>1.6680081463283498</v>
      </c>
    </row>
    <row r="324" spans="1:11" x14ac:dyDescent="0.2">
      <c r="A324"/>
      <c r="C324" s="196">
        <v>46692</v>
      </c>
      <c r="D324">
        <v>1.6552091610490398</v>
      </c>
      <c r="J324" s="196">
        <v>46692</v>
      </c>
      <c r="K324">
        <v>1.6680283009178598</v>
      </c>
    </row>
    <row r="325" spans="1:11" x14ac:dyDescent="0.2">
      <c r="A325"/>
      <c r="C325" s="196">
        <v>46722</v>
      </c>
      <c r="D325">
        <v>1.6552488997991599</v>
      </c>
      <c r="J325" s="196">
        <v>46722</v>
      </c>
      <c r="K325">
        <v>1.6680459426065699</v>
      </c>
    </row>
    <row r="326" spans="1:11" x14ac:dyDescent="0.2">
      <c r="A326"/>
      <c r="C326" s="196">
        <v>46753</v>
      </c>
      <c r="D326">
        <v>1.6552884560322998</v>
      </c>
      <c r="J326" s="196">
        <v>46753</v>
      </c>
      <c r="K326">
        <v>1.6680622474507099</v>
      </c>
    </row>
    <row r="327" spans="1:11" x14ac:dyDescent="0.2">
      <c r="A327"/>
      <c r="C327" s="196">
        <v>46784</v>
      </c>
      <c r="D327">
        <v>1.6553264803067298</v>
      </c>
      <c r="J327" s="196">
        <v>46784</v>
      </c>
      <c r="K327">
        <v>1.6680765957878299</v>
      </c>
    </row>
    <row r="328" spans="1:11" x14ac:dyDescent="0.2">
      <c r="A328"/>
      <c r="C328" s="196">
        <v>46813</v>
      </c>
      <c r="D328">
        <v>1.65536066441483</v>
      </c>
      <c r="J328" s="196">
        <v>46813</v>
      </c>
      <c r="K328">
        <v>1.6680882471470999</v>
      </c>
    </row>
    <row r="329" spans="1:11" x14ac:dyDescent="0.2">
      <c r="A329"/>
      <c r="C329" s="196">
        <v>46844</v>
      </c>
      <c r="D329">
        <v>1.65539572330903</v>
      </c>
      <c r="J329" s="196">
        <v>46844</v>
      </c>
      <c r="K329">
        <v>1.6680988085770798</v>
      </c>
    </row>
    <row r="330" spans="1:11" x14ac:dyDescent="0.2">
      <c r="A330"/>
      <c r="C330" s="196">
        <v>46874</v>
      </c>
      <c r="D330">
        <v>1.6554281923572198</v>
      </c>
      <c r="J330" s="196">
        <v>46874</v>
      </c>
      <c r="K330">
        <v>1.6681071663559299</v>
      </c>
    </row>
    <row r="331" spans="1:11" x14ac:dyDescent="0.2">
      <c r="A331"/>
      <c r="C331" s="196">
        <v>46905</v>
      </c>
      <c r="D331">
        <v>1.65546023607102</v>
      </c>
      <c r="J331" s="196">
        <v>46905</v>
      </c>
      <c r="K331">
        <v>1.66811387764551</v>
      </c>
    </row>
    <row r="332" spans="1:11" x14ac:dyDescent="0.2">
      <c r="A332"/>
      <c r="C332" s="196">
        <v>46935</v>
      </c>
      <c r="D332">
        <v>1.65548978703033</v>
      </c>
      <c r="J332" s="196">
        <v>46935</v>
      </c>
      <c r="K332">
        <v>1.66811850944327</v>
      </c>
    </row>
    <row r="333" spans="1:11" x14ac:dyDescent="0.2">
      <c r="A333"/>
      <c r="C333" s="196">
        <v>46966</v>
      </c>
      <c r="D333">
        <v>1.6555188152156799</v>
      </c>
      <c r="J333" s="196">
        <v>46966</v>
      </c>
      <c r="K333">
        <v>1.66812137052552</v>
      </c>
    </row>
    <row r="334" spans="1:11" x14ac:dyDescent="0.2">
      <c r="A334"/>
      <c r="C334" s="196">
        <v>46997</v>
      </c>
      <c r="D334">
        <v>1.6555463107963599</v>
      </c>
      <c r="J334" s="196">
        <v>46997</v>
      </c>
      <c r="K334">
        <v>1.6681222749361699</v>
      </c>
    </row>
    <row r="335" spans="1:11" x14ac:dyDescent="0.2">
      <c r="A335"/>
      <c r="C335" s="196">
        <v>47027</v>
      </c>
      <c r="D335">
        <v>1.6555714601062199</v>
      </c>
      <c r="J335" s="196">
        <v>47027</v>
      </c>
      <c r="K335">
        <v>1.66812128716323</v>
      </c>
    </row>
    <row r="336" spans="1:11" x14ac:dyDescent="0.2">
      <c r="A336"/>
      <c r="C336" s="196">
        <v>47058</v>
      </c>
      <c r="D336">
        <v>1.6555959396948099</v>
      </c>
      <c r="J336" s="196">
        <v>47058</v>
      </c>
      <c r="K336">
        <v>1.6681183413648299</v>
      </c>
    </row>
    <row r="337" spans="1:11" x14ac:dyDescent="0.2">
      <c r="A337"/>
      <c r="C337" s="196">
        <v>47088</v>
      </c>
      <c r="D337">
        <v>1.6556181701696699</v>
      </c>
      <c r="J337" s="196">
        <v>47088</v>
      </c>
      <c r="K337">
        <v>1.66811362760802</v>
      </c>
    </row>
    <row r="338" spans="1:11" x14ac:dyDescent="0.2">
      <c r="A338"/>
      <c r="C338" s="196">
        <v>47119</v>
      </c>
      <c r="D338">
        <v>1.6556396334994599</v>
      </c>
      <c r="J338" s="196">
        <v>47119</v>
      </c>
      <c r="K338">
        <v>1.6681068316651999</v>
      </c>
    </row>
    <row r="339" spans="1:11" x14ac:dyDescent="0.2">
      <c r="A339"/>
      <c r="C339" s="196">
        <v>47150</v>
      </c>
      <c r="D339">
        <v>1.6556595638845799</v>
      </c>
      <c r="J339" s="196">
        <v>47150</v>
      </c>
      <c r="K339">
        <v>1.6680980791331899</v>
      </c>
    </row>
    <row r="340" spans="1:11" x14ac:dyDescent="0.2">
      <c r="A340"/>
      <c r="C340" s="196">
        <v>47178</v>
      </c>
      <c r="D340">
        <v>1.65567624787727</v>
      </c>
      <c r="J340" s="196">
        <v>47178</v>
      </c>
      <c r="K340">
        <v>1.6680884919210199</v>
      </c>
    </row>
    <row r="341" spans="1:11" x14ac:dyDescent="0.2">
      <c r="A341"/>
      <c r="C341" s="196">
        <v>47209</v>
      </c>
      <c r="D341">
        <v>1.6556932605706898</v>
      </c>
      <c r="J341" s="196">
        <v>47209</v>
      </c>
      <c r="K341">
        <v>1.6680760156662799</v>
      </c>
    </row>
    <row r="342" spans="1:11" x14ac:dyDescent="0.2">
      <c r="A342"/>
      <c r="C342" s="196">
        <v>47239</v>
      </c>
      <c r="D342">
        <v>1.65570826475625</v>
      </c>
      <c r="J342" s="196">
        <v>47239</v>
      </c>
      <c r="K342">
        <v>1.6680620790580099</v>
      </c>
    </row>
    <row r="343" spans="1:11" x14ac:dyDescent="0.2">
      <c r="A343"/>
      <c r="C343" s="196">
        <v>47270</v>
      </c>
      <c r="D343">
        <v>1.6557222606701598</v>
      </c>
      <c r="J343" s="196">
        <v>47270</v>
      </c>
      <c r="K343">
        <v>1.6680457530445201</v>
      </c>
    </row>
    <row r="344" spans="1:11" x14ac:dyDescent="0.2">
      <c r="A344"/>
      <c r="C344" s="196">
        <v>47300</v>
      </c>
      <c r="D344">
        <v>1.6557343453132198</v>
      </c>
      <c r="J344" s="196">
        <v>47300</v>
      </c>
      <c r="K344">
        <v>1.6680280909763998</v>
      </c>
    </row>
    <row r="345" spans="1:11" x14ac:dyDescent="0.2">
      <c r="A345"/>
      <c r="C345" s="196">
        <v>47331</v>
      </c>
      <c r="D345">
        <v>1.6557453242936599</v>
      </c>
      <c r="J345" s="196">
        <v>47331</v>
      </c>
      <c r="K345">
        <v>1.6680079154510901</v>
      </c>
    </row>
    <row r="346" spans="1:11" x14ac:dyDescent="0.2">
      <c r="A346"/>
      <c r="C346" s="196">
        <v>47362</v>
      </c>
      <c r="D346">
        <v>1.6557547700298099</v>
      </c>
      <c r="J346" s="196">
        <v>47362</v>
      </c>
      <c r="K346">
        <v>1.6679857837279399</v>
      </c>
    </row>
    <row r="347" spans="1:11" x14ac:dyDescent="0.2">
      <c r="A347"/>
      <c r="C347" s="196">
        <v>47392</v>
      </c>
      <c r="D347">
        <v>1.65576245118641</v>
      </c>
      <c r="J347" s="196">
        <v>47392</v>
      </c>
      <c r="K347">
        <v>1.6679625034496899</v>
      </c>
    </row>
    <row r="348" spans="1:11" x14ac:dyDescent="0.2">
      <c r="A348"/>
      <c r="C348" s="196">
        <v>47423</v>
      </c>
      <c r="D348">
        <v>1.65576887981821</v>
      </c>
      <c r="J348" s="196">
        <v>47423</v>
      </c>
      <c r="K348">
        <v>1.6679365226863399</v>
      </c>
    </row>
    <row r="349" spans="1:11" x14ac:dyDescent="0.2">
      <c r="A349"/>
      <c r="C349" s="196">
        <v>47453</v>
      </c>
      <c r="D349">
        <v>1.65577364115736</v>
      </c>
      <c r="J349" s="196">
        <v>47453</v>
      </c>
      <c r="K349">
        <v>1.6679095177071999</v>
      </c>
    </row>
    <row r="350" spans="1:11" x14ac:dyDescent="0.2">
      <c r="A350"/>
      <c r="C350" s="196">
        <v>47484</v>
      </c>
      <c r="D350">
        <v>1.6557770526122799</v>
      </c>
      <c r="J350" s="196">
        <v>47484</v>
      </c>
      <c r="K350">
        <v>1.6678796882821199</v>
      </c>
    </row>
    <row r="351" spans="1:11" x14ac:dyDescent="0.2">
      <c r="A351"/>
      <c r="C351" s="196">
        <v>47515</v>
      </c>
      <c r="D351">
        <v>1.6557789307303801</v>
      </c>
      <c r="J351" s="196">
        <v>47515</v>
      </c>
      <c r="K351">
        <v>1.6678479031415898</v>
      </c>
    </row>
    <row r="352" spans="1:11" x14ac:dyDescent="0.2">
      <c r="A352"/>
      <c r="C352" s="196">
        <v>47543</v>
      </c>
      <c r="D352">
        <v>1.6557793091542699</v>
      </c>
      <c r="J352" s="196">
        <v>47543</v>
      </c>
      <c r="K352">
        <v>1.6678175131014199</v>
      </c>
    </row>
    <row r="353" spans="1:11" x14ac:dyDescent="0.2">
      <c r="A353"/>
      <c r="C353" s="196">
        <v>47574</v>
      </c>
      <c r="D353">
        <v>1.65577826897286</v>
      </c>
      <c r="J353" s="196">
        <v>47574</v>
      </c>
      <c r="K353">
        <v>1.66778200612495</v>
      </c>
    </row>
    <row r="354" spans="1:11" x14ac:dyDescent="0.2">
      <c r="A354"/>
      <c r="C354" s="196">
        <v>47604</v>
      </c>
      <c r="D354">
        <v>1.65577580239911</v>
      </c>
      <c r="J354" s="196">
        <v>47604</v>
      </c>
      <c r="K354">
        <v>1.66774578277658</v>
      </c>
    </row>
    <row r="355" spans="1:11" x14ac:dyDescent="0.2">
      <c r="A355"/>
      <c r="C355" s="196">
        <v>47635</v>
      </c>
      <c r="D355">
        <v>1.6557717450007698</v>
      </c>
      <c r="J355" s="196">
        <v>47635</v>
      </c>
      <c r="K355">
        <v>1.66770642830066</v>
      </c>
    </row>
    <row r="356" spans="1:11" x14ac:dyDescent="0.2">
      <c r="A356"/>
      <c r="C356" s="196">
        <v>47665</v>
      </c>
      <c r="D356">
        <v>1.6557663585551798</v>
      </c>
      <c r="J356" s="196">
        <v>47665</v>
      </c>
      <c r="K356">
        <v>1.6676664818306</v>
      </c>
    </row>
    <row r="357" spans="1:11" x14ac:dyDescent="0.2">
      <c r="A357"/>
      <c r="C357" s="196">
        <v>47696</v>
      </c>
      <c r="D357">
        <v>1.65575928398017</v>
      </c>
      <c r="J357" s="196">
        <v>47696</v>
      </c>
      <c r="K357">
        <v>1.6676232804158699</v>
      </c>
    </row>
    <row r="358" spans="1:11" x14ac:dyDescent="0.2">
      <c r="A358"/>
      <c r="C358" s="196">
        <v>47727</v>
      </c>
      <c r="D358">
        <v>1.6557506761116598</v>
      </c>
      <c r="J358" s="196">
        <v>47727</v>
      </c>
      <c r="K358">
        <v>1.6675781242310601</v>
      </c>
    </row>
    <row r="359" spans="1:11" x14ac:dyDescent="0.2">
      <c r="A359"/>
      <c r="C359" s="196">
        <v>47757</v>
      </c>
      <c r="D359">
        <v>1.65574088603833</v>
      </c>
      <c r="J359" s="196">
        <v>47757</v>
      </c>
      <c r="K359">
        <v>1.66753256365144</v>
      </c>
    </row>
    <row r="360" spans="1:11" x14ac:dyDescent="0.2">
      <c r="A360"/>
      <c r="C360" s="196">
        <v>47788</v>
      </c>
      <c r="D360">
        <v>1.6557292611151799</v>
      </c>
      <c r="J360" s="196">
        <v>47788</v>
      </c>
      <c r="K360">
        <v>1.6674835614723498</v>
      </c>
    </row>
    <row r="361" spans="1:11" x14ac:dyDescent="0.2">
      <c r="A361"/>
      <c r="C361" s="196">
        <v>47818</v>
      </c>
      <c r="D361">
        <v>1.65571655136647</v>
      </c>
      <c r="J361" s="196">
        <v>47818</v>
      </c>
      <c r="K361">
        <v>1.6674342792911998</v>
      </c>
    </row>
    <row r="362" spans="1:11" x14ac:dyDescent="0.2">
      <c r="A362"/>
      <c r="C362" s="196">
        <v>47849</v>
      </c>
      <c r="D362">
        <v>1.6557019095102798</v>
      </c>
      <c r="J362" s="196">
        <v>47849</v>
      </c>
      <c r="K362">
        <v>1.66738143180975</v>
      </c>
    </row>
    <row r="363" spans="1:11" x14ac:dyDescent="0.2">
      <c r="A363"/>
      <c r="C363" s="196">
        <v>47880</v>
      </c>
      <c r="D363">
        <v>1.6556857345156299</v>
      </c>
      <c r="J363" s="196">
        <v>47880</v>
      </c>
      <c r="K363">
        <v>1.6673266304402299</v>
      </c>
    </row>
    <row r="364" spans="1:11" x14ac:dyDescent="0.2">
      <c r="A364"/>
      <c r="C364" s="196">
        <v>47908</v>
      </c>
      <c r="D364">
        <v>1.6556698071143898</v>
      </c>
      <c r="J364" s="196">
        <v>47908</v>
      </c>
      <c r="K364">
        <v>1.6672754531860299</v>
      </c>
    </row>
    <row r="365" spans="1:11" x14ac:dyDescent="0.2">
      <c r="A365"/>
      <c r="C365" s="196">
        <v>47939</v>
      </c>
      <c r="D365">
        <v>1.6556507143363399</v>
      </c>
      <c r="J365" s="196">
        <v>47939</v>
      </c>
      <c r="K365">
        <v>1.66721693368202</v>
      </c>
    </row>
    <row r="366" spans="1:11" x14ac:dyDescent="0.2">
      <c r="A366"/>
      <c r="C366" s="196">
        <v>47969</v>
      </c>
      <c r="D366">
        <v>1.6556307778347199</v>
      </c>
      <c r="J366" s="196">
        <v>47969</v>
      </c>
      <c r="K366">
        <v>1.6671584421083898</v>
      </c>
    </row>
    <row r="367" spans="1:11" x14ac:dyDescent="0.2">
      <c r="A367"/>
      <c r="C367" s="196">
        <v>48000</v>
      </c>
      <c r="D367">
        <v>1.6556086685643199</v>
      </c>
      <c r="J367" s="196">
        <v>48000</v>
      </c>
      <c r="K367">
        <v>1.6670960792399798</v>
      </c>
    </row>
    <row r="368" spans="1:11" x14ac:dyDescent="0.2">
      <c r="A368"/>
      <c r="C368" s="196">
        <v>48030</v>
      </c>
      <c r="D368">
        <v>1.6555858129860299</v>
      </c>
      <c r="J368" s="196">
        <v>48030</v>
      </c>
      <c r="K368">
        <v>1.66703386869793</v>
      </c>
    </row>
    <row r="369" spans="1:11" x14ac:dyDescent="0.2">
      <c r="A369"/>
      <c r="C369" s="196">
        <v>48061</v>
      </c>
      <c r="D369">
        <v>1.6555606874576498</v>
      </c>
      <c r="J369" s="196">
        <v>48061</v>
      </c>
      <c r="K369">
        <v>1.6669676633389299</v>
      </c>
    </row>
    <row r="370" spans="1:11" x14ac:dyDescent="0.2">
      <c r="A370"/>
      <c r="C370" s="196">
        <v>48092</v>
      </c>
      <c r="D370">
        <v>1.6555340291770899</v>
      </c>
      <c r="J370" s="196">
        <v>48092</v>
      </c>
      <c r="K370">
        <v>1.6668995055904099</v>
      </c>
    </row>
    <row r="371" spans="1:11" x14ac:dyDescent="0.2">
      <c r="A371"/>
      <c r="C371" s="196">
        <v>48122</v>
      </c>
      <c r="D371">
        <v>1.6555067715257299</v>
      </c>
      <c r="J371" s="196">
        <v>48122</v>
      </c>
      <c r="K371">
        <v>1.6668316877757399</v>
      </c>
    </row>
    <row r="372" spans="1:11" x14ac:dyDescent="0.2">
      <c r="A372"/>
    </row>
    <row r="373" spans="1:11" x14ac:dyDescent="0.2">
      <c r="A373"/>
    </row>
    <row r="374" spans="1:11" x14ac:dyDescent="0.2">
      <c r="A374"/>
    </row>
    <row r="375" spans="1:11" x14ac:dyDescent="0.2">
      <c r="A375"/>
    </row>
    <row r="376" spans="1:11" x14ac:dyDescent="0.2">
      <c r="A376"/>
    </row>
    <row r="377" spans="1:11" x14ac:dyDescent="0.2">
      <c r="A377"/>
    </row>
    <row r="378" spans="1:11" x14ac:dyDescent="0.2">
      <c r="A378"/>
    </row>
    <row r="379" spans="1:11" x14ac:dyDescent="0.2">
      <c r="A379"/>
    </row>
    <row r="380" spans="1:11" x14ac:dyDescent="0.2">
      <c r="A380"/>
    </row>
    <row r="381" spans="1:11" x14ac:dyDescent="0.2">
      <c r="A381"/>
    </row>
    <row r="382" spans="1:11" x14ac:dyDescent="0.2">
      <c r="A382"/>
    </row>
    <row r="383" spans="1:11" x14ac:dyDescent="0.2">
      <c r="A383"/>
    </row>
    <row r="384" spans="1:11" x14ac:dyDescent="0.2">
      <c r="A384"/>
    </row>
    <row r="385" spans="1:1" x14ac:dyDescent="0.2">
      <c r="A385"/>
    </row>
    <row r="386" spans="1:1" x14ac:dyDescent="0.2">
      <c r="A386"/>
    </row>
    <row r="387" spans="1:1" x14ac:dyDescent="0.2">
      <c r="A387"/>
    </row>
    <row r="388" spans="1:1" x14ac:dyDescent="0.2">
      <c r="A388"/>
    </row>
    <row r="389" spans="1:1" x14ac:dyDescent="0.2">
      <c r="A389"/>
    </row>
    <row r="390" spans="1:1" x14ac:dyDescent="0.2">
      <c r="A390"/>
    </row>
    <row r="391" spans="1:1" x14ac:dyDescent="0.2">
      <c r="A391"/>
    </row>
    <row r="392" spans="1:1" x14ac:dyDescent="0.2">
      <c r="A392"/>
    </row>
    <row r="393" spans="1:1" x14ac:dyDescent="0.2">
      <c r="A393"/>
    </row>
    <row r="394" spans="1:1" x14ac:dyDescent="0.2">
      <c r="A394"/>
    </row>
    <row r="395" spans="1:1" x14ac:dyDescent="0.2">
      <c r="A395"/>
    </row>
    <row r="396" spans="1:1" x14ac:dyDescent="0.2">
      <c r="A396"/>
    </row>
    <row r="397" spans="1:1" x14ac:dyDescent="0.2">
      <c r="A397"/>
    </row>
    <row r="398" spans="1:1" x14ac:dyDescent="0.2">
      <c r="A398"/>
    </row>
    <row r="399" spans="1:1" x14ac:dyDescent="0.2">
      <c r="A399"/>
    </row>
    <row r="400" spans="1:1" x14ac:dyDescent="0.2">
      <c r="A400"/>
    </row>
    <row r="401" spans="1:1" x14ac:dyDescent="0.2">
      <c r="A401"/>
    </row>
    <row r="402" spans="1:1" x14ac:dyDescent="0.2">
      <c r="A402"/>
    </row>
    <row r="403" spans="1:1" x14ac:dyDescent="0.2">
      <c r="A403"/>
    </row>
    <row r="404" spans="1:1" x14ac:dyDescent="0.2">
      <c r="A404"/>
    </row>
    <row r="405" spans="1:1" x14ac:dyDescent="0.2">
      <c r="A405"/>
    </row>
    <row r="406" spans="1:1" x14ac:dyDescent="0.2">
      <c r="A406"/>
    </row>
    <row r="407" spans="1:1" x14ac:dyDescent="0.2">
      <c r="A407"/>
    </row>
    <row r="408" spans="1:1" x14ac:dyDescent="0.2">
      <c r="A408"/>
    </row>
    <row r="409" spans="1:1" x14ac:dyDescent="0.2">
      <c r="A409"/>
    </row>
    <row r="410" spans="1:1" x14ac:dyDescent="0.2">
      <c r="A410"/>
    </row>
    <row r="411" spans="1:1" x14ac:dyDescent="0.2">
      <c r="A411"/>
    </row>
    <row r="412" spans="1:1" x14ac:dyDescent="0.2">
      <c r="A412"/>
    </row>
    <row r="413" spans="1:1" x14ac:dyDescent="0.2">
      <c r="A413"/>
    </row>
    <row r="414" spans="1:1" x14ac:dyDescent="0.2">
      <c r="A414"/>
    </row>
    <row r="415" spans="1:1" x14ac:dyDescent="0.2">
      <c r="A415"/>
    </row>
    <row r="416" spans="1:1" x14ac:dyDescent="0.2">
      <c r="A416"/>
    </row>
    <row r="417" spans="1:1" x14ac:dyDescent="0.2">
      <c r="A417"/>
    </row>
    <row r="418" spans="1:1" x14ac:dyDescent="0.2">
      <c r="A418"/>
    </row>
    <row r="419" spans="1:1" x14ac:dyDescent="0.2">
      <c r="A419"/>
    </row>
    <row r="420" spans="1:1" x14ac:dyDescent="0.2">
      <c r="A420"/>
    </row>
    <row r="421" spans="1:1" x14ac:dyDescent="0.2">
      <c r="A421"/>
    </row>
    <row r="422" spans="1:1" x14ac:dyDescent="0.2">
      <c r="A422"/>
    </row>
    <row r="423" spans="1:1" x14ac:dyDescent="0.2">
      <c r="A423"/>
    </row>
    <row r="424" spans="1:1" x14ac:dyDescent="0.2">
      <c r="A424"/>
    </row>
    <row r="425" spans="1:1" x14ac:dyDescent="0.2">
      <c r="A425"/>
    </row>
    <row r="426" spans="1:1" x14ac:dyDescent="0.2">
      <c r="A426"/>
    </row>
    <row r="427" spans="1:1" x14ac:dyDescent="0.2">
      <c r="A427"/>
    </row>
    <row r="428" spans="1:1" x14ac:dyDescent="0.2">
      <c r="A428"/>
    </row>
    <row r="429" spans="1:1" x14ac:dyDescent="0.2">
      <c r="A429"/>
    </row>
    <row r="430" spans="1:1" x14ac:dyDescent="0.2">
      <c r="A430"/>
    </row>
    <row r="431" spans="1:1" x14ac:dyDescent="0.2">
      <c r="A431"/>
    </row>
    <row r="432" spans="1:1" x14ac:dyDescent="0.2">
      <c r="A432"/>
    </row>
    <row r="433" spans="1:1" x14ac:dyDescent="0.2">
      <c r="A433"/>
    </row>
    <row r="434" spans="1:1" x14ac:dyDescent="0.2">
      <c r="A434"/>
    </row>
    <row r="435" spans="1:1" x14ac:dyDescent="0.2">
      <c r="A435"/>
    </row>
    <row r="436" spans="1:1" x14ac:dyDescent="0.2">
      <c r="A436"/>
    </row>
    <row r="437" spans="1:1" x14ac:dyDescent="0.2">
      <c r="A437"/>
    </row>
    <row r="438" spans="1:1" x14ac:dyDescent="0.2">
      <c r="A438"/>
    </row>
    <row r="439" spans="1:1" x14ac:dyDescent="0.2">
      <c r="A439"/>
    </row>
    <row r="440" spans="1:1" x14ac:dyDescent="0.2">
      <c r="A440"/>
    </row>
    <row r="441" spans="1:1" x14ac:dyDescent="0.2">
      <c r="A441"/>
    </row>
    <row r="442" spans="1:1" x14ac:dyDescent="0.2">
      <c r="A442"/>
    </row>
    <row r="443" spans="1:1" x14ac:dyDescent="0.2">
      <c r="A443"/>
    </row>
    <row r="444" spans="1:1" x14ac:dyDescent="0.2">
      <c r="A444"/>
    </row>
    <row r="445" spans="1:1" x14ac:dyDescent="0.2">
      <c r="A445"/>
    </row>
    <row r="446" spans="1:1" x14ac:dyDescent="0.2">
      <c r="A446"/>
    </row>
    <row r="447" spans="1:1" x14ac:dyDescent="0.2">
      <c r="A447"/>
    </row>
    <row r="448" spans="1:1" x14ac:dyDescent="0.2">
      <c r="A448"/>
    </row>
    <row r="449" spans="1:1" x14ac:dyDescent="0.2">
      <c r="A449"/>
    </row>
    <row r="450" spans="1:1" x14ac:dyDescent="0.2">
      <c r="A450"/>
    </row>
    <row r="451" spans="1:1" x14ac:dyDescent="0.2">
      <c r="A451"/>
    </row>
    <row r="452" spans="1:1" x14ac:dyDescent="0.2">
      <c r="A452"/>
    </row>
    <row r="453" spans="1:1" x14ac:dyDescent="0.2">
      <c r="A453"/>
    </row>
    <row r="454" spans="1:1" x14ac:dyDescent="0.2">
      <c r="A454"/>
    </row>
    <row r="455" spans="1:1" x14ac:dyDescent="0.2">
      <c r="A455"/>
    </row>
    <row r="456" spans="1:1" x14ac:dyDescent="0.2">
      <c r="A456"/>
    </row>
    <row r="457" spans="1:1" x14ac:dyDescent="0.2">
      <c r="A457"/>
    </row>
    <row r="458" spans="1:1" x14ac:dyDescent="0.2">
      <c r="A458"/>
    </row>
    <row r="459" spans="1:1" x14ac:dyDescent="0.2">
      <c r="A459"/>
    </row>
    <row r="460" spans="1:1" x14ac:dyDescent="0.2">
      <c r="A460"/>
    </row>
    <row r="461" spans="1:1" x14ac:dyDescent="0.2">
      <c r="A461"/>
    </row>
    <row r="462" spans="1:1" x14ac:dyDescent="0.2">
      <c r="A462"/>
    </row>
    <row r="463" spans="1:1" x14ac:dyDescent="0.2">
      <c r="A463"/>
    </row>
    <row r="464" spans="1:1" x14ac:dyDescent="0.2">
      <c r="A464"/>
    </row>
    <row r="465" spans="1:1" x14ac:dyDescent="0.2">
      <c r="A465"/>
    </row>
    <row r="466" spans="1:1" x14ac:dyDescent="0.2">
      <c r="A466"/>
    </row>
    <row r="467" spans="1:1" x14ac:dyDescent="0.2">
      <c r="A467"/>
    </row>
    <row r="468" spans="1:1" x14ac:dyDescent="0.2">
      <c r="A468"/>
    </row>
    <row r="469" spans="1:1" x14ac:dyDescent="0.2">
      <c r="A469"/>
    </row>
    <row r="470" spans="1:1" x14ac:dyDescent="0.2">
      <c r="A470"/>
    </row>
    <row r="471" spans="1:1" x14ac:dyDescent="0.2">
      <c r="A471"/>
    </row>
    <row r="472" spans="1:1" x14ac:dyDescent="0.2">
      <c r="A472"/>
    </row>
    <row r="473" spans="1:1" x14ac:dyDescent="0.2">
      <c r="A473"/>
    </row>
    <row r="474" spans="1:1" x14ac:dyDescent="0.2">
      <c r="A474"/>
    </row>
    <row r="475" spans="1:1" x14ac:dyDescent="0.2">
      <c r="A475"/>
    </row>
    <row r="476" spans="1:1" x14ac:dyDescent="0.2">
      <c r="A476"/>
    </row>
    <row r="477" spans="1:1" x14ac:dyDescent="0.2">
      <c r="A477"/>
    </row>
    <row r="478" spans="1:1" x14ac:dyDescent="0.2">
      <c r="A478"/>
    </row>
    <row r="479" spans="1:1" x14ac:dyDescent="0.2">
      <c r="A479"/>
    </row>
    <row r="480" spans="1:1" x14ac:dyDescent="0.2">
      <c r="A480"/>
    </row>
    <row r="481" spans="1:1" x14ac:dyDescent="0.2">
      <c r="A481"/>
    </row>
    <row r="482" spans="1:1" x14ac:dyDescent="0.2">
      <c r="A482"/>
    </row>
    <row r="483" spans="1:1" x14ac:dyDescent="0.2">
      <c r="A483"/>
    </row>
    <row r="484" spans="1:1" x14ac:dyDescent="0.2">
      <c r="A484"/>
    </row>
    <row r="485" spans="1:1" x14ac:dyDescent="0.2">
      <c r="A485"/>
    </row>
    <row r="486" spans="1:1" x14ac:dyDescent="0.2">
      <c r="A486"/>
    </row>
    <row r="487" spans="1:1" x14ac:dyDescent="0.2">
      <c r="A487"/>
    </row>
    <row r="488" spans="1:1" x14ac:dyDescent="0.2">
      <c r="A488"/>
    </row>
    <row r="489" spans="1:1" x14ac:dyDescent="0.2">
      <c r="A489"/>
    </row>
    <row r="490" spans="1:1" x14ac:dyDescent="0.2">
      <c r="A490"/>
    </row>
    <row r="491" spans="1:1" x14ac:dyDescent="0.2">
      <c r="A491"/>
    </row>
    <row r="492" spans="1:1" x14ac:dyDescent="0.2">
      <c r="A492"/>
    </row>
    <row r="493" spans="1:1" x14ac:dyDescent="0.2">
      <c r="A493"/>
    </row>
    <row r="494" spans="1:1" x14ac:dyDescent="0.2">
      <c r="A494"/>
    </row>
    <row r="495" spans="1:1" x14ac:dyDescent="0.2">
      <c r="A495"/>
    </row>
    <row r="496" spans="1:1" x14ac:dyDescent="0.2">
      <c r="A496"/>
    </row>
    <row r="497" spans="1:1" x14ac:dyDescent="0.2">
      <c r="A497"/>
    </row>
    <row r="498" spans="1:1" x14ac:dyDescent="0.2">
      <c r="A498"/>
    </row>
    <row r="499" spans="1:1" x14ac:dyDescent="0.2">
      <c r="A499"/>
    </row>
    <row r="500" spans="1:1" x14ac:dyDescent="0.2">
      <c r="A500"/>
    </row>
    <row r="501" spans="1:1" x14ac:dyDescent="0.2">
      <c r="A501"/>
    </row>
    <row r="502" spans="1:1" x14ac:dyDescent="0.2">
      <c r="A502"/>
    </row>
    <row r="503" spans="1:1" x14ac:dyDescent="0.2">
      <c r="A503"/>
    </row>
    <row r="504" spans="1:1" x14ac:dyDescent="0.2">
      <c r="A504"/>
    </row>
    <row r="505" spans="1:1" x14ac:dyDescent="0.2">
      <c r="A505"/>
    </row>
    <row r="506" spans="1:1" x14ac:dyDescent="0.2">
      <c r="A506"/>
    </row>
    <row r="507" spans="1:1" x14ac:dyDescent="0.2">
      <c r="A507"/>
    </row>
    <row r="508" spans="1:1" x14ac:dyDescent="0.2">
      <c r="A508"/>
    </row>
    <row r="509" spans="1:1" x14ac:dyDescent="0.2">
      <c r="A509"/>
    </row>
    <row r="510" spans="1:1" x14ac:dyDescent="0.2">
      <c r="A510"/>
    </row>
    <row r="511" spans="1:1" x14ac:dyDescent="0.2">
      <c r="A511"/>
    </row>
    <row r="512" spans="1:1" x14ac:dyDescent="0.2">
      <c r="A512"/>
    </row>
    <row r="513" spans="1:1" x14ac:dyDescent="0.2">
      <c r="A513"/>
    </row>
    <row r="514" spans="1:1" x14ac:dyDescent="0.2">
      <c r="A514"/>
    </row>
    <row r="515" spans="1:1" x14ac:dyDescent="0.2">
      <c r="A515"/>
    </row>
    <row r="516" spans="1:1" x14ac:dyDescent="0.2">
      <c r="A516"/>
    </row>
    <row r="517" spans="1:1" x14ac:dyDescent="0.2">
      <c r="A517"/>
    </row>
    <row r="518" spans="1:1" x14ac:dyDescent="0.2">
      <c r="A518"/>
    </row>
    <row r="519" spans="1:1" x14ac:dyDescent="0.2">
      <c r="A519"/>
    </row>
    <row r="520" spans="1:1" x14ac:dyDescent="0.2">
      <c r="A520"/>
    </row>
    <row r="521" spans="1:1" x14ac:dyDescent="0.2">
      <c r="A521"/>
    </row>
    <row r="522" spans="1:1" x14ac:dyDescent="0.2">
      <c r="A522"/>
    </row>
    <row r="523" spans="1:1" x14ac:dyDescent="0.2">
      <c r="A523"/>
    </row>
    <row r="524" spans="1:1" x14ac:dyDescent="0.2">
      <c r="A524"/>
    </row>
    <row r="525" spans="1:1" x14ac:dyDescent="0.2">
      <c r="A525"/>
    </row>
    <row r="526" spans="1:1" x14ac:dyDescent="0.2">
      <c r="A526"/>
    </row>
    <row r="527" spans="1:1" x14ac:dyDescent="0.2">
      <c r="A527"/>
    </row>
    <row r="528" spans="1:1" x14ac:dyDescent="0.2">
      <c r="A528"/>
    </row>
    <row r="529" spans="1:1" x14ac:dyDescent="0.2">
      <c r="A529"/>
    </row>
    <row r="530" spans="1:1" x14ac:dyDescent="0.2">
      <c r="A530"/>
    </row>
    <row r="531" spans="1:1" x14ac:dyDescent="0.2">
      <c r="A531"/>
    </row>
    <row r="532" spans="1:1" x14ac:dyDescent="0.2">
      <c r="A532"/>
    </row>
    <row r="533" spans="1:1" x14ac:dyDescent="0.2">
      <c r="A533"/>
    </row>
    <row r="534" spans="1:1" x14ac:dyDescent="0.2">
      <c r="A534"/>
    </row>
    <row r="535" spans="1:1" x14ac:dyDescent="0.2">
      <c r="A535"/>
    </row>
    <row r="536" spans="1:1" x14ac:dyDescent="0.2">
      <c r="A536"/>
    </row>
    <row r="537" spans="1:1" x14ac:dyDescent="0.2">
      <c r="A537"/>
    </row>
    <row r="538" spans="1:1" x14ac:dyDescent="0.2">
      <c r="A538"/>
    </row>
    <row r="539" spans="1:1" x14ac:dyDescent="0.2">
      <c r="A539"/>
    </row>
    <row r="540" spans="1:1" x14ac:dyDescent="0.2">
      <c r="A540"/>
    </row>
    <row r="541" spans="1:1" x14ac:dyDescent="0.2">
      <c r="A541"/>
    </row>
    <row r="542" spans="1:1" x14ac:dyDescent="0.2">
      <c r="A542"/>
    </row>
    <row r="543" spans="1:1" x14ac:dyDescent="0.2">
      <c r="A543"/>
    </row>
    <row r="544" spans="1:1" x14ac:dyDescent="0.2">
      <c r="A544"/>
    </row>
    <row r="545" spans="1:1" x14ac:dyDescent="0.2">
      <c r="A545"/>
    </row>
    <row r="546" spans="1:1" x14ac:dyDescent="0.2">
      <c r="A546"/>
    </row>
    <row r="547" spans="1:1" x14ac:dyDescent="0.2">
      <c r="A547"/>
    </row>
    <row r="548" spans="1:1" x14ac:dyDescent="0.2">
      <c r="A548"/>
    </row>
    <row r="549" spans="1:1" x14ac:dyDescent="0.2">
      <c r="A549"/>
    </row>
    <row r="550" spans="1:1" x14ac:dyDescent="0.2">
      <c r="A550"/>
    </row>
    <row r="551" spans="1:1" x14ac:dyDescent="0.2">
      <c r="A551"/>
    </row>
    <row r="552" spans="1:1" x14ac:dyDescent="0.2">
      <c r="A552"/>
    </row>
    <row r="553" spans="1:1" x14ac:dyDescent="0.2">
      <c r="A553"/>
    </row>
    <row r="554" spans="1:1" x14ac:dyDescent="0.2">
      <c r="A554"/>
    </row>
    <row r="555" spans="1:1" x14ac:dyDescent="0.2">
      <c r="A555"/>
    </row>
    <row r="556" spans="1:1" x14ac:dyDescent="0.2">
      <c r="A556"/>
    </row>
    <row r="557" spans="1:1" x14ac:dyDescent="0.2">
      <c r="A557"/>
    </row>
    <row r="558" spans="1:1" x14ac:dyDescent="0.2">
      <c r="A558"/>
    </row>
    <row r="559" spans="1:1" x14ac:dyDescent="0.2">
      <c r="A559"/>
    </row>
    <row r="560" spans="1:1" x14ac:dyDescent="0.2">
      <c r="A560"/>
    </row>
    <row r="561" spans="1:1" x14ac:dyDescent="0.2">
      <c r="A561"/>
    </row>
    <row r="562" spans="1:1" x14ac:dyDescent="0.2">
      <c r="A562"/>
    </row>
    <row r="563" spans="1:1" x14ac:dyDescent="0.2">
      <c r="A563"/>
    </row>
    <row r="564" spans="1:1" x14ac:dyDescent="0.2">
      <c r="A564"/>
    </row>
    <row r="565" spans="1:1" x14ac:dyDescent="0.2">
      <c r="A565"/>
    </row>
    <row r="566" spans="1:1" x14ac:dyDescent="0.2">
      <c r="A566"/>
    </row>
    <row r="567" spans="1:1" x14ac:dyDescent="0.2">
      <c r="A567"/>
    </row>
    <row r="568" spans="1:1" x14ac:dyDescent="0.2">
      <c r="A568"/>
    </row>
    <row r="569" spans="1:1" x14ac:dyDescent="0.2">
      <c r="A569"/>
    </row>
    <row r="570" spans="1:1" x14ac:dyDescent="0.2">
      <c r="A570"/>
    </row>
    <row r="571" spans="1:1" x14ac:dyDescent="0.2">
      <c r="A571"/>
    </row>
    <row r="572" spans="1:1" x14ac:dyDescent="0.2">
      <c r="A572"/>
    </row>
    <row r="573" spans="1:1" x14ac:dyDescent="0.2">
      <c r="A573"/>
    </row>
    <row r="574" spans="1:1" x14ac:dyDescent="0.2">
      <c r="A574"/>
    </row>
    <row r="575" spans="1:1" x14ac:dyDescent="0.2">
      <c r="A575"/>
    </row>
    <row r="576" spans="1:1" x14ac:dyDescent="0.2">
      <c r="A576"/>
    </row>
    <row r="577" spans="1:1" x14ac:dyDescent="0.2">
      <c r="A577"/>
    </row>
    <row r="578" spans="1:1" x14ac:dyDescent="0.2">
      <c r="A578"/>
    </row>
    <row r="579" spans="1:1" x14ac:dyDescent="0.2">
      <c r="A579"/>
    </row>
    <row r="580" spans="1:1" x14ac:dyDescent="0.2">
      <c r="A580"/>
    </row>
    <row r="581" spans="1:1" x14ac:dyDescent="0.2">
      <c r="A581"/>
    </row>
    <row r="582" spans="1:1" x14ac:dyDescent="0.2">
      <c r="A582"/>
    </row>
    <row r="583" spans="1:1" x14ac:dyDescent="0.2">
      <c r="A583"/>
    </row>
    <row r="584" spans="1:1" x14ac:dyDescent="0.2">
      <c r="A584"/>
    </row>
    <row r="585" spans="1:1" x14ac:dyDescent="0.2">
      <c r="A585"/>
    </row>
    <row r="586" spans="1:1" x14ac:dyDescent="0.2">
      <c r="A586"/>
    </row>
    <row r="587" spans="1:1" x14ac:dyDescent="0.2">
      <c r="A587"/>
    </row>
    <row r="588" spans="1:1" x14ac:dyDescent="0.2">
      <c r="A588"/>
    </row>
    <row r="589" spans="1:1" x14ac:dyDescent="0.2">
      <c r="A589"/>
    </row>
    <row r="590" spans="1:1" x14ac:dyDescent="0.2">
      <c r="A590"/>
    </row>
    <row r="591" spans="1:1" x14ac:dyDescent="0.2">
      <c r="A591"/>
    </row>
    <row r="592" spans="1:1" x14ac:dyDescent="0.2">
      <c r="A592"/>
    </row>
    <row r="593" spans="1:1" x14ac:dyDescent="0.2">
      <c r="A593"/>
    </row>
    <row r="594" spans="1:1" x14ac:dyDescent="0.2">
      <c r="A594"/>
    </row>
    <row r="595" spans="1:1" x14ac:dyDescent="0.2">
      <c r="A595"/>
    </row>
    <row r="596" spans="1:1" x14ac:dyDescent="0.2">
      <c r="A596"/>
    </row>
    <row r="597" spans="1:1" x14ac:dyDescent="0.2">
      <c r="A597"/>
    </row>
    <row r="598" spans="1:1" x14ac:dyDescent="0.2">
      <c r="A598"/>
    </row>
    <row r="599" spans="1:1" x14ac:dyDescent="0.2">
      <c r="A599"/>
    </row>
    <row r="600" spans="1:1" x14ac:dyDescent="0.2">
      <c r="A600"/>
    </row>
    <row r="601" spans="1:1" x14ac:dyDescent="0.2">
      <c r="A601"/>
    </row>
    <row r="602" spans="1:1" x14ac:dyDescent="0.2">
      <c r="A602"/>
    </row>
    <row r="603" spans="1:1" x14ac:dyDescent="0.2">
      <c r="A603"/>
    </row>
    <row r="604" spans="1:1" x14ac:dyDescent="0.2">
      <c r="A604"/>
    </row>
    <row r="605" spans="1:1" x14ac:dyDescent="0.2">
      <c r="A605"/>
    </row>
    <row r="606" spans="1:1" x14ac:dyDescent="0.2">
      <c r="A606"/>
    </row>
    <row r="607" spans="1:1" x14ac:dyDescent="0.2">
      <c r="A607"/>
    </row>
    <row r="608" spans="1:1" x14ac:dyDescent="0.2">
      <c r="A608"/>
    </row>
    <row r="609" spans="1:1" x14ac:dyDescent="0.2">
      <c r="A609"/>
    </row>
    <row r="610" spans="1:1" x14ac:dyDescent="0.2">
      <c r="A610"/>
    </row>
    <row r="611" spans="1:1" x14ac:dyDescent="0.2">
      <c r="A611"/>
    </row>
    <row r="612" spans="1:1" x14ac:dyDescent="0.2">
      <c r="A612"/>
    </row>
    <row r="613" spans="1:1" x14ac:dyDescent="0.2">
      <c r="A613"/>
    </row>
    <row r="614" spans="1:1" x14ac:dyDescent="0.2">
      <c r="A614"/>
    </row>
    <row r="615" spans="1:1" x14ac:dyDescent="0.2">
      <c r="A615"/>
    </row>
    <row r="616" spans="1:1" x14ac:dyDescent="0.2">
      <c r="A616"/>
    </row>
    <row r="617" spans="1:1" x14ac:dyDescent="0.2">
      <c r="A617"/>
    </row>
    <row r="618" spans="1:1" x14ac:dyDescent="0.2">
      <c r="A618"/>
    </row>
    <row r="619" spans="1:1" x14ac:dyDescent="0.2">
      <c r="A619"/>
    </row>
    <row r="620" spans="1:1" x14ac:dyDescent="0.2">
      <c r="A620"/>
    </row>
    <row r="621" spans="1:1" x14ac:dyDescent="0.2">
      <c r="A621"/>
    </row>
    <row r="622" spans="1:1" x14ac:dyDescent="0.2">
      <c r="A622"/>
    </row>
    <row r="623" spans="1:1" x14ac:dyDescent="0.2">
      <c r="A623"/>
    </row>
    <row r="624" spans="1:1" x14ac:dyDescent="0.2">
      <c r="A624"/>
    </row>
    <row r="625" spans="1:1" x14ac:dyDescent="0.2">
      <c r="A625"/>
    </row>
    <row r="626" spans="1:1" x14ac:dyDescent="0.2">
      <c r="A626"/>
    </row>
    <row r="627" spans="1:1" x14ac:dyDescent="0.2">
      <c r="A627"/>
    </row>
    <row r="628" spans="1:1" x14ac:dyDescent="0.2">
      <c r="A628"/>
    </row>
    <row r="629" spans="1:1" x14ac:dyDescent="0.2">
      <c r="A629"/>
    </row>
    <row r="630" spans="1:1" x14ac:dyDescent="0.2">
      <c r="A630"/>
    </row>
    <row r="631" spans="1:1" x14ac:dyDescent="0.2">
      <c r="A631"/>
    </row>
    <row r="632" spans="1:1" x14ac:dyDescent="0.2">
      <c r="A632"/>
    </row>
    <row r="633" spans="1:1" x14ac:dyDescent="0.2">
      <c r="A633"/>
    </row>
    <row r="634" spans="1:1" x14ac:dyDescent="0.2">
      <c r="A634"/>
    </row>
    <row r="635" spans="1:1" x14ac:dyDescent="0.2">
      <c r="A635"/>
    </row>
    <row r="636" spans="1:1" x14ac:dyDescent="0.2">
      <c r="A636"/>
    </row>
    <row r="637" spans="1:1" x14ac:dyDescent="0.2">
      <c r="A637"/>
    </row>
    <row r="638" spans="1:1" x14ac:dyDescent="0.2">
      <c r="A638"/>
    </row>
    <row r="639" spans="1:1" x14ac:dyDescent="0.2">
      <c r="A639"/>
    </row>
    <row r="640" spans="1:1" x14ac:dyDescent="0.2">
      <c r="A640"/>
    </row>
    <row r="641" spans="1:1" x14ac:dyDescent="0.2">
      <c r="A641"/>
    </row>
    <row r="642" spans="1:1" x14ac:dyDescent="0.2">
      <c r="A642"/>
    </row>
    <row r="643" spans="1:1" x14ac:dyDescent="0.2">
      <c r="A643"/>
    </row>
    <row r="644" spans="1:1" x14ac:dyDescent="0.2">
      <c r="A644"/>
    </row>
    <row r="645" spans="1:1" x14ac:dyDescent="0.2">
      <c r="A645"/>
    </row>
    <row r="646" spans="1:1" x14ac:dyDescent="0.2">
      <c r="A646"/>
    </row>
    <row r="647" spans="1:1" x14ac:dyDescent="0.2">
      <c r="A647"/>
    </row>
    <row r="648" spans="1:1" x14ac:dyDescent="0.2">
      <c r="A648"/>
    </row>
    <row r="649" spans="1:1" x14ac:dyDescent="0.2">
      <c r="A649"/>
    </row>
    <row r="650" spans="1:1" x14ac:dyDescent="0.2">
      <c r="A650"/>
    </row>
    <row r="651" spans="1:1" x14ac:dyDescent="0.2">
      <c r="A651"/>
    </row>
    <row r="652" spans="1:1" x14ac:dyDescent="0.2">
      <c r="A652"/>
    </row>
    <row r="653" spans="1:1" x14ac:dyDescent="0.2">
      <c r="A653"/>
    </row>
    <row r="654" spans="1:1" x14ac:dyDescent="0.2">
      <c r="A654"/>
    </row>
    <row r="655" spans="1:1" x14ac:dyDescent="0.2">
      <c r="A655"/>
    </row>
    <row r="656" spans="1:1" x14ac:dyDescent="0.2">
      <c r="A656"/>
    </row>
    <row r="657" spans="1:1" x14ac:dyDescent="0.2">
      <c r="A657"/>
    </row>
    <row r="658" spans="1:1" x14ac:dyDescent="0.2">
      <c r="A658"/>
    </row>
    <row r="659" spans="1:1" x14ac:dyDescent="0.2">
      <c r="A659"/>
    </row>
    <row r="660" spans="1:1" x14ac:dyDescent="0.2">
      <c r="A660"/>
    </row>
    <row r="661" spans="1:1" x14ac:dyDescent="0.2">
      <c r="A661"/>
    </row>
    <row r="662" spans="1:1" x14ac:dyDescent="0.2">
      <c r="A662"/>
    </row>
    <row r="663" spans="1:1" x14ac:dyDescent="0.2">
      <c r="A663"/>
    </row>
    <row r="664" spans="1:1" x14ac:dyDescent="0.2">
      <c r="A664"/>
    </row>
    <row r="665" spans="1:1" x14ac:dyDescent="0.2">
      <c r="A665"/>
    </row>
    <row r="666" spans="1:1" x14ac:dyDescent="0.2">
      <c r="A666"/>
    </row>
    <row r="667" spans="1:1" x14ac:dyDescent="0.2">
      <c r="A667"/>
    </row>
    <row r="668" spans="1:1" x14ac:dyDescent="0.2">
      <c r="A668"/>
    </row>
    <row r="669" spans="1:1" x14ac:dyDescent="0.2">
      <c r="A669"/>
    </row>
    <row r="670" spans="1:1" x14ac:dyDescent="0.2">
      <c r="A670"/>
    </row>
    <row r="671" spans="1:1" x14ac:dyDescent="0.2">
      <c r="A671"/>
    </row>
    <row r="672" spans="1:1" x14ac:dyDescent="0.2">
      <c r="A672"/>
    </row>
    <row r="673" spans="1:1" x14ac:dyDescent="0.2">
      <c r="A673"/>
    </row>
    <row r="674" spans="1:1" x14ac:dyDescent="0.2">
      <c r="A674"/>
    </row>
    <row r="675" spans="1:1" x14ac:dyDescent="0.2">
      <c r="A675"/>
    </row>
    <row r="676" spans="1:1" x14ac:dyDescent="0.2">
      <c r="A676"/>
    </row>
    <row r="677" spans="1:1" x14ac:dyDescent="0.2">
      <c r="A677"/>
    </row>
    <row r="678" spans="1:1" x14ac:dyDescent="0.2">
      <c r="A678"/>
    </row>
    <row r="679" spans="1:1" x14ac:dyDescent="0.2">
      <c r="A679"/>
    </row>
    <row r="680" spans="1:1" x14ac:dyDescent="0.2">
      <c r="A680"/>
    </row>
    <row r="681" spans="1:1" x14ac:dyDescent="0.2">
      <c r="A681"/>
    </row>
    <row r="682" spans="1:1" x14ac:dyDescent="0.2">
      <c r="A682"/>
    </row>
    <row r="683" spans="1:1" x14ac:dyDescent="0.2">
      <c r="A683"/>
    </row>
    <row r="684" spans="1:1" x14ac:dyDescent="0.2">
      <c r="A684"/>
    </row>
    <row r="685" spans="1:1" x14ac:dyDescent="0.2">
      <c r="A685"/>
    </row>
    <row r="686" spans="1:1" x14ac:dyDescent="0.2">
      <c r="A686"/>
    </row>
    <row r="687" spans="1:1" x14ac:dyDescent="0.2">
      <c r="A687"/>
    </row>
    <row r="688" spans="1:1" x14ac:dyDescent="0.2">
      <c r="A688"/>
    </row>
    <row r="689" spans="1:1" x14ac:dyDescent="0.2">
      <c r="A689"/>
    </row>
    <row r="690" spans="1:1" x14ac:dyDescent="0.2">
      <c r="A690"/>
    </row>
    <row r="691" spans="1:1" x14ac:dyDescent="0.2">
      <c r="A691"/>
    </row>
    <row r="692" spans="1:1" x14ac:dyDescent="0.2">
      <c r="A692"/>
    </row>
    <row r="693" spans="1:1" x14ac:dyDescent="0.2">
      <c r="A693"/>
    </row>
    <row r="694" spans="1:1" x14ac:dyDescent="0.2">
      <c r="A694"/>
    </row>
    <row r="695" spans="1:1" x14ac:dyDescent="0.2">
      <c r="A695"/>
    </row>
    <row r="696" spans="1:1" x14ac:dyDescent="0.2">
      <c r="A696"/>
    </row>
    <row r="697" spans="1:1" x14ac:dyDescent="0.2">
      <c r="A697"/>
    </row>
    <row r="698" spans="1:1" x14ac:dyDescent="0.2">
      <c r="A698"/>
    </row>
    <row r="699" spans="1:1" x14ac:dyDescent="0.2">
      <c r="A699"/>
    </row>
    <row r="700" spans="1:1" x14ac:dyDescent="0.2">
      <c r="A700"/>
    </row>
    <row r="701" spans="1:1" x14ac:dyDescent="0.2">
      <c r="A701"/>
    </row>
    <row r="702" spans="1:1" x14ac:dyDescent="0.2">
      <c r="A702"/>
    </row>
    <row r="703" spans="1:1" x14ac:dyDescent="0.2">
      <c r="A703"/>
    </row>
    <row r="704" spans="1:1" x14ac:dyDescent="0.2">
      <c r="A704"/>
    </row>
    <row r="705" spans="1:1" x14ac:dyDescent="0.2">
      <c r="A705"/>
    </row>
    <row r="706" spans="1:1" x14ac:dyDescent="0.2">
      <c r="A706"/>
    </row>
    <row r="707" spans="1:1" x14ac:dyDescent="0.2">
      <c r="A707"/>
    </row>
    <row r="708" spans="1:1" x14ac:dyDescent="0.2">
      <c r="A708"/>
    </row>
    <row r="709" spans="1:1" x14ac:dyDescent="0.2">
      <c r="A709"/>
    </row>
    <row r="710" spans="1:1" x14ac:dyDescent="0.2">
      <c r="A710"/>
    </row>
    <row r="711" spans="1:1" x14ac:dyDescent="0.2">
      <c r="A711"/>
    </row>
    <row r="712" spans="1:1" x14ac:dyDescent="0.2">
      <c r="A712"/>
    </row>
    <row r="713" spans="1:1" x14ac:dyDescent="0.2">
      <c r="A713"/>
    </row>
    <row r="714" spans="1:1" x14ac:dyDescent="0.2">
      <c r="A714"/>
    </row>
    <row r="715" spans="1:1" x14ac:dyDescent="0.2">
      <c r="A715"/>
    </row>
    <row r="716" spans="1:1" x14ac:dyDescent="0.2">
      <c r="A716"/>
    </row>
    <row r="717" spans="1:1" x14ac:dyDescent="0.2">
      <c r="A717"/>
    </row>
    <row r="718" spans="1:1" x14ac:dyDescent="0.2">
      <c r="A718"/>
    </row>
    <row r="719" spans="1:1" x14ac:dyDescent="0.2">
      <c r="A719"/>
    </row>
    <row r="720" spans="1:1" x14ac:dyDescent="0.2">
      <c r="A720"/>
    </row>
    <row r="721" spans="1:1" x14ac:dyDescent="0.2">
      <c r="A721"/>
    </row>
    <row r="722" spans="1:1" x14ac:dyDescent="0.2">
      <c r="A722"/>
    </row>
    <row r="723" spans="1:1" x14ac:dyDescent="0.2">
      <c r="A723"/>
    </row>
    <row r="724" spans="1:1" x14ac:dyDescent="0.2">
      <c r="A724"/>
    </row>
    <row r="725" spans="1:1" x14ac:dyDescent="0.2">
      <c r="A725"/>
    </row>
    <row r="726" spans="1:1" x14ac:dyDescent="0.2">
      <c r="A726"/>
    </row>
    <row r="727" spans="1:1" x14ac:dyDescent="0.2">
      <c r="A727"/>
    </row>
    <row r="728" spans="1:1" x14ac:dyDescent="0.2">
      <c r="A728"/>
    </row>
    <row r="729" spans="1:1" x14ac:dyDescent="0.2">
      <c r="A729"/>
    </row>
    <row r="730" spans="1:1" x14ac:dyDescent="0.2">
      <c r="A730"/>
    </row>
    <row r="731" spans="1:1" x14ac:dyDescent="0.2">
      <c r="A731"/>
    </row>
    <row r="732" spans="1:1" x14ac:dyDescent="0.2">
      <c r="A732"/>
    </row>
    <row r="733" spans="1:1" x14ac:dyDescent="0.2">
      <c r="A733"/>
    </row>
    <row r="734" spans="1:1" x14ac:dyDescent="0.2">
      <c r="A734"/>
    </row>
    <row r="735" spans="1:1" x14ac:dyDescent="0.2">
      <c r="A735"/>
    </row>
    <row r="736" spans="1:1" x14ac:dyDescent="0.2">
      <c r="A736"/>
    </row>
    <row r="737" spans="1:1" x14ac:dyDescent="0.2">
      <c r="A737"/>
    </row>
    <row r="738" spans="1:1" x14ac:dyDescent="0.2">
      <c r="A738"/>
    </row>
    <row r="739" spans="1:1" x14ac:dyDescent="0.2">
      <c r="A739"/>
    </row>
    <row r="740" spans="1:1" x14ac:dyDescent="0.2">
      <c r="A740"/>
    </row>
    <row r="741" spans="1:1" x14ac:dyDescent="0.2">
      <c r="A741"/>
    </row>
    <row r="742" spans="1:1" x14ac:dyDescent="0.2">
      <c r="A742"/>
    </row>
    <row r="743" spans="1:1" x14ac:dyDescent="0.2">
      <c r="A743"/>
    </row>
    <row r="744" spans="1:1" x14ac:dyDescent="0.2">
      <c r="A744"/>
    </row>
    <row r="745" spans="1:1" x14ac:dyDescent="0.2">
      <c r="A745"/>
    </row>
    <row r="746" spans="1:1" x14ac:dyDescent="0.2">
      <c r="A746"/>
    </row>
    <row r="747" spans="1:1" x14ac:dyDescent="0.2">
      <c r="A747"/>
    </row>
    <row r="748" spans="1:1" x14ac:dyDescent="0.2">
      <c r="A748"/>
    </row>
    <row r="749" spans="1:1" x14ac:dyDescent="0.2">
      <c r="A749"/>
    </row>
    <row r="750" spans="1:1" x14ac:dyDescent="0.2">
      <c r="A750"/>
    </row>
    <row r="751" spans="1:1" x14ac:dyDescent="0.2">
      <c r="A751"/>
    </row>
    <row r="752" spans="1:1" x14ac:dyDescent="0.2">
      <c r="A752"/>
    </row>
    <row r="753" spans="1:1" x14ac:dyDescent="0.2">
      <c r="A753"/>
    </row>
    <row r="754" spans="1:1" x14ac:dyDescent="0.2">
      <c r="A754"/>
    </row>
    <row r="755" spans="1:1" x14ac:dyDescent="0.2">
      <c r="A755"/>
    </row>
    <row r="756" spans="1:1" x14ac:dyDescent="0.2">
      <c r="A756"/>
    </row>
    <row r="757" spans="1:1" x14ac:dyDescent="0.2">
      <c r="A757"/>
    </row>
    <row r="758" spans="1:1" x14ac:dyDescent="0.2">
      <c r="A758"/>
    </row>
    <row r="759" spans="1:1" x14ac:dyDescent="0.2">
      <c r="A759"/>
    </row>
    <row r="760" spans="1:1" x14ac:dyDescent="0.2">
      <c r="A760"/>
    </row>
    <row r="761" spans="1:1" x14ac:dyDescent="0.2">
      <c r="A761"/>
    </row>
    <row r="762" spans="1:1" x14ac:dyDescent="0.2">
      <c r="A762"/>
    </row>
    <row r="763" spans="1:1" x14ac:dyDescent="0.2">
      <c r="A763"/>
    </row>
    <row r="764" spans="1:1" x14ac:dyDescent="0.2">
      <c r="A764"/>
    </row>
    <row r="765" spans="1:1" x14ac:dyDescent="0.2">
      <c r="A765"/>
    </row>
    <row r="766" spans="1:1" x14ac:dyDescent="0.2">
      <c r="A766"/>
    </row>
    <row r="767" spans="1:1" x14ac:dyDescent="0.2">
      <c r="A767"/>
    </row>
    <row r="768" spans="1:1" x14ac:dyDescent="0.2">
      <c r="A768"/>
    </row>
    <row r="769" spans="1:1" x14ac:dyDescent="0.2">
      <c r="A769"/>
    </row>
    <row r="770" spans="1:1" x14ac:dyDescent="0.2">
      <c r="A770"/>
    </row>
    <row r="771" spans="1:1" x14ac:dyDescent="0.2">
      <c r="A771"/>
    </row>
    <row r="772" spans="1:1" x14ac:dyDescent="0.2">
      <c r="A772"/>
    </row>
    <row r="773" spans="1:1" x14ac:dyDescent="0.2">
      <c r="A773"/>
    </row>
    <row r="774" spans="1:1" x14ac:dyDescent="0.2">
      <c r="A774"/>
    </row>
    <row r="775" spans="1:1" x14ac:dyDescent="0.2">
      <c r="A775"/>
    </row>
    <row r="776" spans="1:1" x14ac:dyDescent="0.2">
      <c r="A776"/>
    </row>
    <row r="777" spans="1:1" x14ac:dyDescent="0.2">
      <c r="A777"/>
    </row>
    <row r="778" spans="1:1" x14ac:dyDescent="0.2">
      <c r="A778"/>
    </row>
    <row r="779" spans="1:1" x14ac:dyDescent="0.2">
      <c r="A779"/>
    </row>
    <row r="780" spans="1:1" x14ac:dyDescent="0.2">
      <c r="A780"/>
    </row>
    <row r="781" spans="1:1" x14ac:dyDescent="0.2">
      <c r="A781"/>
    </row>
    <row r="782" spans="1:1" x14ac:dyDescent="0.2">
      <c r="A782"/>
    </row>
    <row r="783" spans="1:1" x14ac:dyDescent="0.2">
      <c r="A783"/>
    </row>
    <row r="784" spans="1:1" x14ac:dyDescent="0.2">
      <c r="A784"/>
    </row>
    <row r="785" spans="1:1" x14ac:dyDescent="0.2">
      <c r="A785"/>
    </row>
    <row r="786" spans="1:1" x14ac:dyDescent="0.2">
      <c r="A786"/>
    </row>
    <row r="787" spans="1:1" x14ac:dyDescent="0.2">
      <c r="A787"/>
    </row>
    <row r="788" spans="1:1" x14ac:dyDescent="0.2">
      <c r="A788"/>
    </row>
    <row r="789" spans="1:1" x14ac:dyDescent="0.2">
      <c r="A789"/>
    </row>
    <row r="790" spans="1:1" x14ac:dyDescent="0.2">
      <c r="A790"/>
    </row>
    <row r="791" spans="1:1" x14ac:dyDescent="0.2">
      <c r="A791"/>
    </row>
    <row r="792" spans="1:1" x14ac:dyDescent="0.2">
      <c r="A792"/>
    </row>
    <row r="793" spans="1:1" x14ac:dyDescent="0.2">
      <c r="A793"/>
    </row>
    <row r="794" spans="1:1" x14ac:dyDescent="0.2">
      <c r="A794"/>
    </row>
    <row r="795" spans="1:1" x14ac:dyDescent="0.2">
      <c r="A795"/>
    </row>
    <row r="796" spans="1:1" x14ac:dyDescent="0.2">
      <c r="A796"/>
    </row>
    <row r="797" spans="1:1" x14ac:dyDescent="0.2">
      <c r="A797"/>
    </row>
    <row r="798" spans="1:1" x14ac:dyDescent="0.2">
      <c r="A798"/>
    </row>
    <row r="799" spans="1:1" x14ac:dyDescent="0.2">
      <c r="A799"/>
    </row>
    <row r="800" spans="1:1" x14ac:dyDescent="0.2">
      <c r="A800"/>
    </row>
    <row r="801" spans="1:1" x14ac:dyDescent="0.2">
      <c r="A801"/>
    </row>
    <row r="802" spans="1:1" x14ac:dyDescent="0.2">
      <c r="A802"/>
    </row>
    <row r="803" spans="1:1" x14ac:dyDescent="0.2">
      <c r="A803"/>
    </row>
    <row r="804" spans="1:1" x14ac:dyDescent="0.2">
      <c r="A804"/>
    </row>
    <row r="805" spans="1:1" x14ac:dyDescent="0.2">
      <c r="A805"/>
    </row>
    <row r="806" spans="1:1" x14ac:dyDescent="0.2">
      <c r="A806"/>
    </row>
    <row r="807" spans="1:1" x14ac:dyDescent="0.2">
      <c r="A807"/>
    </row>
    <row r="808" spans="1:1" x14ac:dyDescent="0.2">
      <c r="A808"/>
    </row>
    <row r="809" spans="1:1" x14ac:dyDescent="0.2">
      <c r="A809"/>
    </row>
    <row r="810" spans="1:1" x14ac:dyDescent="0.2">
      <c r="A810"/>
    </row>
    <row r="811" spans="1:1" x14ac:dyDescent="0.2">
      <c r="A811"/>
    </row>
    <row r="812" spans="1:1" x14ac:dyDescent="0.2">
      <c r="A812"/>
    </row>
    <row r="813" spans="1:1" x14ac:dyDescent="0.2">
      <c r="A813"/>
    </row>
    <row r="814" spans="1:1" x14ac:dyDescent="0.2">
      <c r="A814"/>
    </row>
    <row r="815" spans="1:1" x14ac:dyDescent="0.2">
      <c r="A815"/>
    </row>
    <row r="816" spans="1:1" x14ac:dyDescent="0.2">
      <c r="A816"/>
    </row>
    <row r="817" spans="1:1" x14ac:dyDescent="0.2">
      <c r="A817"/>
    </row>
    <row r="818" spans="1:1" x14ac:dyDescent="0.2">
      <c r="A818"/>
    </row>
    <row r="819" spans="1:1" x14ac:dyDescent="0.2">
      <c r="A819"/>
    </row>
    <row r="820" spans="1:1" x14ac:dyDescent="0.2">
      <c r="A820"/>
    </row>
    <row r="821" spans="1:1" x14ac:dyDescent="0.2">
      <c r="A821"/>
    </row>
    <row r="822" spans="1:1" x14ac:dyDescent="0.2">
      <c r="A822"/>
    </row>
    <row r="823" spans="1:1" x14ac:dyDescent="0.2">
      <c r="A823"/>
    </row>
    <row r="824" spans="1:1" x14ac:dyDescent="0.2">
      <c r="A824"/>
    </row>
    <row r="825" spans="1:1" x14ac:dyDescent="0.2">
      <c r="A825"/>
    </row>
    <row r="826" spans="1:1" x14ac:dyDescent="0.2">
      <c r="A826"/>
    </row>
    <row r="827" spans="1:1" x14ac:dyDescent="0.2">
      <c r="A827"/>
    </row>
    <row r="828" spans="1:1" x14ac:dyDescent="0.2">
      <c r="A828"/>
    </row>
    <row r="829" spans="1:1" x14ac:dyDescent="0.2">
      <c r="A829"/>
    </row>
    <row r="830" spans="1:1" x14ac:dyDescent="0.2">
      <c r="A830"/>
    </row>
    <row r="831" spans="1:1" x14ac:dyDescent="0.2">
      <c r="A831"/>
    </row>
    <row r="832" spans="1:1" x14ac:dyDescent="0.2">
      <c r="A832"/>
    </row>
    <row r="833" spans="1:1" x14ac:dyDescent="0.2">
      <c r="A833"/>
    </row>
    <row r="834" spans="1:1" x14ac:dyDescent="0.2">
      <c r="A834"/>
    </row>
    <row r="835" spans="1:1" x14ac:dyDescent="0.2">
      <c r="A835"/>
    </row>
    <row r="836" spans="1:1" x14ac:dyDescent="0.2">
      <c r="A836"/>
    </row>
    <row r="837" spans="1:1" x14ac:dyDescent="0.2">
      <c r="A837"/>
    </row>
    <row r="838" spans="1:1" x14ac:dyDescent="0.2">
      <c r="A838"/>
    </row>
    <row r="839" spans="1:1" x14ac:dyDescent="0.2">
      <c r="A839"/>
    </row>
    <row r="840" spans="1:1" x14ac:dyDescent="0.2">
      <c r="A840"/>
    </row>
    <row r="841" spans="1:1" x14ac:dyDescent="0.2">
      <c r="A841"/>
    </row>
    <row r="842" spans="1:1" x14ac:dyDescent="0.2">
      <c r="A842"/>
    </row>
    <row r="843" spans="1:1" x14ac:dyDescent="0.2">
      <c r="A843"/>
    </row>
    <row r="844" spans="1:1" x14ac:dyDescent="0.2">
      <c r="A844"/>
    </row>
    <row r="845" spans="1:1" x14ac:dyDescent="0.2">
      <c r="A845"/>
    </row>
    <row r="846" spans="1:1" x14ac:dyDescent="0.2">
      <c r="A846"/>
    </row>
    <row r="847" spans="1:1" x14ac:dyDescent="0.2">
      <c r="A847"/>
    </row>
    <row r="848" spans="1:1" x14ac:dyDescent="0.2">
      <c r="A848"/>
    </row>
    <row r="849" spans="1:1" x14ac:dyDescent="0.2">
      <c r="A849"/>
    </row>
    <row r="850" spans="1:1" x14ac:dyDescent="0.2">
      <c r="A850"/>
    </row>
    <row r="851" spans="1:1" x14ac:dyDescent="0.2">
      <c r="A851"/>
    </row>
    <row r="852" spans="1:1" x14ac:dyDescent="0.2">
      <c r="A852"/>
    </row>
    <row r="853" spans="1:1" x14ac:dyDescent="0.2">
      <c r="A853"/>
    </row>
    <row r="854" spans="1:1" x14ac:dyDescent="0.2">
      <c r="A854"/>
    </row>
    <row r="855" spans="1:1" x14ac:dyDescent="0.2">
      <c r="A855"/>
    </row>
    <row r="856" spans="1:1" x14ac:dyDescent="0.2">
      <c r="A856"/>
    </row>
    <row r="857" spans="1:1" x14ac:dyDescent="0.2">
      <c r="A857"/>
    </row>
    <row r="858" spans="1:1" x14ac:dyDescent="0.2">
      <c r="A858"/>
    </row>
    <row r="859" spans="1:1" x14ac:dyDescent="0.2">
      <c r="A859"/>
    </row>
    <row r="860" spans="1:1" x14ac:dyDescent="0.2">
      <c r="A860"/>
    </row>
    <row r="861" spans="1:1" x14ac:dyDescent="0.2">
      <c r="A861"/>
    </row>
    <row r="862" spans="1:1" x14ac:dyDescent="0.2">
      <c r="A862"/>
    </row>
    <row r="863" spans="1:1" x14ac:dyDescent="0.2">
      <c r="A863"/>
    </row>
    <row r="864" spans="1:1" x14ac:dyDescent="0.2">
      <c r="A864"/>
    </row>
    <row r="865" spans="1:1" x14ac:dyDescent="0.2">
      <c r="A865"/>
    </row>
    <row r="866" spans="1:1" x14ac:dyDescent="0.2">
      <c r="A866"/>
    </row>
    <row r="867" spans="1:1" x14ac:dyDescent="0.2">
      <c r="A867"/>
    </row>
    <row r="868" spans="1:1" x14ac:dyDescent="0.2">
      <c r="A868"/>
    </row>
    <row r="869" spans="1:1" x14ac:dyDescent="0.2">
      <c r="A869"/>
    </row>
    <row r="870" spans="1:1" x14ac:dyDescent="0.2">
      <c r="A870"/>
    </row>
    <row r="871" spans="1:1" x14ac:dyDescent="0.2">
      <c r="A871"/>
    </row>
    <row r="872" spans="1:1" x14ac:dyDescent="0.2">
      <c r="A872"/>
    </row>
    <row r="873" spans="1:1" x14ac:dyDescent="0.2">
      <c r="A873"/>
    </row>
    <row r="874" spans="1:1" x14ac:dyDescent="0.2">
      <c r="A874"/>
    </row>
    <row r="875" spans="1:1" x14ac:dyDescent="0.2">
      <c r="A875"/>
    </row>
    <row r="876" spans="1:1" x14ac:dyDescent="0.2">
      <c r="A876"/>
    </row>
    <row r="877" spans="1:1" x14ac:dyDescent="0.2">
      <c r="A877"/>
    </row>
    <row r="878" spans="1:1" x14ac:dyDescent="0.2">
      <c r="A878"/>
    </row>
    <row r="879" spans="1:1" x14ac:dyDescent="0.2">
      <c r="A879"/>
    </row>
    <row r="880" spans="1:1" x14ac:dyDescent="0.2">
      <c r="A880"/>
    </row>
    <row r="881" spans="1:1" x14ac:dyDescent="0.2">
      <c r="A881"/>
    </row>
    <row r="882" spans="1:1" x14ac:dyDescent="0.2">
      <c r="A882"/>
    </row>
    <row r="883" spans="1:1" x14ac:dyDescent="0.2">
      <c r="A883"/>
    </row>
    <row r="884" spans="1:1" x14ac:dyDescent="0.2">
      <c r="A884"/>
    </row>
    <row r="885" spans="1:1" x14ac:dyDescent="0.2">
      <c r="A885"/>
    </row>
    <row r="886" spans="1:1" x14ac:dyDescent="0.2">
      <c r="A886"/>
    </row>
    <row r="887" spans="1:1" x14ac:dyDescent="0.2">
      <c r="A887"/>
    </row>
    <row r="888" spans="1:1" x14ac:dyDescent="0.2">
      <c r="A888"/>
    </row>
    <row r="889" spans="1:1" x14ac:dyDescent="0.2">
      <c r="A889"/>
    </row>
    <row r="890" spans="1:1" x14ac:dyDescent="0.2">
      <c r="A890"/>
    </row>
    <row r="891" spans="1:1" x14ac:dyDescent="0.2">
      <c r="A891"/>
    </row>
    <row r="892" spans="1:1" x14ac:dyDescent="0.2">
      <c r="A892"/>
    </row>
    <row r="893" spans="1:1" x14ac:dyDescent="0.2">
      <c r="A893"/>
    </row>
    <row r="894" spans="1:1" x14ac:dyDescent="0.2">
      <c r="A894"/>
    </row>
    <row r="895" spans="1:1" x14ac:dyDescent="0.2">
      <c r="A895"/>
    </row>
    <row r="896" spans="1:1" x14ac:dyDescent="0.2">
      <c r="A896"/>
    </row>
    <row r="897" spans="1:1" x14ac:dyDescent="0.2">
      <c r="A897"/>
    </row>
    <row r="898" spans="1:1" x14ac:dyDescent="0.2">
      <c r="A898"/>
    </row>
    <row r="899" spans="1:1" x14ac:dyDescent="0.2">
      <c r="A899"/>
    </row>
    <row r="900" spans="1:1" x14ac:dyDescent="0.2">
      <c r="A900"/>
    </row>
    <row r="901" spans="1:1" x14ac:dyDescent="0.2">
      <c r="A901"/>
    </row>
    <row r="902" spans="1:1" x14ac:dyDescent="0.2">
      <c r="A902"/>
    </row>
    <row r="903" spans="1:1" x14ac:dyDescent="0.2">
      <c r="A903"/>
    </row>
    <row r="904" spans="1:1" x14ac:dyDescent="0.2">
      <c r="A904"/>
    </row>
    <row r="905" spans="1:1" x14ac:dyDescent="0.2">
      <c r="A905"/>
    </row>
    <row r="906" spans="1:1" x14ac:dyDescent="0.2">
      <c r="A906"/>
    </row>
    <row r="907" spans="1:1" x14ac:dyDescent="0.2">
      <c r="A907"/>
    </row>
    <row r="908" spans="1:1" x14ac:dyDescent="0.2">
      <c r="A908"/>
    </row>
    <row r="909" spans="1:1" x14ac:dyDescent="0.2">
      <c r="A909"/>
    </row>
    <row r="910" spans="1:1" x14ac:dyDescent="0.2">
      <c r="A910"/>
    </row>
    <row r="911" spans="1:1" x14ac:dyDescent="0.2">
      <c r="A911"/>
    </row>
    <row r="912" spans="1:1" x14ac:dyDescent="0.2">
      <c r="A912"/>
    </row>
    <row r="913" spans="1:1" x14ac:dyDescent="0.2">
      <c r="A913"/>
    </row>
    <row r="914" spans="1:1" x14ac:dyDescent="0.2">
      <c r="A914"/>
    </row>
    <row r="915" spans="1:1" x14ac:dyDescent="0.2">
      <c r="A915"/>
    </row>
    <row r="916" spans="1:1" x14ac:dyDescent="0.2">
      <c r="A916"/>
    </row>
    <row r="917" spans="1:1" x14ac:dyDescent="0.2">
      <c r="A917"/>
    </row>
    <row r="918" spans="1:1" x14ac:dyDescent="0.2">
      <c r="A918"/>
    </row>
    <row r="919" spans="1:1" x14ac:dyDescent="0.2">
      <c r="A919"/>
    </row>
    <row r="920" spans="1:1" x14ac:dyDescent="0.2">
      <c r="A920"/>
    </row>
    <row r="921" spans="1:1" x14ac:dyDescent="0.2">
      <c r="A921"/>
    </row>
    <row r="922" spans="1:1" x14ac:dyDescent="0.2">
      <c r="A922"/>
    </row>
    <row r="923" spans="1:1" x14ac:dyDescent="0.2">
      <c r="A923"/>
    </row>
    <row r="924" spans="1:1" x14ac:dyDescent="0.2">
      <c r="A924"/>
    </row>
    <row r="925" spans="1:1" x14ac:dyDescent="0.2">
      <c r="A925"/>
    </row>
    <row r="926" spans="1:1" x14ac:dyDescent="0.2">
      <c r="A926"/>
    </row>
    <row r="927" spans="1:1" x14ac:dyDescent="0.2">
      <c r="A927"/>
    </row>
    <row r="928" spans="1:1" x14ac:dyDescent="0.2">
      <c r="A928"/>
    </row>
    <row r="929" spans="1:1" x14ac:dyDescent="0.2">
      <c r="A929"/>
    </row>
    <row r="930" spans="1:1" x14ac:dyDescent="0.2">
      <c r="A930"/>
    </row>
    <row r="931" spans="1:1" x14ac:dyDescent="0.2">
      <c r="A931"/>
    </row>
    <row r="932" spans="1:1" x14ac:dyDescent="0.2">
      <c r="A932"/>
    </row>
    <row r="933" spans="1:1" x14ac:dyDescent="0.2">
      <c r="A933"/>
    </row>
    <row r="934" spans="1:1" x14ac:dyDescent="0.2">
      <c r="A934"/>
    </row>
    <row r="935" spans="1:1" x14ac:dyDescent="0.2">
      <c r="A935"/>
    </row>
    <row r="936" spans="1:1" x14ac:dyDescent="0.2">
      <c r="A936"/>
    </row>
    <row r="937" spans="1:1" x14ac:dyDescent="0.2">
      <c r="A937"/>
    </row>
    <row r="938" spans="1:1" x14ac:dyDescent="0.2">
      <c r="A938"/>
    </row>
    <row r="939" spans="1:1" x14ac:dyDescent="0.2">
      <c r="A939"/>
    </row>
    <row r="940" spans="1:1" x14ac:dyDescent="0.2">
      <c r="A940"/>
    </row>
    <row r="941" spans="1:1" x14ac:dyDescent="0.2">
      <c r="A941"/>
    </row>
    <row r="942" spans="1:1" x14ac:dyDescent="0.2">
      <c r="A942"/>
    </row>
    <row r="943" spans="1:1" x14ac:dyDescent="0.2">
      <c r="A943"/>
    </row>
    <row r="944" spans="1:1" x14ac:dyDescent="0.2">
      <c r="A944"/>
    </row>
    <row r="945" spans="1:1" x14ac:dyDescent="0.2">
      <c r="A945"/>
    </row>
    <row r="946" spans="1:1" x14ac:dyDescent="0.2">
      <c r="A946"/>
    </row>
    <row r="947" spans="1:1" x14ac:dyDescent="0.2">
      <c r="A947"/>
    </row>
    <row r="948" spans="1:1" x14ac:dyDescent="0.2">
      <c r="A948"/>
    </row>
    <row r="949" spans="1:1" x14ac:dyDescent="0.2">
      <c r="A949"/>
    </row>
    <row r="950" spans="1:1" x14ac:dyDescent="0.2">
      <c r="A950"/>
    </row>
    <row r="951" spans="1:1" x14ac:dyDescent="0.2">
      <c r="A951"/>
    </row>
    <row r="952" spans="1:1" x14ac:dyDescent="0.2">
      <c r="A952"/>
    </row>
    <row r="953" spans="1:1" x14ac:dyDescent="0.2">
      <c r="A953"/>
    </row>
    <row r="954" spans="1:1" x14ac:dyDescent="0.2">
      <c r="A954"/>
    </row>
    <row r="955" spans="1:1" x14ac:dyDescent="0.2">
      <c r="A955"/>
    </row>
    <row r="956" spans="1:1" x14ac:dyDescent="0.2">
      <c r="A956"/>
    </row>
    <row r="957" spans="1:1" x14ac:dyDescent="0.2">
      <c r="A957"/>
    </row>
    <row r="958" spans="1:1" x14ac:dyDescent="0.2">
      <c r="A958"/>
    </row>
    <row r="959" spans="1:1" x14ac:dyDescent="0.2">
      <c r="A959"/>
    </row>
    <row r="960" spans="1:1" x14ac:dyDescent="0.2">
      <c r="A960"/>
    </row>
    <row r="961" spans="1:1" x14ac:dyDescent="0.2">
      <c r="A961"/>
    </row>
    <row r="962" spans="1:1" x14ac:dyDescent="0.2">
      <c r="A962"/>
    </row>
    <row r="963" spans="1:1" x14ac:dyDescent="0.2">
      <c r="A963"/>
    </row>
    <row r="964" spans="1:1" x14ac:dyDescent="0.2">
      <c r="A964"/>
    </row>
    <row r="965" spans="1:1" x14ac:dyDescent="0.2">
      <c r="A965"/>
    </row>
    <row r="966" spans="1:1" x14ac:dyDescent="0.2">
      <c r="A966"/>
    </row>
    <row r="967" spans="1:1" x14ac:dyDescent="0.2">
      <c r="A967"/>
    </row>
    <row r="968" spans="1:1" x14ac:dyDescent="0.2">
      <c r="A968"/>
    </row>
    <row r="969" spans="1:1" x14ac:dyDescent="0.2">
      <c r="A969"/>
    </row>
    <row r="970" spans="1:1" x14ac:dyDescent="0.2">
      <c r="A970"/>
    </row>
    <row r="971" spans="1:1" x14ac:dyDescent="0.2">
      <c r="A971"/>
    </row>
    <row r="972" spans="1:1" x14ac:dyDescent="0.2">
      <c r="A972"/>
    </row>
    <row r="973" spans="1:1" x14ac:dyDescent="0.2">
      <c r="A973"/>
    </row>
    <row r="974" spans="1:1" x14ac:dyDescent="0.2">
      <c r="A974"/>
    </row>
    <row r="975" spans="1:1" x14ac:dyDescent="0.2">
      <c r="A975"/>
    </row>
    <row r="976" spans="1:1" x14ac:dyDescent="0.2">
      <c r="A976"/>
    </row>
    <row r="977" spans="1:1" x14ac:dyDescent="0.2">
      <c r="A977"/>
    </row>
    <row r="978" spans="1:1" x14ac:dyDescent="0.2">
      <c r="A978"/>
    </row>
    <row r="979" spans="1:1" x14ac:dyDescent="0.2">
      <c r="A979"/>
    </row>
    <row r="980" spans="1:1" x14ac:dyDescent="0.2">
      <c r="A980"/>
    </row>
    <row r="981" spans="1:1" x14ac:dyDescent="0.2">
      <c r="A981"/>
    </row>
    <row r="982" spans="1:1" x14ac:dyDescent="0.2">
      <c r="A982"/>
    </row>
    <row r="983" spans="1:1" x14ac:dyDescent="0.2">
      <c r="A983"/>
    </row>
    <row r="984" spans="1:1" x14ac:dyDescent="0.2">
      <c r="A984"/>
    </row>
    <row r="985" spans="1:1" x14ac:dyDescent="0.2">
      <c r="A985"/>
    </row>
    <row r="986" spans="1:1" x14ac:dyDescent="0.2">
      <c r="A986"/>
    </row>
    <row r="987" spans="1:1" x14ac:dyDescent="0.2">
      <c r="A987"/>
    </row>
    <row r="988" spans="1:1" x14ac:dyDescent="0.2">
      <c r="A988"/>
    </row>
    <row r="989" spans="1:1" x14ac:dyDescent="0.2">
      <c r="A989"/>
    </row>
    <row r="990" spans="1:1" x14ac:dyDescent="0.2">
      <c r="A990"/>
    </row>
    <row r="991" spans="1:1" x14ac:dyDescent="0.2">
      <c r="A991"/>
    </row>
    <row r="992" spans="1:1" x14ac:dyDescent="0.2">
      <c r="A992"/>
    </row>
    <row r="993" spans="1:1" x14ac:dyDescent="0.2">
      <c r="A993"/>
    </row>
    <row r="994" spans="1:1" x14ac:dyDescent="0.2">
      <c r="A994"/>
    </row>
    <row r="995" spans="1:1" x14ac:dyDescent="0.2">
      <c r="A995"/>
    </row>
    <row r="996" spans="1:1" x14ac:dyDescent="0.2">
      <c r="A996"/>
    </row>
    <row r="997" spans="1:1" x14ac:dyDescent="0.2">
      <c r="A997"/>
    </row>
    <row r="998" spans="1:1" x14ac:dyDescent="0.2">
      <c r="A998"/>
    </row>
    <row r="999" spans="1:1" x14ac:dyDescent="0.2">
      <c r="A999"/>
    </row>
    <row r="1000" spans="1:1" x14ac:dyDescent="0.2">
      <c r="A1000"/>
    </row>
  </sheetData>
  <pageMargins left="0.75" right="0.75" top="1" bottom="1" header="0.5" footer="0.5"/>
  <pageSetup orientation="portrait" r:id="rId1"/>
  <headerFooter alignWithMargins="0"/>
  <drawing r:id="rId2"/>
  <legacyDrawing r:id="rId3"/>
  <oleObjects>
    <mc:AlternateContent xmlns:mc="http://schemas.openxmlformats.org/markup-compatibility/2006">
      <mc:Choice Requires="x14">
        <oleObject link="[1]!'8813 3 1 27 15'" oleUpdate="OLEUPDATE_ONCALL" shapeId="6147">
          <objectPr defaultSize="0" dde="1">
            <anchor moveWithCells="1">
              <from>
                <xdr:col>17</xdr:col>
                <xdr:colOff>0</xdr:colOff>
                <xdr:row>4</xdr:row>
                <xdr:rowOff>0</xdr:rowOff>
              </from>
              <to>
                <xdr:col>18</xdr:col>
                <xdr:colOff>476250</xdr:colOff>
                <xdr:row>6</xdr:row>
                <xdr:rowOff>19050</xdr:rowOff>
              </to>
            </anchor>
          </objectPr>
        </oleObject>
      </mc:Choice>
      <mc:Fallback>
        <oleObject link="[1]!'8813 3 1 27 15'" oleUpdate="OLEUPDATE_ONCALL" shapeId="6147"/>
      </mc:Fallback>
    </mc:AlternateContent>
  </oleObjects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6145" r:id="rId4" name="Button 1">
              <controlPr defaultSize="0" print="0" autoFill="0" autoLine="0" autoPict="0" macro="[0]!Nymex_CURVE">
                <anchor moveWithCells="1" sizeWithCells="1">
                  <from>
                    <xdr:col>8</xdr:col>
                    <xdr:colOff>123825</xdr:colOff>
                    <xdr:row>0</xdr:row>
                    <xdr:rowOff>47625</xdr:rowOff>
                  </from>
                  <to>
                    <xdr:col>9</xdr:col>
                    <xdr:colOff>581025</xdr:colOff>
                    <xdr:row>2</xdr:row>
                    <xdr:rowOff>28575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6148" r:id="rId5" name="Button 4">
              <controlPr defaultSize="0" print="0" autoFill="0" autoLine="0" autoPict="0" macro="[0]!New_Nymex_Gas">
                <anchor moveWithCells="1" sizeWithCells="1">
                  <from>
                    <xdr:col>30</xdr:col>
                    <xdr:colOff>342900</xdr:colOff>
                    <xdr:row>1</xdr:row>
                    <xdr:rowOff>142875</xdr:rowOff>
                  </from>
                  <to>
                    <xdr:col>32</xdr:col>
                    <xdr:colOff>114300</xdr:colOff>
                    <xdr:row>4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TradeSum</vt:lpstr>
      <vt:lpstr>Pricing Summary</vt:lpstr>
      <vt:lpstr>GasPosn</vt:lpstr>
      <vt:lpstr>Interest</vt:lpstr>
      <vt:lpstr>NymexData</vt:lpstr>
      <vt:lpstr>AECO_Post</vt:lpstr>
      <vt:lpstr>GasDaily_Post</vt:lpstr>
      <vt:lpstr>NYMEX_Post</vt:lpstr>
      <vt:lpstr>TradeSum!Print_Area</vt:lpstr>
      <vt:lpstr>TradeDate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jzuffer</dc:creator>
  <dc:description>- Oracle 8i ODBC QueryFix Applied</dc:description>
  <cp:lastModifiedBy>Jan Havlíček</cp:lastModifiedBy>
  <cp:lastPrinted>2001-03-30T14:27:52Z</cp:lastPrinted>
  <dcterms:created xsi:type="dcterms:W3CDTF">1998-01-06T00:00:57Z</dcterms:created>
  <dcterms:modified xsi:type="dcterms:W3CDTF">2023-09-10T14:23:53Z</dcterms:modified>
</cp:coreProperties>
</file>