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896237-B542-490F-B2AE-723FAB6E29A8}" xr6:coauthVersionLast="47" xr6:coauthVersionMax="47" xr10:uidLastSave="{00000000-0000-0000-0000-000000000000}"/>
  <bookViews>
    <workbookView xWindow="-120" yWindow="-120" windowWidth="38640" windowHeight="15720" tabRatio="811" firstSheet="2" activeTab="2"/>
  </bookViews>
  <sheets>
    <sheet name="YTD" sheetId="38" state="hidden" r:id="rId1"/>
    <sheet name="YTD Mgmt Summary" sheetId="36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Alloc Exp" sheetId="4" r:id="rId9"/>
    <sheet name="Headcount" sheetId="8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 localSheetId="0">YTD!$A$1:$M$41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8">'Alloc Exp'!$B$2:$P$31</definedName>
    <definedName name="_xlnm.Print_Area" localSheetId="7">'Expense Weekly Change'!$A$2:$J$40</definedName>
    <definedName name="_xlnm.Print_Area" localSheetId="6">Expenses!$B$2:$K$36</definedName>
    <definedName name="_xlnm.Print_Area" localSheetId="4">'GM-WeeklyChnge'!$A$1:$K$42</definedName>
    <definedName name="_xlnm.Print_Area" localSheetId="5">GrossMargin!$B$2:$N$38</definedName>
    <definedName name="_xlnm.Print_Area" localSheetId="9">Headcount!$B$1:$N$19</definedName>
    <definedName name="_xlnm.Print_Area" localSheetId="3">'Mgmt Summary'!$A$1:$V$42</definedName>
    <definedName name="_xlnm.Print_Area" localSheetId="2">'QTD Mgmt Summary'!$A$1:$Q$40</definedName>
    <definedName name="_xlnm.Print_Area" localSheetId="0">YTD!$A$1:$N$41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1" i="9"/>
  <c r="D31" i="9"/>
  <c r="E31" i="9"/>
  <c r="F31" i="9"/>
  <c r="G31" i="9"/>
  <c r="H31" i="9"/>
  <c r="I31" i="9"/>
  <c r="J31" i="9"/>
  <c r="K31" i="9"/>
  <c r="C33" i="9"/>
  <c r="D33" i="9"/>
  <c r="F33" i="9"/>
  <c r="H33" i="9"/>
  <c r="J33" i="9"/>
  <c r="K33" i="9"/>
  <c r="C35" i="9"/>
  <c r="D35" i="9"/>
  <c r="E35" i="9"/>
  <c r="F35" i="9"/>
  <c r="G35" i="9"/>
  <c r="H35" i="9"/>
  <c r="I35" i="9"/>
  <c r="J35" i="9"/>
  <c r="K35" i="9"/>
  <c r="B4" i="2"/>
  <c r="D10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M30" i="2"/>
  <c r="N30" i="2"/>
  <c r="D32" i="2"/>
  <c r="E32" i="2"/>
  <c r="F32" i="2"/>
  <c r="G32" i="2"/>
  <c r="H32" i="2"/>
  <c r="I32" i="2"/>
  <c r="J32" i="2"/>
  <c r="K32" i="2"/>
  <c r="L32" i="2"/>
  <c r="M32" i="2"/>
  <c r="N32" i="2"/>
  <c r="I34" i="2"/>
  <c r="L34" i="2"/>
  <c r="N34" i="2"/>
  <c r="D36" i="2"/>
  <c r="E36" i="2"/>
  <c r="F36" i="2"/>
  <c r="G36" i="2"/>
  <c r="H36" i="2"/>
  <c r="I36" i="2"/>
  <c r="J36" i="2"/>
  <c r="K36" i="2"/>
  <c r="L36" i="2"/>
  <c r="M36" i="2"/>
  <c r="N36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E27" i="1"/>
  <c r="J27" i="1"/>
  <c r="O27" i="1"/>
  <c r="Q27" i="1"/>
  <c r="V27" i="1"/>
  <c r="E28" i="1"/>
  <c r="J28" i="1"/>
  <c r="O28" i="1"/>
  <c r="Q28" i="1"/>
  <c r="T28" i="1"/>
  <c r="V28" i="1"/>
  <c r="D29" i="1"/>
  <c r="E29" i="1"/>
  <c r="J29" i="1"/>
  <c r="L29" i="1"/>
  <c r="M29" i="1"/>
  <c r="O29" i="1"/>
  <c r="Q29" i="1"/>
  <c r="T29" i="1"/>
  <c r="V29" i="1"/>
  <c r="D30" i="1"/>
  <c r="E30" i="1"/>
  <c r="J30" i="1"/>
  <c r="N30" i="1"/>
  <c r="O30" i="1"/>
  <c r="Q30" i="1"/>
  <c r="U30" i="1"/>
  <c r="V30" i="1"/>
  <c r="C31" i="1"/>
  <c r="D31" i="1"/>
  <c r="E31" i="1"/>
  <c r="G31" i="1"/>
  <c r="H31" i="1"/>
  <c r="I31" i="1"/>
  <c r="J31" i="1"/>
  <c r="M31" i="1"/>
  <c r="O31" i="1"/>
  <c r="Q31" i="1"/>
  <c r="T31" i="1"/>
  <c r="V31" i="1"/>
  <c r="D32" i="1"/>
  <c r="E32" i="1"/>
  <c r="J32" i="1"/>
  <c r="L32" i="1"/>
  <c r="O32" i="1"/>
  <c r="Q32" i="1"/>
  <c r="S32" i="1"/>
  <c r="V32" i="1"/>
  <c r="V33" i="1"/>
  <c r="C34" i="1"/>
  <c r="D34" i="1"/>
  <c r="E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E36" i="1"/>
  <c r="G36" i="1"/>
  <c r="H36" i="1"/>
  <c r="I36" i="1"/>
  <c r="J36" i="1"/>
  <c r="O36" i="1"/>
  <c r="Q36" i="1"/>
  <c r="T36" i="1"/>
  <c r="V36" i="1"/>
  <c r="C38" i="1"/>
  <c r="D38" i="1"/>
  <c r="E38" i="1"/>
  <c r="G38" i="1"/>
  <c r="H38" i="1"/>
  <c r="I38" i="1"/>
  <c r="J38" i="1"/>
  <c r="K38" i="1"/>
  <c r="L38" i="1"/>
  <c r="M38" i="1"/>
  <c r="N38" i="1"/>
  <c r="O38" i="1"/>
  <c r="Q38" i="1"/>
  <c r="R38" i="1"/>
  <c r="S38" i="1"/>
  <c r="T38" i="1"/>
  <c r="U38" i="1"/>
  <c r="V38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7" i="37"/>
  <c r="D27" i="37"/>
  <c r="E27" i="37"/>
  <c r="I27" i="37"/>
  <c r="K27" i="37"/>
  <c r="L27" i="37"/>
  <c r="M27" i="37"/>
  <c r="P27" i="37"/>
  <c r="Q27" i="37"/>
  <c r="C28" i="37"/>
  <c r="E28" i="37"/>
  <c r="G28" i="37"/>
  <c r="I28" i="37"/>
  <c r="K28" i="37"/>
  <c r="L28" i="37"/>
  <c r="M28" i="37"/>
  <c r="O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M4" i="38"/>
  <c r="C9" i="38"/>
  <c r="D9" i="38"/>
  <c r="E9" i="38"/>
  <c r="G9" i="38"/>
  <c r="H9" i="38"/>
  <c r="I9" i="38"/>
  <c r="K9" i="38"/>
  <c r="L9" i="38"/>
  <c r="M9" i="38"/>
  <c r="C10" i="38"/>
  <c r="D10" i="38"/>
  <c r="E10" i="38"/>
  <c r="G10" i="38"/>
  <c r="H10" i="38"/>
  <c r="I10" i="38"/>
  <c r="K10" i="38"/>
  <c r="L10" i="38"/>
  <c r="M10" i="38"/>
  <c r="C11" i="38"/>
  <c r="D11" i="38"/>
  <c r="E11" i="38"/>
  <c r="G11" i="38"/>
  <c r="H11" i="38"/>
  <c r="I11" i="38"/>
  <c r="K11" i="38"/>
  <c r="L11" i="38"/>
  <c r="M11" i="38"/>
  <c r="C12" i="38"/>
  <c r="D12" i="38"/>
  <c r="E12" i="38"/>
  <c r="G12" i="38"/>
  <c r="H12" i="38"/>
  <c r="I12" i="38"/>
  <c r="K12" i="38"/>
  <c r="L12" i="38"/>
  <c r="M12" i="38"/>
  <c r="C13" i="38"/>
  <c r="D13" i="38"/>
  <c r="E13" i="38"/>
  <c r="G13" i="38"/>
  <c r="H13" i="38"/>
  <c r="I13" i="38"/>
  <c r="K13" i="38"/>
  <c r="L13" i="38"/>
  <c r="M13" i="38"/>
  <c r="C14" i="38"/>
  <c r="D14" i="38"/>
  <c r="E14" i="38"/>
  <c r="G14" i="38"/>
  <c r="H14" i="38"/>
  <c r="I14" i="38"/>
  <c r="K14" i="38"/>
  <c r="L14" i="38"/>
  <c r="M14" i="38"/>
  <c r="C15" i="38"/>
  <c r="D15" i="38"/>
  <c r="E15" i="38"/>
  <c r="G15" i="38"/>
  <c r="H15" i="38"/>
  <c r="I15" i="38"/>
  <c r="K15" i="38"/>
  <c r="L15" i="38"/>
  <c r="M15" i="38"/>
  <c r="C16" i="38"/>
  <c r="D16" i="38"/>
  <c r="E16" i="38"/>
  <c r="G16" i="38"/>
  <c r="H16" i="38"/>
  <c r="I16" i="38"/>
  <c r="K16" i="38"/>
  <c r="L16" i="38"/>
  <c r="M16" i="38"/>
  <c r="C17" i="38"/>
  <c r="D17" i="38"/>
  <c r="E17" i="38"/>
  <c r="G17" i="38"/>
  <c r="H17" i="38"/>
  <c r="I17" i="38"/>
  <c r="K17" i="38"/>
  <c r="L17" i="38"/>
  <c r="M17" i="38"/>
  <c r="C18" i="38"/>
  <c r="D18" i="38"/>
  <c r="E18" i="38"/>
  <c r="G18" i="38"/>
  <c r="H18" i="38"/>
  <c r="I18" i="38"/>
  <c r="K18" i="38"/>
  <c r="L18" i="38"/>
  <c r="M18" i="38"/>
  <c r="C19" i="38"/>
  <c r="D19" i="38"/>
  <c r="E19" i="38"/>
  <c r="G19" i="38"/>
  <c r="H19" i="38"/>
  <c r="I19" i="38"/>
  <c r="K19" i="38"/>
  <c r="L19" i="38"/>
  <c r="M19" i="38"/>
  <c r="C20" i="38"/>
  <c r="D20" i="38"/>
  <c r="E20" i="38"/>
  <c r="G20" i="38"/>
  <c r="H20" i="38"/>
  <c r="I20" i="38"/>
  <c r="K20" i="38"/>
  <c r="L20" i="38"/>
  <c r="M20" i="38"/>
  <c r="C21" i="38"/>
  <c r="D21" i="38"/>
  <c r="E21" i="38"/>
  <c r="G21" i="38"/>
  <c r="H21" i="38"/>
  <c r="I21" i="38"/>
  <c r="K21" i="38"/>
  <c r="L21" i="38"/>
  <c r="M21" i="38"/>
  <c r="C22" i="38"/>
  <c r="D22" i="38"/>
  <c r="E22" i="38"/>
  <c r="G22" i="38"/>
  <c r="H22" i="38"/>
  <c r="I22" i="38"/>
  <c r="K22" i="38"/>
  <c r="L22" i="38"/>
  <c r="M22" i="38"/>
  <c r="C23" i="38"/>
  <c r="D23" i="38"/>
  <c r="E23" i="38"/>
  <c r="G23" i="38"/>
  <c r="H23" i="38"/>
  <c r="I23" i="38"/>
  <c r="K23" i="38"/>
  <c r="L23" i="38"/>
  <c r="M23" i="38"/>
  <c r="C24" i="38"/>
  <c r="D24" i="38"/>
  <c r="E24" i="38"/>
  <c r="G24" i="38"/>
  <c r="H24" i="38"/>
  <c r="I24" i="38"/>
  <c r="K24" i="38"/>
  <c r="L24" i="38"/>
  <c r="M24" i="38"/>
  <c r="C26" i="38"/>
  <c r="D26" i="38"/>
  <c r="E26" i="38"/>
  <c r="G26" i="38"/>
  <c r="H26" i="38"/>
  <c r="I26" i="38"/>
  <c r="K26" i="38"/>
  <c r="L26" i="38"/>
  <c r="M26" i="38"/>
  <c r="C28" i="38"/>
  <c r="D28" i="38"/>
  <c r="E28" i="38"/>
  <c r="G28" i="38"/>
  <c r="H28" i="38"/>
  <c r="I28" i="38"/>
  <c r="K28" i="38"/>
  <c r="L28" i="38"/>
  <c r="M28" i="38"/>
  <c r="C29" i="38"/>
  <c r="D29" i="38"/>
  <c r="E29" i="38"/>
  <c r="G29" i="38"/>
  <c r="H29" i="38"/>
  <c r="I29" i="38"/>
  <c r="K29" i="38"/>
  <c r="L29" i="38"/>
  <c r="M29" i="38"/>
  <c r="C30" i="38"/>
  <c r="D30" i="38"/>
  <c r="E30" i="38"/>
  <c r="G30" i="38"/>
  <c r="H30" i="38"/>
  <c r="I30" i="38"/>
  <c r="K30" i="38"/>
  <c r="L30" i="38"/>
  <c r="M30" i="38"/>
  <c r="C31" i="38"/>
  <c r="D31" i="38"/>
  <c r="E31" i="38"/>
  <c r="G31" i="38"/>
  <c r="H31" i="38"/>
  <c r="I31" i="38"/>
  <c r="K31" i="38"/>
  <c r="L31" i="38"/>
  <c r="M31" i="38"/>
  <c r="C32" i="38"/>
  <c r="D32" i="38"/>
  <c r="E32" i="38"/>
  <c r="G32" i="38"/>
  <c r="H32" i="38"/>
  <c r="I32" i="38"/>
  <c r="K32" i="38"/>
  <c r="L32" i="38"/>
  <c r="M32" i="38"/>
  <c r="C33" i="38"/>
  <c r="D33" i="38"/>
  <c r="E33" i="38"/>
  <c r="G33" i="38"/>
  <c r="H33" i="38"/>
  <c r="I33" i="38"/>
  <c r="K33" i="38"/>
  <c r="L33" i="38"/>
  <c r="M33" i="38"/>
  <c r="C35" i="38"/>
  <c r="D35" i="38"/>
  <c r="E35" i="38"/>
  <c r="G35" i="38"/>
  <c r="H35" i="38"/>
  <c r="I35" i="38"/>
  <c r="K35" i="38"/>
  <c r="L35" i="38"/>
  <c r="M35" i="38"/>
  <c r="C37" i="38"/>
  <c r="D37" i="38"/>
  <c r="E37" i="38"/>
  <c r="G37" i="38"/>
  <c r="H37" i="38"/>
  <c r="I37" i="38"/>
  <c r="K37" i="38"/>
  <c r="L37" i="38"/>
  <c r="M37" i="38"/>
  <c r="C39" i="38"/>
  <c r="D39" i="38"/>
  <c r="E39" i="38"/>
  <c r="G39" i="38"/>
  <c r="H39" i="38"/>
  <c r="I39" i="38"/>
  <c r="K39" i="38"/>
  <c r="L39" i="38"/>
  <c r="M39" i="38"/>
  <c r="E45" i="38"/>
  <c r="I45" i="38"/>
  <c r="E46" i="38"/>
  <c r="I46" i="38"/>
  <c r="E47" i="38"/>
  <c r="I47" i="38"/>
  <c r="E49" i="38"/>
  <c r="I49" i="38"/>
  <c r="E52" i="38"/>
  <c r="I52" i="38"/>
  <c r="E53" i="38"/>
  <c r="I53" i="38"/>
  <c r="E55" i="38"/>
  <c r="I55" i="38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1" i="36"/>
  <c r="D21" i="36"/>
  <c r="E21" i="36"/>
  <c r="G21" i="36"/>
  <c r="I21" i="36"/>
  <c r="J21" i="36"/>
  <c r="M21" i="36"/>
  <c r="N21" i="36"/>
  <c r="O21" i="36"/>
  <c r="Q21" i="36"/>
  <c r="T21" i="36"/>
  <c r="U21" i="36"/>
  <c r="V21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J28" i="36"/>
  <c r="M28" i="36"/>
  <c r="N28" i="36"/>
  <c r="O28" i="36"/>
  <c r="Q28" i="36"/>
  <c r="R28" i="36"/>
  <c r="S28" i="36"/>
  <c r="T28" i="36"/>
  <c r="U28" i="36"/>
  <c r="V28" i="36"/>
  <c r="C29" i="36"/>
  <c r="D29" i="36"/>
  <c r="E29" i="36"/>
  <c r="G29" i="36"/>
  <c r="J29" i="36"/>
  <c r="M29" i="36"/>
  <c r="N29" i="36"/>
  <c r="O29" i="36"/>
  <c r="Q29" i="36"/>
  <c r="R29" i="36"/>
  <c r="S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R30" i="36"/>
  <c r="S30" i="36"/>
  <c r="T30" i="36"/>
  <c r="U30" i="36"/>
  <c r="V30" i="36"/>
  <c r="C31" i="36"/>
  <c r="D31" i="36"/>
  <c r="E31" i="36"/>
  <c r="G31" i="36"/>
  <c r="H31" i="36"/>
  <c r="I31" i="36"/>
  <c r="J31" i="36"/>
  <c r="M31" i="36"/>
  <c r="N31" i="36"/>
  <c r="O31" i="36"/>
  <c r="Q31" i="36"/>
  <c r="R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C36" i="36"/>
  <c r="D36" i="36"/>
  <c r="E36" i="36"/>
  <c r="G36" i="36"/>
  <c r="H36" i="36"/>
  <c r="I36" i="36"/>
  <c r="J36" i="36"/>
  <c r="M36" i="36"/>
  <c r="N36" i="36"/>
  <c r="O36" i="36"/>
  <c r="Q36" i="36"/>
  <c r="T36" i="36"/>
  <c r="U36" i="36"/>
  <c r="V36" i="36"/>
  <c r="C38" i="36"/>
  <c r="D38" i="36"/>
  <c r="E38" i="36"/>
  <c r="G38" i="36"/>
  <c r="H38" i="36"/>
  <c r="I38" i="36"/>
  <c r="J38" i="36"/>
  <c r="K38" i="36"/>
  <c r="L38" i="36"/>
  <c r="M38" i="36"/>
  <c r="N38" i="36"/>
  <c r="O38" i="36"/>
  <c r="Q38" i="36"/>
  <c r="R38" i="36"/>
  <c r="S38" i="36"/>
  <c r="T38" i="36"/>
  <c r="U38" i="36"/>
  <c r="V38" i="36"/>
  <c r="G40" i="36"/>
</calcChain>
</file>

<file path=xl/comments1.xml><?xml version="1.0" encoding="utf-8"?>
<comments xmlns="http://schemas.openxmlformats.org/spreadsheetml/2006/main">
  <authors>
    <author>Trey Hardy</author>
  </authors>
  <commentList>
    <comment ref="G4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<sst xmlns="http://schemas.openxmlformats.org/spreadsheetml/2006/main" count="491" uniqueCount="141">
  <si>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</si>
  <si>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</si>
  <si>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</si>
  <si>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</si>
  <si>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</si>
  <si>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</si>
  <si>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</si>
  <si>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</si>
  <si>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</si>
  <si>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</si>
  <si>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</si>
  <si>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</si>
  <si>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</si>
  <si>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</si>
  <si>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</si>
  <si>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</si>
  <si>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</si>
  <si>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</si>
  <si>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</si>
  <si>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</si>
  <si>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</si>
  <si>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</si>
  <si>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</si>
  <si>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</si>
  <si>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</si>
  <si>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</si>
  <si>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</si>
  <si>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</si>
  <si>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</si>
  <si>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</si>
  <si>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</si>
  <si>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</si>
  <si>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</si>
  <si>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</si>
  <si>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</si>
  <si>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</si>
  <si>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</si>
  <si>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</si>
  <si>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</si>
  <si>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</si>
  <si>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</si>
  <si>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</si>
  <si>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</si>
  <si>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</si>
  <si>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</si>
  <si>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</si>
  <si>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</si>
  <si>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</si>
  <si>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</si>
  <si>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</si>
  <si>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</si>
  <si>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</si>
  <si>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</si>
  <si>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</si>
  <si>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</si>
  <si>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</si>
  <si>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</si>
  <si>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</si>
  <si>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</si>
  <si>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</si>
  <si>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</si>
  <si>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</si>
  <si>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</si>
  <si>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</si>
  <si>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</si>
  <si>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</si>
  <si>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</si>
  <si>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</si>
  <si>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</si>
  <si>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</si>
  <si>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</si>
  <si>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</si>
  <si>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</si>
  <si>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</si>
  <si>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</si>
  <si>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</si>
  <si>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</si>
  <si>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</si>
  <si>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</si>
  <si>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</si>
  <si>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</si>
  <si>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</si>
  <si>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</si>
  <si>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</si>
  <si>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</si>
  <si>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</si>
  <si>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</si>
  <si>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</si>
  <si>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</si>
  <si>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</si>
  <si>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</si>
  <si>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</si>
  <si>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</si>
  <si>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</si>
  <si>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</si>
  <si>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</si>
  <si>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</si>
  <si>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</si>
  <si>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</si>
  <si>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</si>
  <si>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</si>
  <si>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</si>
  <si>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</si>
  <si>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</si>
  <si>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</si>
  <si>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</si>
  <si>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</si>
  <si>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</si>
  <si>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</si>
  <si>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</si>
  <si>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</si>
  <si>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</si>
  <si>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</si>
  <si>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</si>
  <si>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</si>
  <si>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</si>
  <si>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</si>
  <si>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</si>
  <si>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</si>
  <si>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</si>
  <si>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</si>
  <si>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</si>
  <si>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</si>
  <si>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Insurance Risk Markets</t>
  </si>
  <si>
    <t>Middle East (1Q)</t>
  </si>
  <si>
    <t>Puerto Rico (1Q &amp; 2Q)</t>
  </si>
  <si>
    <t>Margin change from: 10/26/00</t>
  </si>
  <si>
    <t>Expense changes from: 10/26/00</t>
  </si>
  <si>
    <t>DPR Change</t>
  </si>
  <si>
    <t>Operating Expense</t>
  </si>
  <si>
    <t>MPR Change</t>
  </si>
  <si>
    <t>Commercial Expense</t>
  </si>
  <si>
    <t>Other Margin Changes</t>
  </si>
  <si>
    <t>Total Change</t>
  </si>
  <si>
    <t>Total Margin - QTD</t>
  </si>
  <si>
    <t>Total Expense</t>
  </si>
  <si>
    <t>Prior Week:</t>
  </si>
  <si>
    <t>This Week:</t>
  </si>
  <si>
    <t>Change:</t>
  </si>
  <si>
    <t>**PRELIMINARY** December Year-to-Date</t>
  </si>
  <si>
    <t>Results based on activity through November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</si>
</sst>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0" xfId="1" applyNumberFormat="1" applyFont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20" fillId="0" borderId="4" xfId="0" quotePrefix="1" applyFont="1" applyBorder="1" applyAlignment="1">
      <alignment horizontal="left"/>
    </xf>
    <xf numFmtId="165" fontId="17" fillId="0" borderId="4" xfId="1" applyNumberFormat="1" applyFont="1" applyBorder="1"/>
    <xf numFmtId="0" fontId="29" fillId="0" borderId="0" xfId="0" quotePrefix="1" applyFont="1" applyAlignment="1">
      <alignment horizontal="left"/>
    </xf>
    <xf numFmtId="0" fontId="16" fillId="0" borderId="22" xfId="0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0" fontId="2" fillId="0" borderId="8" xfId="0" quotePrefix="1" applyFont="1" applyBorder="1" applyAlignment="1">
      <alignment horizontal="left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5" name="Text Box 1">
          <a:extLst>
            <a:ext uri="{FF2B5EF4-FFF2-40B4-BE49-F238E27FC236}">
              <a16:creationId xmlns:a16="http://schemas.microsoft.com/office/drawing/2014/main" id="{A0BEC8A2-D8AE-351E-1EB5-60482F1FFF5E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7346" name="Line 2">
          <a:extLst>
            <a:ext uri="{FF2B5EF4-FFF2-40B4-BE49-F238E27FC236}">
              <a16:creationId xmlns:a16="http://schemas.microsoft.com/office/drawing/2014/main" id="{94B78CF0-0257-C5DD-7548-10EB9282447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276225</xdr:colOff>
      <xdr:row>4</xdr:row>
      <xdr:rowOff>85725</xdr:rowOff>
    </xdr:from>
    <xdr:to>
      <xdr:col>13</xdr:col>
      <xdr:colOff>0</xdr:colOff>
      <xdr:row>4</xdr:row>
      <xdr:rowOff>104775</xdr:rowOff>
    </xdr:to>
    <xdr:sp macro="" textlink="">
      <xdr:nvSpPr>
        <xdr:cNvPr id="57347" name="Line 3">
          <a:extLst>
            <a:ext uri="{FF2B5EF4-FFF2-40B4-BE49-F238E27FC236}">
              <a16:creationId xmlns:a16="http://schemas.microsoft.com/office/drawing/2014/main" id="{8745C42B-4D81-FC1E-5446-ECC3D5C17115}"/>
            </a:ext>
          </a:extLst>
        </xdr:cNvPr>
        <xdr:cNvSpPr>
          <a:spLocks noChangeShapeType="1"/>
        </xdr:cNvSpPr>
      </xdr:nvSpPr>
      <xdr:spPr bwMode="auto">
        <a:xfrm flipH="1">
          <a:off x="2962275" y="981075"/>
          <a:ext cx="46291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16</xdr:col>
      <xdr:colOff>419100</xdr:colOff>
      <xdr:row>0</xdr:row>
      <xdr:rowOff>0</xdr:rowOff>
    </xdr:to>
    <xdr:sp macro="" textlink="">
      <xdr:nvSpPr>
        <xdr:cNvPr id="57348" name="Text Box 4">
          <a:extLst>
            <a:ext uri="{FF2B5EF4-FFF2-40B4-BE49-F238E27FC236}">
              <a16:creationId xmlns:a16="http://schemas.microsoft.com/office/drawing/2014/main" id="{C232A622-6752-33E8-FF14-D8F0EFEF5035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1514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7349" name="Line 5">
          <a:extLst>
            <a:ext uri="{FF2B5EF4-FFF2-40B4-BE49-F238E27FC236}">
              <a16:creationId xmlns:a16="http://schemas.microsoft.com/office/drawing/2014/main" id="{09CD5654-1027-1E07-4C02-E092D7F1F44D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39F55FB2-9D44-7516-1081-FE656D0A74F5}"/>
            </a:ext>
          </a:extLst>
        </xdr:cNvPr>
        <xdr:cNvSpPr txBox="1">
          <a:spLocks noChangeArrowheads="1"/>
        </xdr:cNvSpPr>
      </xdr:nvSpPr>
      <xdr:spPr bwMode="auto">
        <a:xfrm>
          <a:off x="76771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447675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CEC89F78-18FA-2C5C-C0CE-A64EC7680B37}"/>
            </a:ext>
          </a:extLst>
        </xdr:cNvPr>
        <xdr:cNvSpPr txBox="1">
          <a:spLocks noChangeArrowheads="1"/>
        </xdr:cNvSpPr>
      </xdr:nvSpPr>
      <xdr:spPr bwMode="auto">
        <a:xfrm>
          <a:off x="6962775" y="76200"/>
          <a:ext cx="23145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A833F95D-4D31-9D2E-D925-04D9E3AF8047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C5F7ECFB-84B6-6AF4-5D15-39F6BE2ED750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76200</xdr:rowOff>
    </xdr:from>
    <xdr:to>
      <xdr:col>17</xdr:col>
      <xdr:colOff>19050</xdr:colOff>
      <xdr:row>4</xdr:row>
      <xdr:rowOff>76200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C79D6061-759A-DC7A-EF92-A59760315FA1}"/>
            </a:ext>
          </a:extLst>
        </xdr:cNvPr>
        <xdr:cNvSpPr>
          <a:spLocks noChangeShapeType="1"/>
        </xdr:cNvSpPr>
      </xdr:nvSpPr>
      <xdr:spPr bwMode="auto">
        <a:xfrm flipH="1">
          <a:off x="2990850" y="971550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59273FB9-C4CC-3A33-D4E1-EC5645B74845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F0FFB6A3-D911-7090-B65B-45FFFAC30C26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1A345CA-39F2-2079-E5C4-495C3B7C1BC1}"/>
            </a:ext>
          </a:extLst>
        </xdr:cNvPr>
        <xdr:cNvSpPr txBox="1">
          <a:spLocks noChangeArrowheads="1"/>
        </xdr:cNvSpPr>
      </xdr:nvSpPr>
      <xdr:spPr bwMode="auto">
        <a:xfrm>
          <a:off x="6667500" y="76200"/>
          <a:ext cx="20669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>
          <a:extLst>
            <a:ext uri="{FF2B5EF4-FFF2-40B4-BE49-F238E27FC236}">
              <a16:creationId xmlns:a16="http://schemas.microsoft.com/office/drawing/2014/main" id="{5839704D-11A7-90EB-012B-B912ACD787D5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76200</xdr:rowOff>
    </xdr:from>
    <xdr:to>
      <xdr:col>13</xdr:col>
      <xdr:colOff>514350</xdr:colOff>
      <xdr:row>3</xdr:row>
      <xdr:rowOff>19050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21A90121-D850-C47A-363A-A4587B0558D3}"/>
            </a:ext>
          </a:extLst>
        </xdr:cNvPr>
        <xdr:cNvSpPr txBox="1">
          <a:spLocks noChangeArrowheads="1"/>
        </xdr:cNvSpPr>
      </xdr:nvSpPr>
      <xdr:spPr bwMode="auto">
        <a:xfrm>
          <a:off x="6048375" y="238125"/>
          <a:ext cx="15335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B898747F-7310-0975-A0BB-403EE04E283F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1CDB057F-E815-738E-D7AC-049C29EB6232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05FDDE6F-1E07-3445-8CD7-5A6784875B0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B248C3DC-57D8-5579-663B-9B19C81452A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2CA68245-8041-9802-BEB4-8EC81258E57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61544B7E-CD6B-4CBA-6F3A-2D409A277BC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917FD360-96BD-A5A0-346C-A83BD258D24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DD97EF96-564E-55AA-8A96-E1E8E648EE6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E750A93C-09D8-B1C2-B3CC-58CDD3BD752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0B2E1D70-C8C4-7A9E-1563-D1AD4E6B78F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4" name="Text Box 24">
          <a:extLst>
            <a:ext uri="{FF2B5EF4-FFF2-40B4-BE49-F238E27FC236}">
              <a16:creationId xmlns:a16="http://schemas.microsoft.com/office/drawing/2014/main" id="{1796F48D-BBC2-E85E-0F7F-0FF2A9A2A2E9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5" name="Text Box 25">
          <a:extLst>
            <a:ext uri="{FF2B5EF4-FFF2-40B4-BE49-F238E27FC236}">
              <a16:creationId xmlns:a16="http://schemas.microsoft.com/office/drawing/2014/main" id="{48565BCC-A8F8-C371-2221-A2B8E0ADAF5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6" name="Text Box 26">
          <a:extLst>
            <a:ext uri="{FF2B5EF4-FFF2-40B4-BE49-F238E27FC236}">
              <a16:creationId xmlns:a16="http://schemas.microsoft.com/office/drawing/2014/main" id="{F7BB1954-9E53-987E-9414-F69163FB0EF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7" name="Text Box 27">
          <a:extLst>
            <a:ext uri="{FF2B5EF4-FFF2-40B4-BE49-F238E27FC236}">
              <a16:creationId xmlns:a16="http://schemas.microsoft.com/office/drawing/2014/main" id="{4AB4DC68-E684-41DD-C35B-821082F26BC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8" name="Text Box 28">
          <a:extLst>
            <a:ext uri="{FF2B5EF4-FFF2-40B4-BE49-F238E27FC236}">
              <a16:creationId xmlns:a16="http://schemas.microsoft.com/office/drawing/2014/main" id="{5D22060C-5028-70FE-A603-6F950F01F3F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9" name="Text Box 29">
          <a:extLst>
            <a:ext uri="{FF2B5EF4-FFF2-40B4-BE49-F238E27FC236}">
              <a16:creationId xmlns:a16="http://schemas.microsoft.com/office/drawing/2014/main" id="{055AAD83-571E-7D21-6FF0-656893974AA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0" name="Text Box 30">
          <a:extLst>
            <a:ext uri="{FF2B5EF4-FFF2-40B4-BE49-F238E27FC236}">
              <a16:creationId xmlns:a16="http://schemas.microsoft.com/office/drawing/2014/main" id="{B9FF9CBE-1FEB-E123-6F72-901C72C8B6A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1" name="Text Box 31">
          <a:extLst>
            <a:ext uri="{FF2B5EF4-FFF2-40B4-BE49-F238E27FC236}">
              <a16:creationId xmlns:a16="http://schemas.microsoft.com/office/drawing/2014/main" id="{92CDFD79-CB96-D48A-9C33-6ED8ED87A6B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85725</xdr:rowOff>
    </xdr:from>
    <xdr:to>
      <xdr:col>15</xdr:col>
      <xdr:colOff>923925</xdr:colOff>
      <xdr:row>3</xdr:row>
      <xdr:rowOff>66675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272CCFAA-DDB3-B341-7DAA-E2F5138E3EE2}"/>
            </a:ext>
          </a:extLst>
        </xdr:cNvPr>
        <xdr:cNvSpPr txBox="1">
          <a:spLocks noChangeArrowheads="1"/>
        </xdr:cNvSpPr>
      </xdr:nvSpPr>
      <xdr:spPr bwMode="auto">
        <a:xfrm>
          <a:off x="5457825" y="85725"/>
          <a:ext cx="1590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%20revise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401-Global-110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>
        <row r="36">
          <cell r="G36">
            <v>2049</v>
          </cell>
        </row>
        <row r="38">
          <cell r="G38">
            <v>55168.468000000001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39">
          <cell r="I39">
            <v>1564.5783100000008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>
        <row r="9">
          <cell r="C9">
            <v>105000</v>
          </cell>
          <cell r="D9">
            <v>50592.45</v>
          </cell>
          <cell r="G9">
            <v>123632.197</v>
          </cell>
          <cell r="M9">
            <v>21883.892</v>
          </cell>
          <cell r="N9">
            <v>23794.587500000001</v>
          </cell>
          <cell r="Q9">
            <v>18632.197000000004</v>
          </cell>
          <cell r="T9">
            <v>-1208.4779999999992</v>
          </cell>
          <cell r="U9">
            <v>6122.4485000000004</v>
          </cell>
        </row>
        <row r="10">
          <cell r="C10">
            <v>48750</v>
          </cell>
          <cell r="D10">
            <v>26369.231</v>
          </cell>
          <cell r="G10">
            <v>62267.65352</v>
          </cell>
          <cell r="M10">
            <v>12987.439</v>
          </cell>
          <cell r="N10">
            <v>12652.286</v>
          </cell>
          <cell r="Q10">
            <v>13517.65352</v>
          </cell>
          <cell r="T10">
            <v>2357.1979999999994</v>
          </cell>
          <cell r="U10">
            <v>-905</v>
          </cell>
        </row>
        <row r="11">
          <cell r="C11">
            <v>7500</v>
          </cell>
          <cell r="D11">
            <v>2170.31</v>
          </cell>
          <cell r="G11">
            <v>10465.699000000001</v>
          </cell>
          <cell r="M11">
            <v>623.16000000000008</v>
          </cell>
          <cell r="N11">
            <v>686.85</v>
          </cell>
          <cell r="Q11">
            <v>2965.6990000000001</v>
          </cell>
          <cell r="T11">
            <v>73.048999999999978</v>
          </cell>
          <cell r="U11">
            <v>65</v>
          </cell>
        </row>
        <row r="12">
          <cell r="C12">
            <v>0</v>
          </cell>
          <cell r="D12">
            <v>0</v>
          </cell>
          <cell r="G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10426.718000000001</v>
          </cell>
          <cell r="G13">
            <v>26511.923000000003</v>
          </cell>
          <cell r="M13">
            <v>5771.1759999999995</v>
          </cell>
          <cell r="N13">
            <v>3090.0879999999997</v>
          </cell>
          <cell r="Q13">
            <v>2264.501000000002</v>
          </cell>
          <cell r="T13">
            <v>-971.92199999999957</v>
          </cell>
          <cell r="U13">
            <v>2537</v>
          </cell>
        </row>
        <row r="14">
          <cell r="C14">
            <v>28625</v>
          </cell>
          <cell r="D14">
            <v>9490.4889999999996</v>
          </cell>
          <cell r="G14">
            <v>5219.4702799999995</v>
          </cell>
          <cell r="M14">
            <v>4182.6729999999998</v>
          </cell>
          <cell r="N14">
            <v>1777.654</v>
          </cell>
          <cell r="Q14">
            <v>-23405.529719999999</v>
          </cell>
          <cell r="T14">
            <v>2441.1620000000003</v>
          </cell>
          <cell r="U14">
            <v>1089</v>
          </cell>
        </row>
        <row r="15">
          <cell r="C15">
            <v>74870</v>
          </cell>
          <cell r="D15">
            <v>17221.003000000001</v>
          </cell>
          <cell r="G15">
            <v>36179.206999999995</v>
          </cell>
          <cell r="M15">
            <v>7708.33</v>
          </cell>
          <cell r="N15">
            <v>4404.57</v>
          </cell>
          <cell r="Q15">
            <v>-38690.793000000005</v>
          </cell>
          <cell r="T15">
            <v>2822.1179999999999</v>
          </cell>
          <cell r="U15">
            <v>2286</v>
          </cell>
        </row>
        <row r="16">
          <cell r="C16">
            <v>7516</v>
          </cell>
          <cell r="D16">
            <v>12136.673999999999</v>
          </cell>
          <cell r="G16">
            <v>2955.8959999999997</v>
          </cell>
          <cell r="M16">
            <v>9881.4609999999993</v>
          </cell>
          <cell r="N16">
            <v>2843.24</v>
          </cell>
          <cell r="Q16">
            <v>-4560.1040000000003</v>
          </cell>
          <cell r="T16">
            <v>672.61700000000019</v>
          </cell>
          <cell r="U16">
            <v>-1260.644</v>
          </cell>
        </row>
        <row r="17">
          <cell r="C17">
            <v>16000</v>
          </cell>
          <cell r="D17">
            <v>7864.2129999999997</v>
          </cell>
          <cell r="G17">
            <v>4019.5590000000002</v>
          </cell>
          <cell r="M17">
            <v>14484.069</v>
          </cell>
          <cell r="N17">
            <v>3342.9470000000001</v>
          </cell>
          <cell r="Q17">
            <v>-11980.440999999999</v>
          </cell>
          <cell r="T17">
            <v>-10193.319</v>
          </cell>
          <cell r="U17">
            <v>230.51600000000008</v>
          </cell>
        </row>
        <row r="18">
          <cell r="C18">
            <v>1413</v>
          </cell>
          <cell r="D18">
            <v>1600.923</v>
          </cell>
          <cell r="G18">
            <v>168.79400000000001</v>
          </cell>
          <cell r="M18">
            <v>1557.3020000000001</v>
          </cell>
          <cell r="N18">
            <v>576.46900000000005</v>
          </cell>
          <cell r="Q18">
            <v>-1244.2059999999999</v>
          </cell>
          <cell r="T18">
            <v>-747.80200000000013</v>
          </cell>
          <cell r="U18">
            <v>214.95399999999995</v>
          </cell>
        </row>
        <row r="19">
          <cell r="C19">
            <v>513.99799999999959</v>
          </cell>
          <cell r="D19">
            <v>1717.412</v>
          </cell>
          <cell r="G19">
            <v>1108.1749999999997</v>
          </cell>
          <cell r="M19">
            <v>658.53800000000001</v>
          </cell>
          <cell r="N19">
            <v>974.61300000000006</v>
          </cell>
          <cell r="Q19">
            <v>594.17700000000013</v>
          </cell>
          <cell r="T19">
            <v>-83.715000000000003</v>
          </cell>
          <cell r="U19">
            <v>167.97600000000006</v>
          </cell>
        </row>
        <row r="20">
          <cell r="C20">
            <v>3750</v>
          </cell>
          <cell r="D20">
            <v>3366.3780000000002</v>
          </cell>
          <cell r="G20">
            <v>0.84899999999999998</v>
          </cell>
          <cell r="M20">
            <v>930.87699999999995</v>
          </cell>
          <cell r="N20">
            <v>1600.8820000000001</v>
          </cell>
          <cell r="Q20">
            <v>-3749.1509999999998</v>
          </cell>
          <cell r="T20">
            <v>611.60900000000015</v>
          </cell>
          <cell r="U20">
            <v>223.01</v>
          </cell>
        </row>
        <row r="21">
          <cell r="C21">
            <v>3205.701</v>
          </cell>
          <cell r="D21">
            <v>334.45</v>
          </cell>
          <cell r="G21">
            <v>4502.6549999999997</v>
          </cell>
          <cell r="M21">
            <v>261.31200000000001</v>
          </cell>
          <cell r="N21">
            <v>0</v>
          </cell>
          <cell r="Q21">
            <v>1296.954</v>
          </cell>
          <cell r="T21">
            <v>26.137999999999977</v>
          </cell>
          <cell r="U21">
            <v>47.079000000000001</v>
          </cell>
        </row>
        <row r="22">
          <cell r="C22">
            <v>0</v>
          </cell>
          <cell r="D22">
            <v>2316.62</v>
          </cell>
          <cell r="G22">
            <v>401.476</v>
          </cell>
          <cell r="M22">
            <v>1181.5140000000001</v>
          </cell>
          <cell r="N22">
            <v>383.81899999999996</v>
          </cell>
          <cell r="Q22">
            <v>401.476</v>
          </cell>
          <cell r="T22">
            <v>922.38799999999992</v>
          </cell>
          <cell r="U22">
            <v>-171.101</v>
          </cell>
        </row>
        <row r="23">
          <cell r="C23">
            <v>0</v>
          </cell>
          <cell r="D23">
            <v>3031.4639999999999</v>
          </cell>
          <cell r="G23">
            <v>0</v>
          </cell>
          <cell r="M23">
            <v>1881.4549999999999</v>
          </cell>
          <cell r="N23">
            <v>982.88499999999999</v>
          </cell>
          <cell r="Q23">
            <v>0</v>
          </cell>
          <cell r="T23">
            <v>-273.68299999999988</v>
          </cell>
          <cell r="U23">
            <v>440.80699999999996</v>
          </cell>
        </row>
        <row r="24">
          <cell r="D24">
            <v>0</v>
          </cell>
          <cell r="Q24">
            <v>-11324.103999999999</v>
          </cell>
          <cell r="T24">
            <v>0</v>
          </cell>
          <cell r="U24">
            <v>0</v>
          </cell>
        </row>
        <row r="26">
          <cell r="I26">
            <v>0</v>
          </cell>
        </row>
        <row r="28">
          <cell r="G28">
            <v>-51501</v>
          </cell>
          <cell r="Q28">
            <v>-51501</v>
          </cell>
        </row>
        <row r="29">
          <cell r="D29">
            <v>0</v>
          </cell>
          <cell r="G29">
            <v>0</v>
          </cell>
          <cell r="M29">
            <v>1448.0150000000001</v>
          </cell>
          <cell r="N29">
            <v>0</v>
          </cell>
          <cell r="Q29">
            <v>0</v>
          </cell>
          <cell r="T29">
            <v>-1448.0150000000001</v>
          </cell>
          <cell r="U29">
            <v>0</v>
          </cell>
        </row>
        <row r="30">
          <cell r="C30">
            <v>0</v>
          </cell>
          <cell r="D30">
            <v>86050.168999999994</v>
          </cell>
          <cell r="G30">
            <v>0</v>
          </cell>
          <cell r="M30">
            <v>91151.654999999999</v>
          </cell>
          <cell r="N30">
            <v>0</v>
          </cell>
          <cell r="Q30">
            <v>0</v>
          </cell>
          <cell r="T30">
            <v>-5101.1790000000001</v>
          </cell>
          <cell r="U30">
            <v>0</v>
          </cell>
        </row>
        <row r="31">
          <cell r="C31">
            <v>0</v>
          </cell>
          <cell r="D31">
            <v>-68197.744000000006</v>
          </cell>
          <cell r="G31">
            <v>0</v>
          </cell>
          <cell r="M31">
            <v>0</v>
          </cell>
          <cell r="N31">
            <v>-57110.479500000001</v>
          </cell>
          <cell r="Q31">
            <v>0</v>
          </cell>
          <cell r="T31">
            <v>0</v>
          </cell>
          <cell r="U31">
            <v>-11087.264500000001</v>
          </cell>
        </row>
        <row r="37">
          <cell r="C37">
            <v>0</v>
          </cell>
          <cell r="D37">
            <v>20500</v>
          </cell>
          <cell r="M37">
            <v>23002</v>
          </cell>
          <cell r="N37">
            <v>0</v>
          </cell>
          <cell r="Q37">
            <v>0</v>
          </cell>
          <cell r="T37">
            <v>-2502</v>
          </cell>
          <cell r="U37">
            <v>0</v>
          </cell>
        </row>
      </sheetData>
      <sheetData sheetId="2"/>
      <sheetData sheetId="3">
        <row r="31">
          <cell r="C31">
            <v>0</v>
          </cell>
          <cell r="J31">
            <v>0</v>
          </cell>
        </row>
        <row r="32">
          <cell r="C32">
            <v>0</v>
          </cell>
          <cell r="J32">
            <v>0</v>
          </cell>
        </row>
      </sheetData>
      <sheetData sheetId="4"/>
      <sheetData sheetId="5">
        <row r="36">
          <cell r="I36">
            <v>82539.48</v>
          </cell>
        </row>
      </sheetData>
      <sheetData sheetId="6">
        <row r="28">
          <cell r="D28">
            <v>0</v>
          </cell>
          <cell r="E28">
            <v>0</v>
          </cell>
        </row>
      </sheetData>
      <sheetData sheetId="7">
        <row r="9">
          <cell r="E9">
            <v>82.351000000000568</v>
          </cell>
        </row>
        <row r="10">
          <cell r="E10">
            <v>240.23799999999937</v>
          </cell>
        </row>
        <row r="11">
          <cell r="E11">
            <v>73.048999999999978</v>
          </cell>
        </row>
        <row r="13">
          <cell r="E13">
            <v>-262.77499999999964</v>
          </cell>
        </row>
        <row r="14">
          <cell r="E14">
            <v>423.93899999999985</v>
          </cell>
        </row>
        <row r="15">
          <cell r="E15">
            <v>272.62300000000005</v>
          </cell>
        </row>
        <row r="16">
          <cell r="E16">
            <v>941.87900000000036</v>
          </cell>
        </row>
        <row r="22">
          <cell r="E22">
            <v>214.98699999999997</v>
          </cell>
        </row>
        <row r="23">
          <cell r="E23">
            <v>4.1820000000000164</v>
          </cell>
        </row>
      </sheetData>
      <sheetData sheetId="8">
        <row r="27">
          <cell r="D27">
            <v>0</v>
          </cell>
          <cell r="E27">
            <v>0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1010.9559999999999</v>
          </cell>
        </row>
        <row r="27">
          <cell r="G27">
            <v>0</v>
          </cell>
        </row>
        <row r="28">
          <cell r="E28">
            <v>0</v>
          </cell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3"/>
      <sheetData sheetId="4"/>
      <sheetData sheetId="5">
        <row r="10">
          <cell r="D10">
            <v>-40961.425000000003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3029</v>
          </cell>
          <cell r="E11">
            <v>111.345</v>
          </cell>
          <cell r="G11">
            <v>0</v>
          </cell>
          <cell r="K11">
            <v>0</v>
          </cell>
        </row>
        <row r="12">
          <cell r="D12">
            <v>2465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-3597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143</v>
          </cell>
          <cell r="E15">
            <v>11.188000000000001</v>
          </cell>
          <cell r="G15">
            <v>0</v>
          </cell>
          <cell r="K15">
            <v>0</v>
          </cell>
        </row>
        <row r="16">
          <cell r="D16">
            <v>-829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1728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1942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-125</v>
          </cell>
          <cell r="E23">
            <v>50.927999999999997</v>
          </cell>
          <cell r="G23">
            <v>0</v>
          </cell>
          <cell r="K23">
            <v>0</v>
          </cell>
        </row>
        <row r="24">
          <cell r="D24">
            <v>1556</v>
          </cell>
          <cell r="E24">
            <v>1000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1.425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1147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56"/>
  <sheetViews>
    <sheetView zoomScale="95" workbookViewId="0">
      <selection activeCell="C28" sqref="C2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7.7109375" style="14" customWidth="1"/>
    <col min="16" max="17" width="8.7109375" style="14" customWidth="1"/>
    <col min="18" max="18" width="0.85546875" style="14" customWidth="1"/>
    <col min="19" max="16384" width="9.140625" style="14"/>
  </cols>
  <sheetData>
    <row r="1" spans="1:18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 s="187"/>
    </row>
    <row r="2" spans="1:18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R2" s="193"/>
    </row>
    <row r="3" spans="1:18" s="188" customFormat="1" ht="15.75" customHeight="1">
      <c r="A3" s="307" t="s">
        <v>139</v>
      </c>
      <c r="B3"/>
      <c r="C3"/>
      <c r="D3"/>
      <c r="E3"/>
      <c r="F3"/>
      <c r="G3"/>
      <c r="H3"/>
      <c r="I3"/>
      <c r="J3"/>
      <c r="K3"/>
      <c r="L3"/>
      <c r="M3" s="284" t="s">
        <v>110</v>
      </c>
      <c r="N3"/>
      <c r="O3"/>
      <c r="P3"/>
      <c r="R3" s="193"/>
    </row>
    <row r="4" spans="1:18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 t="str">
        <f>+'Mgmt Summary'!A3</f>
        <v>Results based on activity through November 16, 2001</v>
      </c>
      <c r="N4"/>
      <c r="O4"/>
      <c r="P4"/>
      <c r="R4" s="193"/>
    </row>
    <row r="5" spans="1:18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 s="195"/>
    </row>
    <row r="6" spans="1:18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</row>
    <row r="7" spans="1:18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</row>
    <row r="8" spans="1:18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</row>
    <row r="9" spans="1:18" s="32" customFormat="1" ht="13.5" customHeight="1">
      <c r="A9" s="219" t="s">
        <v>104</v>
      </c>
      <c r="B9" s="220"/>
      <c r="C9" s="221">
        <f>+'YTD Mgmt Summary'!J9</f>
        <v>76673.782000000007</v>
      </c>
      <c r="D9" s="222">
        <f>+'YTD Mgmt Summary'!C9</f>
        <v>150000</v>
      </c>
      <c r="E9" s="223">
        <f t="shared" ref="E9:E24" si="0">-D9+C9</f>
        <v>-73326.217999999993</v>
      </c>
      <c r="F9" s="224"/>
      <c r="G9" s="221">
        <f>+'YTD Mgmt Summary'!M9+'YTD Mgmt Summary'!N9</f>
        <v>62600.222500000003</v>
      </c>
      <c r="H9" s="222">
        <f>+'YTD Mgmt Summary'!D9</f>
        <v>67514.192999999999</v>
      </c>
      <c r="I9" s="223">
        <f t="shared" ref="I9:I24" si="1">+H9-G9</f>
        <v>4913.9704999999958</v>
      </c>
      <c r="J9" s="224"/>
      <c r="K9" s="221">
        <f>+C9-G9</f>
        <v>14073.559500000003</v>
      </c>
      <c r="L9" s="222">
        <f t="shared" ref="L9:L24" si="2">D9-H9</f>
        <v>82485.807000000001</v>
      </c>
      <c r="M9" s="223">
        <f t="shared" ref="M9:M24" si="3">K9-L9</f>
        <v>-68412.247499999998</v>
      </c>
      <c r="N9" s="267"/>
    </row>
    <row r="10" spans="1:18" s="32" customFormat="1" ht="13.5" customHeight="1">
      <c r="A10" s="219" t="s">
        <v>116</v>
      </c>
      <c r="B10" s="220"/>
      <c r="C10" s="221">
        <f>+'YTD Mgmt Summary'!J10</f>
        <v>66296.339519999994</v>
      </c>
      <c r="D10" s="222">
        <f>+'YTD Mgmt Summary'!C10</f>
        <v>65000</v>
      </c>
      <c r="E10" s="223">
        <f t="shared" si="0"/>
        <v>1296.3395199999941</v>
      </c>
      <c r="F10" s="224"/>
      <c r="G10" s="221">
        <f>+'YTD Mgmt Summary'!M10+'YTD Mgmt Summary'!N10</f>
        <v>34539.212</v>
      </c>
      <c r="H10" s="222">
        <f>+'YTD Mgmt Summary'!D10</f>
        <v>35268.718000000001</v>
      </c>
      <c r="I10" s="223">
        <f t="shared" si="1"/>
        <v>729.50600000000122</v>
      </c>
      <c r="J10" s="224"/>
      <c r="K10" s="221">
        <f t="shared" ref="K10:K24" si="4">C10-G10</f>
        <v>31757.127519999995</v>
      </c>
      <c r="L10" s="222">
        <f t="shared" si="2"/>
        <v>29731.281999999999</v>
      </c>
      <c r="M10" s="223">
        <f t="shared" si="3"/>
        <v>2025.8455199999953</v>
      </c>
      <c r="N10" s="267"/>
    </row>
    <row r="11" spans="1:18" s="32" customFormat="1" ht="13.5" customHeight="1">
      <c r="A11" s="219" t="s">
        <v>108</v>
      </c>
      <c r="B11" s="220"/>
      <c r="C11" s="221">
        <f>+'YTD Mgmt Summary'!J11</f>
        <v>13852.699000000001</v>
      </c>
      <c r="D11" s="222">
        <f>+'YTD Mgmt Summary'!C11</f>
        <v>10000</v>
      </c>
      <c r="E11" s="223">
        <f t="shared" si="0"/>
        <v>3852.6990000000005</v>
      </c>
      <c r="F11" s="224"/>
      <c r="G11" s="221">
        <f>+'YTD Mgmt Summary'!M11+'YTD Mgmt Summary'!N11</f>
        <v>2033.2840000000001</v>
      </c>
      <c r="H11" s="222">
        <f>+'YTD Mgmt Summary'!D11</f>
        <v>2893.5839999999998</v>
      </c>
      <c r="I11" s="223">
        <f t="shared" si="1"/>
        <v>860.29999999999973</v>
      </c>
      <c r="J11" s="224"/>
      <c r="K11" s="221">
        <f t="shared" si="4"/>
        <v>11819.415000000001</v>
      </c>
      <c r="L11" s="222">
        <f t="shared" si="2"/>
        <v>7106.4160000000002</v>
      </c>
      <c r="M11" s="223">
        <f t="shared" si="3"/>
        <v>4712.9990000000007</v>
      </c>
      <c r="N11" s="267"/>
    </row>
    <row r="12" spans="1:18" s="32" customFormat="1" ht="13.5" hidden="1" customHeight="1">
      <c r="A12" s="219" t="s">
        <v>43</v>
      </c>
      <c r="B12" s="220"/>
      <c r="C12" s="221">
        <f>+'YTD Mgmt Summary'!J12</f>
        <v>0</v>
      </c>
      <c r="D12" s="222">
        <f>+'YTD Mgmt Summary'!C12</f>
        <v>0</v>
      </c>
      <c r="E12" s="223">
        <f t="shared" si="0"/>
        <v>0</v>
      </c>
      <c r="F12" s="224"/>
      <c r="G12" s="221">
        <f>+'YTD Mgmt Summary'!M12+'YTD Mgmt Summary'!N12</f>
        <v>0</v>
      </c>
      <c r="H12" s="222">
        <f>+'YTD Mgmt Summary'!D12</f>
        <v>0</v>
      </c>
      <c r="I12" s="223">
        <f t="shared" si="1"/>
        <v>0</v>
      </c>
      <c r="J12" s="224"/>
      <c r="K12" s="221">
        <f t="shared" si="4"/>
        <v>0</v>
      </c>
      <c r="L12" s="222">
        <f t="shared" si="2"/>
        <v>0</v>
      </c>
      <c r="M12" s="223">
        <f t="shared" si="3"/>
        <v>0</v>
      </c>
      <c r="N12" s="267"/>
    </row>
    <row r="13" spans="1:18" s="32" customFormat="1" ht="13.5" customHeight="1">
      <c r="A13" s="219" t="s">
        <v>62</v>
      </c>
      <c r="B13" s="220"/>
      <c r="C13" s="221">
        <f>+'YTD Mgmt Summary'!J13</f>
        <v>21619.923000000003</v>
      </c>
      <c r="D13" s="222">
        <f>+'YTD Mgmt Summary'!C13</f>
        <v>33000.002</v>
      </c>
      <c r="E13" s="223">
        <f t="shared" si="0"/>
        <v>-11380.078999999998</v>
      </c>
      <c r="F13" s="224"/>
      <c r="G13" s="221">
        <f>+'YTD Mgmt Summary'!M13+'YTD Mgmt Summary'!N13</f>
        <v>12498.097</v>
      </c>
      <c r="H13" s="222">
        <f>+'YTD Mgmt Summary'!D13</f>
        <v>13763.551000000001</v>
      </c>
      <c r="I13" s="223">
        <f t="shared" si="1"/>
        <v>1265.4540000000015</v>
      </c>
      <c r="J13" s="224"/>
      <c r="K13" s="221">
        <f t="shared" si="4"/>
        <v>9121.8260000000028</v>
      </c>
      <c r="L13" s="222">
        <f t="shared" si="2"/>
        <v>19236.451000000001</v>
      </c>
      <c r="M13" s="223">
        <f t="shared" si="3"/>
        <v>-10114.624999999998</v>
      </c>
      <c r="N13" s="267"/>
    </row>
    <row r="14" spans="1:18" s="32" customFormat="1" ht="13.5" customHeight="1">
      <c r="A14" s="219" t="s">
        <v>69</v>
      </c>
      <c r="B14" s="220"/>
      <c r="C14" s="221">
        <f>+'YTD Mgmt Summary'!J14</f>
        <v>6077.8972799999992</v>
      </c>
      <c r="D14" s="222">
        <f>+'YTD Mgmt Summary'!C14</f>
        <v>37500</v>
      </c>
      <c r="E14" s="223">
        <f t="shared" si="0"/>
        <v>-31422.102720000003</v>
      </c>
      <c r="F14" s="224"/>
      <c r="G14" s="221">
        <f>+'YTD Mgmt Summary'!M14+'YTD Mgmt Summary'!N14</f>
        <v>9430.7350000000006</v>
      </c>
      <c r="H14" s="222">
        <f>+'YTD Mgmt Summary'!D14</f>
        <v>12960.896999999999</v>
      </c>
      <c r="I14" s="223">
        <f t="shared" si="1"/>
        <v>3530.1619999999984</v>
      </c>
      <c r="J14" s="224"/>
      <c r="K14" s="221">
        <f t="shared" si="4"/>
        <v>-3352.8377200000014</v>
      </c>
      <c r="L14" s="222">
        <f t="shared" si="2"/>
        <v>24539.103000000003</v>
      </c>
      <c r="M14" s="223">
        <f t="shared" si="3"/>
        <v>-27891.940720000006</v>
      </c>
      <c r="N14" s="267"/>
    </row>
    <row r="15" spans="1:18" s="32" customFormat="1" ht="13.5" customHeight="1">
      <c r="A15" s="219" t="s">
        <v>49</v>
      </c>
      <c r="B15" s="220"/>
      <c r="C15" s="221">
        <f>+'YTD Mgmt Summary'!J15</f>
        <v>38015.206999999995</v>
      </c>
      <c r="D15" s="222">
        <f>+'YTD Mgmt Summary'!C15</f>
        <v>100493</v>
      </c>
      <c r="E15" s="223">
        <f t="shared" si="0"/>
        <v>-62477.793000000005</v>
      </c>
      <c r="F15" s="224"/>
      <c r="G15" s="221">
        <f>+'YTD Mgmt Summary'!M15+'YTD Mgmt Summary'!N15</f>
        <v>15243.447</v>
      </c>
      <c r="H15" s="222">
        <f>+'YTD Mgmt Summary'!D15</f>
        <v>20351.550000000003</v>
      </c>
      <c r="I15" s="223">
        <f t="shared" si="1"/>
        <v>5108.1030000000028</v>
      </c>
      <c r="J15" s="224"/>
      <c r="K15" s="221">
        <f t="shared" si="4"/>
        <v>22771.759999999995</v>
      </c>
      <c r="L15" s="222">
        <f t="shared" si="2"/>
        <v>80141.45</v>
      </c>
      <c r="M15" s="223">
        <f t="shared" si="3"/>
        <v>-57369.69</v>
      </c>
      <c r="N15" s="267"/>
    </row>
    <row r="16" spans="1:18" s="32" customFormat="1" ht="13.5" customHeight="1">
      <c r="A16" s="219" t="s">
        <v>105</v>
      </c>
      <c r="B16" s="220"/>
      <c r="C16" s="221">
        <f>+'YTD Mgmt Summary'!J16</f>
        <v>2863.1719999999996</v>
      </c>
      <c r="D16" s="222">
        <f>+'YTD Mgmt Summary'!C16</f>
        <v>20821.5</v>
      </c>
      <c r="E16" s="223">
        <f t="shared" si="0"/>
        <v>-17958.328000000001</v>
      </c>
      <c r="F16" s="224"/>
      <c r="G16" s="221">
        <f>+'YTD Mgmt Summary'!M16+'YTD Mgmt Summary'!N16</f>
        <v>21487.911</v>
      </c>
      <c r="H16" s="222">
        <f>+'YTD Mgmt Summary'!D16</f>
        <v>20899.883999999998</v>
      </c>
      <c r="I16" s="223">
        <f t="shared" si="1"/>
        <v>-588.02700000000186</v>
      </c>
      <c r="J16" s="224"/>
      <c r="K16" s="221">
        <f t="shared" si="4"/>
        <v>-18624.739000000001</v>
      </c>
      <c r="L16" s="222">
        <f t="shared" si="2"/>
        <v>-78.383999999998196</v>
      </c>
      <c r="M16" s="223">
        <f t="shared" si="3"/>
        <v>-18546.355000000003</v>
      </c>
      <c r="N16" s="267"/>
    </row>
    <row r="17" spans="1:15" s="32" customFormat="1" ht="13.5" customHeight="1">
      <c r="A17" s="219" t="s">
        <v>85</v>
      </c>
      <c r="B17" s="220"/>
      <c r="C17" s="221">
        <f>+'YTD Mgmt Summary'!J17</f>
        <v>6243.5590000000002</v>
      </c>
      <c r="D17" s="222">
        <f>+'YTD Mgmt Summary'!C17</f>
        <v>60000</v>
      </c>
      <c r="E17" s="223">
        <f t="shared" si="0"/>
        <v>-53756.440999999999</v>
      </c>
      <c r="F17" s="224"/>
      <c r="G17" s="221">
        <f>+'YTD Mgmt Summary'!M17+'YTD Mgmt Summary'!N17</f>
        <v>22286.444</v>
      </c>
      <c r="H17" s="222">
        <f>+'YTD Mgmt Summary'!D17</f>
        <v>10483.641</v>
      </c>
      <c r="I17" s="223">
        <f t="shared" si="1"/>
        <v>-11802.803</v>
      </c>
      <c r="J17" s="224"/>
      <c r="K17" s="221">
        <f t="shared" si="4"/>
        <v>-16042.884999999998</v>
      </c>
      <c r="L17" s="222">
        <f t="shared" si="2"/>
        <v>49516.358999999997</v>
      </c>
      <c r="M17" s="223">
        <f t="shared" si="3"/>
        <v>-65559.243999999992</v>
      </c>
      <c r="N17" s="267"/>
      <c r="O17" s="270"/>
    </row>
    <row r="18" spans="1:15" s="32" customFormat="1" ht="13.5" customHeight="1">
      <c r="A18" s="294" t="s">
        <v>124</v>
      </c>
      <c r="B18" s="220"/>
      <c r="C18" s="221">
        <f>+'YTD Mgmt Summary'!J18</f>
        <v>168.79400000000001</v>
      </c>
      <c r="D18" s="222">
        <f>+'YTD Mgmt Summary'!C18</f>
        <v>1413</v>
      </c>
      <c r="E18" s="223">
        <f t="shared" si="0"/>
        <v>-1244.2059999999999</v>
      </c>
      <c r="F18" s="224"/>
      <c r="G18" s="221">
        <f>+'YTD Mgmt Summary'!M18+'YTD Mgmt Summary'!N18</f>
        <v>2133.7710000000002</v>
      </c>
      <c r="H18" s="222">
        <f>+'YTD Mgmt Summary'!D18</f>
        <v>1600.923</v>
      </c>
      <c r="I18" s="223">
        <f t="shared" si="1"/>
        <v>-532.84800000000018</v>
      </c>
      <c r="J18" s="224"/>
      <c r="K18" s="221">
        <f t="shared" si="4"/>
        <v>-1964.9770000000001</v>
      </c>
      <c r="L18" s="222">
        <f t="shared" si="2"/>
        <v>-187.923</v>
      </c>
      <c r="M18" s="223">
        <f t="shared" si="3"/>
        <v>-1777.0540000000001</v>
      </c>
      <c r="N18" s="267"/>
      <c r="O18" s="270"/>
    </row>
    <row r="19" spans="1:15" s="32" customFormat="1" ht="13.5" customHeight="1">
      <c r="A19" s="294" t="s">
        <v>125</v>
      </c>
      <c r="B19" s="220"/>
      <c r="C19" s="221">
        <f>+'YTD Mgmt Summary'!J19</f>
        <v>1108.1749999999997</v>
      </c>
      <c r="D19" s="222">
        <f>+'YTD Mgmt Summary'!C19</f>
        <v>513.99799999999959</v>
      </c>
      <c r="E19" s="223">
        <f t="shared" si="0"/>
        <v>594.17700000000013</v>
      </c>
      <c r="F19" s="224"/>
      <c r="G19" s="221">
        <f>+'YTD Mgmt Summary'!M19+'YTD Mgmt Summary'!N19</f>
        <v>1633.1510000000001</v>
      </c>
      <c r="H19" s="222">
        <f>+'YTD Mgmt Summary'!D19</f>
        <v>1717.412</v>
      </c>
      <c r="I19" s="256">
        <f t="shared" si="1"/>
        <v>84.260999999999967</v>
      </c>
      <c r="J19" s="224"/>
      <c r="K19" s="254">
        <f t="shared" si="4"/>
        <v>-524.97600000000034</v>
      </c>
      <c r="L19" s="255">
        <f t="shared" si="2"/>
        <v>-1203.4140000000004</v>
      </c>
      <c r="M19" s="256">
        <f t="shared" si="3"/>
        <v>678.4380000000001</v>
      </c>
      <c r="N19" s="267"/>
    </row>
    <row r="20" spans="1:15" s="32" customFormat="1" ht="13.5" customHeight="1">
      <c r="A20" s="219" t="s">
        <v>117</v>
      </c>
      <c r="B20" s="220"/>
      <c r="C20" s="221">
        <f>+'YTD Mgmt Summary'!J20</f>
        <v>2.2640000000000002</v>
      </c>
      <c r="D20" s="222">
        <f>+'YTD Mgmt Summary'!C20</f>
        <v>7500</v>
      </c>
      <c r="E20" s="223">
        <f t="shared" si="0"/>
        <v>-7497.7359999999999</v>
      </c>
      <c r="F20" s="224"/>
      <c r="G20" s="221">
        <f>+'YTD Mgmt Summary'!M20+'YTD Mgmt Summary'!N20</f>
        <v>5898.1370000000006</v>
      </c>
      <c r="H20" s="222">
        <f>+'YTD Mgmt Summary'!D20</f>
        <v>6732.7560000000003</v>
      </c>
      <c r="I20" s="256">
        <f t="shared" si="1"/>
        <v>834.61899999999969</v>
      </c>
      <c r="J20" s="224"/>
      <c r="K20" s="254">
        <f t="shared" si="4"/>
        <v>-5895.8730000000005</v>
      </c>
      <c r="L20" s="255">
        <f t="shared" si="2"/>
        <v>767.24399999999969</v>
      </c>
      <c r="M20" s="256">
        <f t="shared" si="3"/>
        <v>-6663.1170000000002</v>
      </c>
      <c r="N20" s="267"/>
    </row>
    <row r="21" spans="1:15" s="32" customFormat="1" ht="13.5" customHeight="1">
      <c r="A21" s="219" t="s">
        <v>118</v>
      </c>
      <c r="B21" s="220"/>
      <c r="C21" s="221">
        <f>+'YTD Mgmt Summary'!J21</f>
        <v>5649.6549999999997</v>
      </c>
      <c r="D21" s="222">
        <f>+'YTD Mgmt Summary'!C21</f>
        <v>4808.402</v>
      </c>
      <c r="E21" s="223">
        <f t="shared" si="0"/>
        <v>841.2529999999997</v>
      </c>
      <c r="F21" s="224"/>
      <c r="G21" s="221">
        <f>+'YTD Mgmt Summary'!M21+'YTD Mgmt Summary'!N21</f>
        <v>399.762</v>
      </c>
      <c r="H21" s="222">
        <f>+'YTD Mgmt Summary'!D21</f>
        <v>472.9</v>
      </c>
      <c r="I21" s="256">
        <f t="shared" si="1"/>
        <v>73.137999999999977</v>
      </c>
      <c r="J21" s="224"/>
      <c r="K21" s="254">
        <f t="shared" si="4"/>
        <v>5249.893</v>
      </c>
      <c r="L21" s="255">
        <f t="shared" si="2"/>
        <v>4335.5020000000004</v>
      </c>
      <c r="M21" s="256">
        <f t="shared" si="3"/>
        <v>914.39099999999962</v>
      </c>
      <c r="N21" s="267"/>
    </row>
    <row r="22" spans="1:15" s="32" customFormat="1" ht="13.5" customHeight="1">
      <c r="A22" s="219" t="s">
        <v>103</v>
      </c>
      <c r="B22" s="220"/>
      <c r="C22" s="221">
        <f>+'YTD Mgmt Summary'!J22</f>
        <v>401.476</v>
      </c>
      <c r="D22" s="222">
        <f>+'YTD Mgmt Summary'!C22</f>
        <v>0</v>
      </c>
      <c r="E22" s="223">
        <f t="shared" si="0"/>
        <v>401.476</v>
      </c>
      <c r="F22" s="224"/>
      <c r="G22" s="221">
        <f>+'YTD Mgmt Summary'!M22+'YTD Mgmt Summary'!N22</f>
        <v>2331.2939999999999</v>
      </c>
      <c r="H22" s="222">
        <f>+'YTD Mgmt Summary'!D22</f>
        <v>3082.5810000000001</v>
      </c>
      <c r="I22" s="223">
        <f t="shared" si="1"/>
        <v>751.28700000000026</v>
      </c>
      <c r="J22" s="224"/>
      <c r="K22" s="221">
        <f t="shared" si="4"/>
        <v>-1929.8179999999998</v>
      </c>
      <c r="L22" s="222">
        <f t="shared" si="2"/>
        <v>-3082.5810000000001</v>
      </c>
      <c r="M22" s="223">
        <f t="shared" si="3"/>
        <v>1152.7630000000004</v>
      </c>
      <c r="N22" s="267"/>
    </row>
    <row r="23" spans="1:15" s="32" customFormat="1" ht="13.5" customHeight="1">
      <c r="A23" s="219" t="s">
        <v>2</v>
      </c>
      <c r="B23" s="220"/>
      <c r="C23" s="221">
        <f>+'YTD Mgmt Summary'!J23</f>
        <v>0</v>
      </c>
      <c r="D23" s="222">
        <f>+'YTD Mgmt Summary'!C23</f>
        <v>0</v>
      </c>
      <c r="E23" s="223">
        <f t="shared" si="0"/>
        <v>0</v>
      </c>
      <c r="F23" s="224"/>
      <c r="G23" s="221">
        <f>+'YTD Mgmt Summary'!M23+'YTD Mgmt Summary'!N23</f>
        <v>3875.2959999999994</v>
      </c>
      <c r="H23" s="222">
        <f>+'YTD Mgmt Summary'!D23</f>
        <v>4042.42</v>
      </c>
      <c r="I23" s="223">
        <f t="shared" si="1"/>
        <v>167.12400000000071</v>
      </c>
      <c r="J23" s="224"/>
      <c r="K23" s="221">
        <f t="shared" si="4"/>
        <v>-3875.2959999999994</v>
      </c>
      <c r="L23" s="222">
        <f t="shared" si="2"/>
        <v>-4042.42</v>
      </c>
      <c r="M23" s="223">
        <f t="shared" si="3"/>
        <v>167.12400000000071</v>
      </c>
      <c r="N23" s="267"/>
    </row>
    <row r="24" spans="1:15" s="32" customFormat="1" ht="13.5" customHeight="1">
      <c r="A24" s="219" t="s">
        <v>115</v>
      </c>
      <c r="B24" s="220"/>
      <c r="C24" s="221">
        <f>+'YTD Mgmt Summary'!J24</f>
        <v>0</v>
      </c>
      <c r="D24" s="222">
        <f>+'YTD Mgmt Summary'!C24</f>
        <v>16976.965</v>
      </c>
      <c r="E24" s="223">
        <f t="shared" si="0"/>
        <v>-16976.965</v>
      </c>
      <c r="F24" s="224"/>
      <c r="G24" s="221">
        <f>+'YTD Mgmt Summary'!M24+'YTD Mgmt Summary'!N24</f>
        <v>0</v>
      </c>
      <c r="H24" s="222">
        <f>+'YTD Mgmt Summary'!D24</f>
        <v>0</v>
      </c>
      <c r="I24" s="223">
        <f t="shared" si="1"/>
        <v>0</v>
      </c>
      <c r="J24" s="224"/>
      <c r="K24" s="221">
        <f t="shared" si="4"/>
        <v>0</v>
      </c>
      <c r="L24" s="222">
        <f t="shared" si="2"/>
        <v>16976.965</v>
      </c>
      <c r="M24" s="223">
        <f t="shared" si="3"/>
        <v>-16976.965</v>
      </c>
      <c r="N24" s="267"/>
    </row>
    <row r="25" spans="1:15" ht="4.5" customHeight="1">
      <c r="A25" s="207"/>
      <c r="B25" s="202"/>
      <c r="C25" s="221"/>
      <c r="D25" s="222"/>
      <c r="E25" s="223"/>
      <c r="F25" s="214"/>
      <c r="G25" s="221"/>
      <c r="H25" s="212"/>
      <c r="I25" s="213"/>
      <c r="J25" s="214"/>
      <c r="K25" s="211"/>
      <c r="L25" s="212"/>
      <c r="M25" s="213"/>
      <c r="N25" s="266"/>
    </row>
    <row r="26" spans="1:15" s="216" customFormat="1" ht="16.5">
      <c r="A26" s="225" t="s">
        <v>3</v>
      </c>
      <c r="B26" s="215"/>
      <c r="C26" s="230">
        <f>SUM(C9:C25)</f>
        <v>238972.94279999996</v>
      </c>
      <c r="D26" s="231">
        <f>SUM(D9:D25)</f>
        <v>508026.86700000003</v>
      </c>
      <c r="E26" s="232">
        <f>SUM(E9:E25)</f>
        <v>-269053.92420000001</v>
      </c>
      <c r="F26" s="233"/>
      <c r="G26" s="230">
        <f>SUM(G9:G25)</f>
        <v>196390.76349999997</v>
      </c>
      <c r="H26" s="231">
        <f>SUM(H9:H25)</f>
        <v>201785.01000000004</v>
      </c>
      <c r="I26" s="232">
        <f>SUM(I9:I25)</f>
        <v>5394.2464999999956</v>
      </c>
      <c r="J26" s="233"/>
      <c r="K26" s="230">
        <f>SUM(K9:K25)</f>
        <v>42582.179299999989</v>
      </c>
      <c r="L26" s="231">
        <f>SUM(L9:L25)</f>
        <v>306241.85700000008</v>
      </c>
      <c r="M26" s="232">
        <f>SUM(M9:M25)</f>
        <v>-263659.6777</v>
      </c>
      <c r="N26" s="268"/>
    </row>
    <row r="27" spans="1:15" ht="4.5" customHeight="1">
      <c r="A27" s="207"/>
      <c r="B27" s="215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</row>
    <row r="28" spans="1:15" ht="13.5">
      <c r="A28" s="308" t="s">
        <v>119</v>
      </c>
      <c r="B28" s="215"/>
      <c r="C28" s="221">
        <f>+'YTD Mgmt Summary'!J28</f>
        <v>-81501</v>
      </c>
      <c r="D28" s="222">
        <f>+'YTD Mgmt Summary'!C28</f>
        <v>0</v>
      </c>
      <c r="E28" s="223">
        <f t="shared" ref="E28:E33" si="5">-D28+C28</f>
        <v>-81501</v>
      </c>
      <c r="F28" s="214"/>
      <c r="G28" s="221">
        <f>+'YTD Mgmt Summary'!M28+'YTD Mgmt Summary'!N28</f>
        <v>0</v>
      </c>
      <c r="H28" s="222">
        <f>+'YTD Mgmt Summary'!D28</f>
        <v>0</v>
      </c>
      <c r="I28" s="256">
        <f t="shared" ref="I28:I33" si="6">+H28-G28</f>
        <v>0</v>
      </c>
      <c r="J28" s="214"/>
      <c r="K28" s="254">
        <f>C28-G28</f>
        <v>-81501</v>
      </c>
      <c r="L28" s="255">
        <f>D28-H28</f>
        <v>0</v>
      </c>
      <c r="M28" s="256">
        <f t="shared" ref="M28:M33" si="7">K28-L28</f>
        <v>-81501</v>
      </c>
      <c r="N28" s="266"/>
    </row>
    <row r="29" spans="1:15" s="64" customFormat="1" ht="13.5">
      <c r="A29" s="308" t="s">
        <v>120</v>
      </c>
      <c r="B29" s="215"/>
      <c r="C29" s="221">
        <f>+'YTD Mgmt Summary'!J29</f>
        <v>0</v>
      </c>
      <c r="D29" s="222">
        <f>+'YTD Mgmt Summary'!C29</f>
        <v>0</v>
      </c>
      <c r="E29" s="256">
        <f t="shared" si="5"/>
        <v>0</v>
      </c>
      <c r="F29" s="214"/>
      <c r="G29" s="221">
        <f>+'YTD Mgmt Summary'!M29+'YTD Mgmt Summary'!N29</f>
        <v>1448.0150000000001</v>
      </c>
      <c r="H29" s="222">
        <f>+'YTD Mgmt Summary'!D29</f>
        <v>0</v>
      </c>
      <c r="I29" s="256">
        <f t="shared" si="6"/>
        <v>-1448.0150000000001</v>
      </c>
      <c r="J29" s="214"/>
      <c r="K29" s="254">
        <f t="shared" ref="K29:L33" si="8">C29-G29</f>
        <v>-1448.0150000000001</v>
      </c>
      <c r="L29" s="255">
        <f t="shared" si="8"/>
        <v>0</v>
      </c>
      <c r="M29" s="256">
        <f t="shared" si="7"/>
        <v>-1448.0150000000001</v>
      </c>
      <c r="N29" s="266"/>
    </row>
    <row r="30" spans="1:15" s="32" customFormat="1" ht="13.5" customHeight="1">
      <c r="A30" s="219" t="s">
        <v>114</v>
      </c>
      <c r="B30" s="220"/>
      <c r="C30" s="221">
        <f>+'YTD Mgmt Summary'!J30</f>
        <v>0</v>
      </c>
      <c r="D30" s="222">
        <f>+'YTD Mgmt Summary'!C30</f>
        <v>0</v>
      </c>
      <c r="E30" s="223">
        <f t="shared" si="5"/>
        <v>0</v>
      </c>
      <c r="F30" s="224"/>
      <c r="G30" s="221">
        <f>+'YTD Mgmt Summary'!M30+'YTD Mgmt Summary'!N30</f>
        <v>133793.64000000001</v>
      </c>
      <c r="H30" s="222">
        <f>+'YTD Mgmt Summary'!D30</f>
        <v>128692.15399999999</v>
      </c>
      <c r="I30" s="223">
        <f t="shared" si="6"/>
        <v>-5101.486000000019</v>
      </c>
      <c r="J30" s="224"/>
      <c r="K30" s="221">
        <f t="shared" si="8"/>
        <v>-133793.64000000001</v>
      </c>
      <c r="L30" s="222">
        <f t="shared" si="8"/>
        <v>-128692.15399999999</v>
      </c>
      <c r="M30" s="223">
        <f t="shared" si="7"/>
        <v>-5101.486000000019</v>
      </c>
      <c r="N30" s="267"/>
    </row>
    <row r="31" spans="1:15" s="32" customFormat="1" ht="13.5" customHeight="1">
      <c r="A31" s="219" t="s">
        <v>89</v>
      </c>
      <c r="B31" s="220"/>
      <c r="C31" s="221">
        <f>+'YTD Mgmt Summary'!J31</f>
        <v>0</v>
      </c>
      <c r="D31" s="222">
        <f>+'YTD Mgmt Summary'!C31</f>
        <v>0</v>
      </c>
      <c r="E31" s="223">
        <f t="shared" si="5"/>
        <v>0</v>
      </c>
      <c r="F31" s="224"/>
      <c r="G31" s="221">
        <f>+'YTD Mgmt Summary'!M31+'YTD Mgmt Summary'!N31</f>
        <v>-80302.577499999999</v>
      </c>
      <c r="H31" s="222">
        <f>+'YTD Mgmt Summary'!D31</f>
        <v>-91389.842000000004</v>
      </c>
      <c r="I31" s="223">
        <f t="shared" si="6"/>
        <v>-11087.264500000005</v>
      </c>
      <c r="J31" s="224"/>
      <c r="K31" s="221">
        <f t="shared" si="8"/>
        <v>80302.577499999999</v>
      </c>
      <c r="L31" s="222">
        <f t="shared" si="8"/>
        <v>91389.842000000004</v>
      </c>
      <c r="M31" s="223">
        <f t="shared" si="7"/>
        <v>-11087.264500000005</v>
      </c>
      <c r="N31" s="267"/>
    </row>
    <row r="32" spans="1:15" s="32" customFormat="1" ht="13.5" hidden="1" customHeight="1">
      <c r="A32" s="219" t="s">
        <v>10</v>
      </c>
      <c r="B32" s="220"/>
      <c r="C32" s="221">
        <f>+'[6]Mgmt Summary'!J31</f>
        <v>0</v>
      </c>
      <c r="D32" s="222">
        <f>+'[6]Mgmt Summary'!C31</f>
        <v>0</v>
      </c>
      <c r="E32" s="223">
        <f t="shared" si="5"/>
        <v>0</v>
      </c>
      <c r="F32" s="224"/>
      <c r="G32" s="221">
        <f>+[6]Expenses!D28</f>
        <v>0</v>
      </c>
      <c r="H32" s="222">
        <f>+[6]Expenses!E28</f>
        <v>0</v>
      </c>
      <c r="I32" s="223">
        <f t="shared" si="6"/>
        <v>0</v>
      </c>
      <c r="J32" s="224"/>
      <c r="K32" s="221">
        <f t="shared" si="8"/>
        <v>0</v>
      </c>
      <c r="L32" s="222">
        <f t="shared" si="8"/>
        <v>0</v>
      </c>
      <c r="M32" s="223">
        <f t="shared" si="7"/>
        <v>0</v>
      </c>
      <c r="N32" s="267"/>
    </row>
    <row r="33" spans="1:14" s="32" customFormat="1" ht="13.5" hidden="1" customHeight="1">
      <c r="A33" s="219" t="s">
        <v>34</v>
      </c>
      <c r="B33" s="220"/>
      <c r="C33" s="221">
        <f>+'[6]Mgmt Summary'!J32</f>
        <v>0</v>
      </c>
      <c r="D33" s="222">
        <f>+'[6]Mgmt Summary'!C32</f>
        <v>0</v>
      </c>
      <c r="E33" s="223">
        <f t="shared" si="5"/>
        <v>0</v>
      </c>
      <c r="F33" s="224"/>
      <c r="G33" s="221">
        <f>+'[6]Alloc Exp'!D27</f>
        <v>0</v>
      </c>
      <c r="H33" s="222">
        <f>+'[6]Alloc Exp'!E27</f>
        <v>0</v>
      </c>
      <c r="I33" s="223">
        <f t="shared" si="6"/>
        <v>0</v>
      </c>
      <c r="J33" s="224"/>
      <c r="K33" s="221">
        <f t="shared" si="8"/>
        <v>0</v>
      </c>
      <c r="L33" s="222">
        <f t="shared" si="8"/>
        <v>0</v>
      </c>
      <c r="M33" s="223">
        <f t="shared" si="7"/>
        <v>0</v>
      </c>
      <c r="N33" s="267"/>
    </row>
    <row r="34" spans="1:14" ht="4.5" customHeight="1">
      <c r="A34" s="207"/>
      <c r="B34" s="202"/>
      <c r="C34" s="211"/>
      <c r="D34" s="212"/>
      <c r="E34" s="213"/>
      <c r="F34" s="214"/>
      <c r="G34" s="217"/>
      <c r="H34" s="212"/>
      <c r="I34" s="213"/>
      <c r="J34" s="214"/>
      <c r="K34" s="211"/>
      <c r="L34" s="212"/>
      <c r="M34" s="213"/>
      <c r="N34" s="266"/>
    </row>
    <row r="35" spans="1:14" s="216" customFormat="1" ht="16.5">
      <c r="A35" s="225" t="s">
        <v>72</v>
      </c>
      <c r="B35" s="215"/>
      <c r="C35" s="230">
        <f>SUM(C26:C33)</f>
        <v>157471.94279999996</v>
      </c>
      <c r="D35" s="231">
        <f>SUM(D26:D33)</f>
        <v>508026.86700000003</v>
      </c>
      <c r="E35" s="232">
        <f>SUM(E26:E33)</f>
        <v>-350554.92420000001</v>
      </c>
      <c r="F35" s="233"/>
      <c r="G35" s="230">
        <f>SUM(G26:G33)</f>
        <v>251329.84100000001</v>
      </c>
      <c r="H35" s="231">
        <f>SUM(H26:H33)</f>
        <v>239087.32200000004</v>
      </c>
      <c r="I35" s="232">
        <f>SUM(I26:I33)</f>
        <v>-12242.519000000029</v>
      </c>
      <c r="J35" s="233"/>
      <c r="K35" s="230">
        <f>SUM(K26:K33)</f>
        <v>-93857.898200000011</v>
      </c>
      <c r="L35" s="231">
        <f>SUM(L26:L33)</f>
        <v>268939.5450000001</v>
      </c>
      <c r="M35" s="232">
        <f>SUM(M26:M33)</f>
        <v>-362797.44320000004</v>
      </c>
      <c r="N35" s="268"/>
    </row>
    <row r="36" spans="1:14" ht="4.5" customHeight="1">
      <c r="A36" s="207"/>
      <c r="B36" s="202"/>
      <c r="C36" s="221"/>
      <c r="D36" s="222"/>
      <c r="E36" s="223"/>
      <c r="F36" s="224"/>
      <c r="G36" s="234"/>
      <c r="H36" s="222"/>
      <c r="I36" s="223"/>
      <c r="J36" s="224"/>
      <c r="K36" s="221"/>
      <c r="L36" s="222"/>
      <c r="M36" s="223"/>
      <c r="N36" s="266"/>
    </row>
    <row r="37" spans="1:14" s="32" customFormat="1" ht="13.5" customHeight="1">
      <c r="A37" s="219" t="s">
        <v>56</v>
      </c>
      <c r="B37" s="220"/>
      <c r="C37" s="221">
        <f>+'YTD Mgmt Summary'!J36</f>
        <v>0</v>
      </c>
      <c r="D37" s="222">
        <f>+'YTD Mgmt Summary'!C36</f>
        <v>0</v>
      </c>
      <c r="E37" s="223">
        <f>D37-C37</f>
        <v>0</v>
      </c>
      <c r="F37" s="224"/>
      <c r="G37" s="221">
        <f>+'YTD Mgmt Summary'!M36+'YTD Mgmt Summary'!N36</f>
        <v>29402</v>
      </c>
      <c r="H37" s="222">
        <f>+'YTD Mgmt Summary'!D36</f>
        <v>26900</v>
      </c>
      <c r="I37" s="223">
        <f>+H37-G37</f>
        <v>-2502</v>
      </c>
      <c r="J37" s="224"/>
      <c r="K37" s="221">
        <f>C37-G37</f>
        <v>-29402</v>
      </c>
      <c r="L37" s="222">
        <f>D37-H37</f>
        <v>-26900</v>
      </c>
      <c r="M37" s="223">
        <f>K37-L37</f>
        <v>-2502</v>
      </c>
      <c r="N37" s="267"/>
    </row>
    <row r="38" spans="1:14" ht="4.5" customHeight="1" thickBot="1">
      <c r="A38" s="207"/>
      <c r="B38" s="202"/>
      <c r="C38" s="221"/>
      <c r="D38" s="222"/>
      <c r="E38" s="223"/>
      <c r="F38" s="224"/>
      <c r="G38" s="234"/>
      <c r="H38" s="222"/>
      <c r="I38" s="223"/>
      <c r="J38" s="224"/>
      <c r="K38" s="221"/>
      <c r="L38" s="222"/>
      <c r="M38" s="223"/>
      <c r="N38" s="266"/>
    </row>
    <row r="39" spans="1:14" s="216" customFormat="1" ht="17.25" thickBot="1">
      <c r="A39" s="226" t="s">
        <v>73</v>
      </c>
      <c r="B39" s="218"/>
      <c r="C39" s="235">
        <f>+C35-C37</f>
        <v>157471.94279999996</v>
      </c>
      <c r="D39" s="236">
        <f>+D35-D37</f>
        <v>508026.86700000003</v>
      </c>
      <c r="E39" s="260">
        <f>+E35-E37</f>
        <v>-350554.92420000001</v>
      </c>
      <c r="F39" s="237"/>
      <c r="G39" s="235">
        <f>SUM(G35:G37)</f>
        <v>280731.84100000001</v>
      </c>
      <c r="H39" s="236">
        <f>SUM(H35:H37)</f>
        <v>265987.32200000004</v>
      </c>
      <c r="I39" s="260">
        <f>SUM(I35:I37)</f>
        <v>-14744.519000000029</v>
      </c>
      <c r="J39" s="237"/>
      <c r="K39" s="235">
        <f>SUM(K35:K37)</f>
        <v>-123259.89820000001</v>
      </c>
      <c r="L39" s="236">
        <f>SUM(L35:L37)</f>
        <v>242039.5450000001</v>
      </c>
      <c r="M39" s="260">
        <f>SUM(M35:M37)</f>
        <v>-365299.44320000004</v>
      </c>
      <c r="N39" s="268"/>
    </row>
    <row r="40" spans="1:14" ht="3" customHeight="1">
      <c r="A40" s="66"/>
      <c r="C40" s="67"/>
      <c r="D40" s="22"/>
      <c r="E40" s="66"/>
      <c r="F40" s="23"/>
      <c r="I40" s="66"/>
    </row>
    <row r="41" spans="1:14">
      <c r="A41" s="246" t="s">
        <v>107</v>
      </c>
      <c r="C41" s="23"/>
      <c r="D41" s="22"/>
      <c r="E41" s="23"/>
      <c r="F41" s="23"/>
      <c r="I41" s="23"/>
    </row>
    <row r="42" spans="1:14">
      <c r="M42" s="183"/>
    </row>
    <row r="43" spans="1:14">
      <c r="L43" s="164"/>
    </row>
    <row r="44" spans="1:14" ht="13.5" hidden="1">
      <c r="C44" s="309" t="s">
        <v>126</v>
      </c>
      <c r="D44" s="310"/>
      <c r="E44" s="311"/>
      <c r="G44" s="309" t="s">
        <v>127</v>
      </c>
      <c r="H44" s="310"/>
      <c r="I44" s="310"/>
      <c r="J44" s="311"/>
    </row>
    <row r="45" spans="1:14" hidden="1">
      <c r="C45" s="312" t="s">
        <v>128</v>
      </c>
      <c r="D45" s="313"/>
      <c r="E45" s="314">
        <f>+'[6]GM-WeeklyChnge'!C41</f>
        <v>0</v>
      </c>
      <c r="G45" s="312" t="s">
        <v>129</v>
      </c>
      <c r="H45" s="313"/>
      <c r="I45" s="315">
        <f>+'[6]Expense Weekly Change'!E24+'[6]Expense Weekly Change'!E23</f>
        <v>4.1820000000000164</v>
      </c>
      <c r="J45" s="316"/>
    </row>
    <row r="46" spans="1:14" hidden="1">
      <c r="C46" s="312" t="s">
        <v>130</v>
      </c>
      <c r="D46" s="313"/>
      <c r="E46" s="314">
        <f>+'[6]GM-WeeklyChnge'!D41</f>
        <v>0</v>
      </c>
      <c r="G46" s="312" t="s">
        <v>131</v>
      </c>
      <c r="H46" s="313"/>
      <c r="I46" s="315">
        <f>+'[6]Expense Weekly Change'!E9+'[6]Expense Weekly Change'!E10+'[6]Expense Weekly Change'!E11+'[6]Expense Weekly Change'!E12+'[6]Expense Weekly Change'!E13+'[6]Expense Weekly Change'!E14+'[6]Expense Weekly Change'!E15+'[6]Expense Weekly Change'!E16+'[6]Expense Weekly Change'!E22</f>
        <v>1986.2910000000006</v>
      </c>
      <c r="J46" s="317"/>
    </row>
    <row r="47" spans="1:14" hidden="1">
      <c r="C47" s="312" t="s">
        <v>132</v>
      </c>
      <c r="D47" s="313"/>
      <c r="E47" s="314">
        <f>+'[6]GM-WeeklyChnge'!E41+'[6]GM-WeeklyChnge'!F41+'[6]GM-WeeklyChnge'!G41</f>
        <v>0</v>
      </c>
      <c r="G47" s="312" t="s">
        <v>27</v>
      </c>
      <c r="H47" s="313"/>
      <c r="I47" s="315">
        <f>-G37+'[1]QTD Mgmt Summary'!$G$36</f>
        <v>-27353</v>
      </c>
      <c r="J47" s="317"/>
    </row>
    <row r="48" spans="1:14" hidden="1">
      <c r="C48" s="318"/>
      <c r="D48" s="319"/>
      <c r="E48" s="320"/>
      <c r="G48" s="318"/>
      <c r="H48" s="319"/>
      <c r="I48" s="321"/>
      <c r="J48" s="322"/>
    </row>
    <row r="49" spans="3:10" ht="13.5" hidden="1">
      <c r="C49" s="323" t="s">
        <v>133</v>
      </c>
      <c r="D49" s="324"/>
      <c r="E49" s="325">
        <f>SUM(E45:E48)</f>
        <v>0</v>
      </c>
      <c r="G49" s="323" t="s">
        <v>133</v>
      </c>
      <c r="H49" s="324"/>
      <c r="I49" s="326">
        <f>SUM(I45:I48)</f>
        <v>-25362.526999999998</v>
      </c>
      <c r="J49" s="327"/>
    </row>
    <row r="50" spans="3:10" hidden="1"/>
    <row r="51" spans="3:10" ht="13.5" hidden="1">
      <c r="C51" s="309" t="s">
        <v>134</v>
      </c>
      <c r="D51" s="310"/>
      <c r="E51" s="311"/>
      <c r="G51" s="309" t="s">
        <v>135</v>
      </c>
      <c r="H51" s="310"/>
      <c r="I51" s="310"/>
      <c r="J51" s="311"/>
    </row>
    <row r="52" spans="3:10" hidden="1">
      <c r="C52" s="312" t="s">
        <v>136</v>
      </c>
      <c r="D52" s="313"/>
      <c r="E52" s="314">
        <f>+[1]GrossMargin!$I$39</f>
        <v>1564.5783100000008</v>
      </c>
      <c r="G52" s="312" t="s">
        <v>136</v>
      </c>
      <c r="H52" s="313"/>
      <c r="I52" s="315">
        <f>+'[1]QTD Mgmt Summary'!$G$38</f>
        <v>55168.468000000001</v>
      </c>
      <c r="J52" s="316"/>
    </row>
    <row r="53" spans="3:10" hidden="1">
      <c r="C53" s="312" t="s">
        <v>137</v>
      </c>
      <c r="D53" s="313"/>
      <c r="E53" s="314">
        <f>+[6]GrossMargin!I36</f>
        <v>82539.48</v>
      </c>
      <c r="G53" s="312" t="s">
        <v>137</v>
      </c>
      <c r="H53" s="313"/>
      <c r="I53" s="315">
        <f>+G39</f>
        <v>280731.84100000001</v>
      </c>
      <c r="J53" s="317"/>
    </row>
    <row r="54" spans="3:10" hidden="1">
      <c r="C54" s="312"/>
      <c r="D54" s="313"/>
      <c r="E54" s="314"/>
      <c r="G54" s="312"/>
      <c r="H54" s="313"/>
      <c r="I54" s="315"/>
      <c r="J54" s="317"/>
    </row>
    <row r="55" spans="3:10" ht="13.5" hidden="1">
      <c r="C55" s="323" t="s">
        <v>138</v>
      </c>
      <c r="D55" s="324"/>
      <c r="E55" s="325">
        <f>+E53-E52</f>
        <v>80974.901689999999</v>
      </c>
      <c r="G55" s="323" t="s">
        <v>138</v>
      </c>
      <c r="H55" s="324"/>
      <c r="I55" s="326">
        <f>+I53-I52</f>
        <v>225563.37300000002</v>
      </c>
      <c r="J55" s="327"/>
    </row>
    <row r="56" spans="3:10">
      <c r="I56" s="164"/>
    </row>
  </sheetData>
  <mergeCells count="1">
    <mergeCell ref="K6:M6"/>
  </mergeCells>
  <phoneticPr fontId="26" type="noConversion"/>
  <printOptions horizontalCentered="1"/>
  <pageMargins left="0.25" right="0.25" top="0.5" bottom="0.5" header="0.17" footer="0.26"/>
  <pageSetup orientation="landscape" verticalDpi="300" r:id="rId1"/>
  <headerFooter alignWithMargins="0">
    <oddFooter>&amp;L&amp;8&amp;D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59" t="s">
        <v>68</v>
      </c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</row>
    <row r="2" spans="1:40" ht="15">
      <c r="A2" s="10" t="s">
        <v>44</v>
      </c>
      <c r="B2" s="360" t="s">
        <v>65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</row>
    <row r="3" spans="1:40">
      <c r="A3" s="10" t="s">
        <v>45</v>
      </c>
      <c r="B3" s="361"/>
      <c r="C3" s="361"/>
      <c r="D3" s="361"/>
      <c r="E3" s="361"/>
      <c r="F3" s="361"/>
      <c r="G3" s="361"/>
      <c r="H3" s="361"/>
      <c r="I3" s="361"/>
      <c r="J3" s="361"/>
      <c r="K3" s="361"/>
      <c r="L3" s="361"/>
      <c r="M3" s="361"/>
      <c r="N3" s="36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56" t="s">
        <v>63</v>
      </c>
      <c r="E6" s="357"/>
      <c r="F6" s="358"/>
      <c r="G6" s="1"/>
      <c r="H6" s="356" t="s">
        <v>64</v>
      </c>
      <c r="I6" s="357"/>
      <c r="J6" s="358"/>
      <c r="K6" s="1"/>
      <c r="L6" s="356" t="s">
        <v>37</v>
      </c>
      <c r="M6" s="357"/>
      <c r="N6" s="35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66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>_xll.HPVAL($A10,$A$18,$A$2,$A$5,$A$6,$A$7)</f>
        <v>#VALUE!</v>
      </c>
      <c r="E10" s="159" t="e">
        <f>_xll.HPVAL($A10,$A$18,$A$3,$A$5,$A$6,$A$7)</f>
        <v>#VALUE!</v>
      </c>
      <c r="F10" s="160" t="e">
        <f t="shared" si="0"/>
        <v>#VALUE!</v>
      </c>
      <c r="G10" s="52"/>
      <c r="H10" s="158" t="e">
        <f>_xll.HPVAL($A10,$A$1,$A$2,$A$5,$A$6,$A$7)</f>
        <v>#VALUE!</v>
      </c>
      <c r="I10" s="159" t="e">
        <f>_xll.HPVAL($A10,$A$1,$A$3,$A$5,$A$6,$A$7)</f>
        <v>#VALUE!</v>
      </c>
      <c r="J10" s="160" t="e">
        <f t="shared" si="1"/>
        <v>#VALUE!</v>
      </c>
      <c r="K10" s="50"/>
      <c r="L10" s="158" t="e">
        <f t="shared" si="2"/>
        <v>#VALUE!</v>
      </c>
      <c r="M10" s="159" t="e">
        <f t="shared" si="3"/>
        <v>#VALUE!</v>
      </c>
      <c r="N10" s="160" t="e">
        <f t="shared" si="4"/>
        <v>#VALUE!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>_xll.HPVAL($A11,$A$18,$A$2,$A$5,$A$6,$A$7)</f>
        <v>#VALUE!</v>
      </c>
      <c r="E11" s="159" t="e">
        <f>_xll.HPVAL($A11,$A$18,$A$3,$A$5,$A$6,$A$7)</f>
        <v>#VALUE!</v>
      </c>
      <c r="F11" s="160" t="e">
        <f t="shared" si="0"/>
        <v>#VALUE!</v>
      </c>
      <c r="G11" s="52"/>
      <c r="H11" s="158" t="e">
        <f>_xll.HPVAL($A11,$A$1,$A$2,$A$5,$A$6,$A$7)</f>
        <v>#VALUE!</v>
      </c>
      <c r="I11" s="159" t="e">
        <f>_xll.HPVAL($A11,$A$1,$A$3,$A$5,$A$6,$A$7)</f>
        <v>#VALUE!</v>
      </c>
      <c r="J11" s="160" t="e">
        <f t="shared" si="1"/>
        <v>#VALUE!</v>
      </c>
      <c r="K11" s="50"/>
      <c r="L11" s="158" t="e">
        <f t="shared" si="2"/>
        <v>#VALUE!</v>
      </c>
      <c r="M11" s="159" t="e">
        <f t="shared" si="3"/>
        <v>#VALUE!</v>
      </c>
      <c r="N11" s="160" t="e">
        <f t="shared" si="4"/>
        <v>#VALUE!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62</v>
      </c>
      <c r="C12" s="50"/>
      <c r="D12" s="158" t="e">
        <f>_xll.HPVAL($A12,$A$18,$A$2,$A$5,$A$6,$A$7)</f>
        <v>#VALUE!</v>
      </c>
      <c r="E12" s="159" t="e">
        <f>_xll.HPVAL($A12,$A$18,$A$3,$A$5,$A$6,$A$7)</f>
        <v>#VALUE!</v>
      </c>
      <c r="F12" s="160" t="e">
        <f t="shared" si="0"/>
        <v>#VALUE!</v>
      </c>
      <c r="G12" s="52"/>
      <c r="H12" s="158" t="e">
        <f>_xll.HPVAL($A12,$A$1,$A$2,$A$5,$A$6,$A$7)</f>
        <v>#VALUE!</v>
      </c>
      <c r="I12" s="159" t="e">
        <f>_xll.HPVAL($A12,$A$1,$A$3,$A$5,$A$6,$A$7)</f>
        <v>#VALUE!</v>
      </c>
      <c r="J12" s="160" t="e">
        <f t="shared" si="1"/>
        <v>#VALUE!</v>
      </c>
      <c r="K12" s="50"/>
      <c r="L12" s="158" t="e">
        <f t="shared" si="2"/>
        <v>#VALUE!</v>
      </c>
      <c r="M12" s="159" t="e">
        <f t="shared" si="3"/>
        <v>#VALUE!</v>
      </c>
      <c r="N12" s="160" t="e">
        <f t="shared" si="4"/>
        <v>#VALUE!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>_xll.HPVAL($A13,$A$18,$A$2,$A$5,$A$6,$A$7)</f>
        <v>#VALUE!</v>
      </c>
      <c r="E13" s="159" t="e">
        <f>_xll.HPVAL($A13,$A$18,$A$3,$A$5,$A$6,$A$7)</f>
        <v>#VALUE!</v>
      </c>
      <c r="F13" s="160" t="e">
        <f t="shared" si="0"/>
        <v>#VALUE!</v>
      </c>
      <c r="G13" s="52"/>
      <c r="H13" s="158" t="e">
        <f>_xll.HPVAL($A13,$A$1,$A$2,$A$5,$A$6,$A$7)</f>
        <v>#VALUE!</v>
      </c>
      <c r="I13" s="159" t="e">
        <f>_xll.HPVAL($A13,$A$1,$A$3,$A$5,$A$6,$A$7)</f>
        <v>#VALUE!</v>
      </c>
      <c r="J13" s="160" t="e">
        <f t="shared" si="1"/>
        <v>#VALUE!</v>
      </c>
      <c r="K13" s="50"/>
      <c r="L13" s="158" t="e">
        <f t="shared" si="2"/>
        <v>#VALUE!</v>
      </c>
      <c r="M13" s="159" t="e">
        <f t="shared" si="3"/>
        <v>#VALUE!</v>
      </c>
      <c r="N13" s="160" t="e">
        <f t="shared" si="4"/>
        <v>#VALUE!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>_xll.HPVAL($A14,$A$18,$A$2,$A$5,$A$6,$A$7)</f>
        <v>#VALUE!</v>
      </c>
      <c r="E14" s="159" t="e">
        <f>_xll.HPVAL($A14,$A$18,$A$3,$A$5,$A$6,$A$7)</f>
        <v>#VALUE!</v>
      </c>
      <c r="F14" s="160" t="e">
        <f t="shared" si="0"/>
        <v>#VALUE!</v>
      </c>
      <c r="G14" s="52"/>
      <c r="H14" s="158" t="e">
        <f>_xll.HPVAL($A14,$A$1,$A$2,$A$5,$A$6,$A$7)</f>
        <v>#VALUE!</v>
      </c>
      <c r="I14" s="159" t="e">
        <f>_xll.HPVAL($A14,$A$1,$A$3,$A$5,$A$6,$A$7)</f>
        <v>#VALUE!</v>
      </c>
      <c r="J14" s="160" t="e">
        <f t="shared" si="1"/>
        <v>#VALUE!</v>
      </c>
      <c r="K14" s="50"/>
      <c r="L14" s="158" t="e">
        <f t="shared" si="2"/>
        <v>#VALUE!</v>
      </c>
      <c r="M14" s="159" t="e">
        <f t="shared" si="3"/>
        <v>#VALUE!</v>
      </c>
      <c r="N14" s="160" t="e">
        <f t="shared" si="4"/>
        <v>#VALUE!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76</v>
      </c>
      <c r="C18" s="50"/>
      <c r="D18" s="76" t="e">
        <f>SUM(D9:D17)</f>
        <v>#VALUE!</v>
      </c>
      <c r="E18" s="77" t="e">
        <f>SUM(E9:E17)</f>
        <v>#VALUE!</v>
      </c>
      <c r="F18" s="78" t="e">
        <f>SUM(F9:F16)</f>
        <v>#VALUE!</v>
      </c>
      <c r="G18" s="52"/>
      <c r="H18" s="76" t="e">
        <f>SUM(H9:H17)</f>
        <v>#VALUE!</v>
      </c>
      <c r="I18" s="77" t="e">
        <f>SUM(I9:I17)</f>
        <v>#VALUE!</v>
      </c>
      <c r="J18" s="78" t="e">
        <f>SUM(J9:J16)</f>
        <v>#VALUE!</v>
      </c>
      <c r="K18" s="50"/>
      <c r="L18" s="76" t="e">
        <f>SUM(L9:L17)</f>
        <v>#VALUE!</v>
      </c>
      <c r="M18" s="77" t="e">
        <f>SUM(M9:M17)</f>
        <v>#VALUE!</v>
      </c>
      <c r="N18" s="78" t="e">
        <f>SUM(N9:N16)</f>
        <v>#VALUE!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8"/>
  <sheetViews>
    <sheetView zoomScaleNormal="100" workbookViewId="0">
      <selection activeCell="E29" sqref="E29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0.4257812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3" width="9.140625" style="14" bestFit="1"/>
    <col min="14" max="14" width="8.85546875" style="14" bestFit="1" customWidth="1"/>
    <col min="15" max="15" width="9.57031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6.5">
      <c r="A2" s="181" t="s">
        <v>99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6.5">
      <c r="A3" s="181" t="s">
        <v>100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+'Mgmt Summary'!C9+'[6]YTD Mgmt Summary'!C9</f>
        <v>150000</v>
      </c>
      <c r="D9" s="36">
        <f>+'Mgmt Summary'!D9+'[6]YTD Mgmt Summary'!D9</f>
        <v>67514.192999999999</v>
      </c>
      <c r="E9" s="133">
        <f>C9-D9</f>
        <v>82485.807000000001</v>
      </c>
      <c r="F9" s="293"/>
      <c r="G9" s="132">
        <f>+'Mgmt Summary'!G9+'[6]YTD Mgmt Summary'!G9</f>
        <v>76673.782000000007</v>
      </c>
      <c r="H9" s="36">
        <f>GrossMargin!J10</f>
        <v>0</v>
      </c>
      <c r="I9" s="36">
        <f>+'Mgmt Summary'!I9+'[6]YTD Mgmt Summary'!I9</f>
        <v>0</v>
      </c>
      <c r="J9" s="134">
        <f>SUM(G9:I9)</f>
        <v>76673.782000000007</v>
      </c>
      <c r="K9" s="135"/>
      <c r="L9" s="137"/>
      <c r="M9" s="138">
        <f>+'Mgmt Summary'!M9+'[6]YTD Mgmt Summary'!M9</f>
        <v>28787.010999999999</v>
      </c>
      <c r="N9" s="138">
        <f>+'Mgmt Summary'!N9+'[6]YTD Mgmt Summary'!N9</f>
        <v>33813.211500000005</v>
      </c>
      <c r="O9" s="134">
        <f>J9-K9-M9-N9-L9</f>
        <v>14073.559500000003</v>
      </c>
      <c r="P9" s="37"/>
      <c r="Q9" s="132">
        <f>+'Mgmt Summary'!Q9+'[6]YTD Mgmt Summary'!Q9</f>
        <v>-73326.218000000008</v>
      </c>
      <c r="R9" s="36"/>
      <c r="S9" s="36"/>
      <c r="T9" s="36">
        <f>+'Mgmt Summary'!T9+'[6]YTD Mgmt Summary'!T9</f>
        <v>-1208.4779999999992</v>
      </c>
      <c r="U9" s="36">
        <f>+'Mgmt Summary'!U9+'[6]YTD Mgmt Summary'!U9</f>
        <v>6122.4485000000004</v>
      </c>
      <c r="V9" s="133">
        <f>SUM(Q9:U9)</f>
        <v>-68412.247500000012</v>
      </c>
      <c r="W9" s="32"/>
    </row>
    <row r="10" spans="1:24" ht="13.5" customHeight="1">
      <c r="A10" s="106" t="s">
        <v>116</v>
      </c>
      <c r="B10" s="35"/>
      <c r="C10" s="132">
        <f>+'Mgmt Summary'!C10+'[6]YTD Mgmt Summary'!C10</f>
        <v>65000</v>
      </c>
      <c r="D10" s="36">
        <f>+'Mgmt Summary'!D10+'[6]YTD Mgmt Summary'!D10</f>
        <v>35268.718000000001</v>
      </c>
      <c r="E10" s="133">
        <f>C10-D10</f>
        <v>29731.281999999999</v>
      </c>
      <c r="F10" s="293"/>
      <c r="G10" s="132">
        <f>+'Mgmt Summary'!G10+'[6]YTD Mgmt Summary'!G10</f>
        <v>66296.339519999994</v>
      </c>
      <c r="H10" s="36">
        <f>GrossMargin!J11</f>
        <v>0</v>
      </c>
      <c r="I10" s="36">
        <f>+'Mgmt Summary'!I10+'[6]YTD Mgmt Summary'!I10</f>
        <v>0</v>
      </c>
      <c r="J10" s="134">
        <f>SUM(G10:I10)</f>
        <v>66296.339519999994</v>
      </c>
      <c r="K10" s="135"/>
      <c r="L10" s="137"/>
      <c r="M10" s="138">
        <f>+'Mgmt Summary'!M10+'[6]YTD Mgmt Summary'!M10</f>
        <v>18097.972000000002</v>
      </c>
      <c r="N10" s="138">
        <f>+'Mgmt Summary'!N10+'[6]YTD Mgmt Summary'!N10</f>
        <v>16441.240000000002</v>
      </c>
      <c r="O10" s="134">
        <f>J10-K10-M10-N10-L10</f>
        <v>31757.127519999991</v>
      </c>
      <c r="P10" s="37"/>
      <c r="Q10" s="132">
        <f>+'Mgmt Summary'!Q10+'[6]YTD Mgmt Summary'!Q10</f>
        <v>1296.3395199999995</v>
      </c>
      <c r="R10" s="36"/>
      <c r="S10" s="36"/>
      <c r="T10" s="36">
        <f>+'Mgmt Summary'!T10+'[6]YTD Mgmt Summary'!T10</f>
        <v>2357.1979999999994</v>
      </c>
      <c r="U10" s="36">
        <f>+'Mgmt Summary'!U10+'[6]YTD Mgmt Summary'!U10</f>
        <v>-905</v>
      </c>
      <c r="V10" s="133">
        <f t="shared" ref="V10:V24" si="0">SUM(Q10:U10)</f>
        <v>2748.5375199999989</v>
      </c>
      <c r="W10" s="32"/>
    </row>
    <row r="11" spans="1:24" ht="13.5" customHeight="1">
      <c r="A11" s="106" t="s">
        <v>108</v>
      </c>
      <c r="B11" s="35"/>
      <c r="C11" s="132">
        <f>+'Mgmt Summary'!C11+'[6]YTD Mgmt Summary'!C11</f>
        <v>10000</v>
      </c>
      <c r="D11" s="36">
        <f>+'Mgmt Summary'!D11+'[6]YTD Mgmt Summary'!D11</f>
        <v>2893.5839999999998</v>
      </c>
      <c r="E11" s="133">
        <f>C11-D11</f>
        <v>7106.4160000000002</v>
      </c>
      <c r="F11" s="293"/>
      <c r="G11" s="132">
        <f>+'Mgmt Summary'!G11+'[6]YTD Mgmt Summary'!G11</f>
        <v>13852.699000000001</v>
      </c>
      <c r="H11" s="36">
        <f>GrossMargin!J12</f>
        <v>0</v>
      </c>
      <c r="I11" s="36">
        <f>+'Mgmt Summary'!I11+'[6]YTD Mgmt Summary'!I11</f>
        <v>0</v>
      </c>
      <c r="J11" s="134">
        <f>SUM(G11:I11)</f>
        <v>13852.699000000001</v>
      </c>
      <c r="K11" s="135"/>
      <c r="L11" s="137"/>
      <c r="M11" s="138">
        <f>+'Mgmt Summary'!M11+'[6]YTD Mgmt Summary'!M11</f>
        <v>971.36900000000014</v>
      </c>
      <c r="N11" s="138">
        <f>+'Mgmt Summary'!N11+'[6]YTD Mgmt Summary'!N11</f>
        <v>1061.915</v>
      </c>
      <c r="O11" s="134">
        <f>J11-K11-M11-N11-L11</f>
        <v>11819.415000000001</v>
      </c>
      <c r="P11" s="37"/>
      <c r="Q11" s="132">
        <f>+'Mgmt Summary'!Q11+'[6]YTD Mgmt Summary'!Q11</f>
        <v>3852.6990000000001</v>
      </c>
      <c r="R11" s="36"/>
      <c r="S11" s="36"/>
      <c r="T11" s="36">
        <f>+'Mgmt Summary'!T11+'[6]YTD Mgmt Summary'!T11</f>
        <v>73.048999999999978</v>
      </c>
      <c r="U11" s="36">
        <f>+'Mgmt Summary'!U11+'[6]YTD Mgmt Summary'!U11</f>
        <v>65</v>
      </c>
      <c r="V11" s="133">
        <f t="shared" si="0"/>
        <v>3990.748</v>
      </c>
      <c r="W11" s="32"/>
    </row>
    <row r="12" spans="1:24" ht="13.5" hidden="1" customHeight="1">
      <c r="A12" s="106" t="s">
        <v>43</v>
      </c>
      <c r="B12" s="35"/>
      <c r="C12" s="132">
        <f>+'Mgmt Summary'!C12+'[6]YTD Mgmt Summary'!C12</f>
        <v>0</v>
      </c>
      <c r="D12" s="36">
        <f>+'Mgmt Summary'!D12+'[6]YTD Mgmt Summary'!D12</f>
        <v>0</v>
      </c>
      <c r="E12" s="133">
        <f>C12-D12</f>
        <v>0</v>
      </c>
      <c r="F12" s="293"/>
      <c r="G12" s="132">
        <f>+'Mgmt Summary'!G12+'[6]YTD Mgmt Summary'!G12</f>
        <v>0</v>
      </c>
      <c r="H12" s="36">
        <f>GrossMargin!J13</f>
        <v>0</v>
      </c>
      <c r="I12" s="36">
        <f>+'Mgmt Summary'!I12+'[6]YTD Mgmt Summary'!I12</f>
        <v>0</v>
      </c>
      <c r="J12" s="134">
        <f>SUM(G12:I12)</f>
        <v>0</v>
      </c>
      <c r="K12" s="135"/>
      <c r="L12" s="137"/>
      <c r="M12" s="138">
        <f>+'Mgmt Summary'!M12+'[6]YTD Mgmt Summary'!M12</f>
        <v>0</v>
      </c>
      <c r="N12" s="138">
        <f>+'Mgmt Summary'!N12+'[6]YTD Mgmt Summary'!N12</f>
        <v>0</v>
      </c>
      <c r="O12" s="134">
        <f>J12-K12-M12-N12-L12</f>
        <v>0</v>
      </c>
      <c r="P12" s="37"/>
      <c r="Q12" s="132">
        <f>+'Mgmt Summary'!Q12+'[6]YTD Mgmt Summary'!Q12</f>
        <v>0</v>
      </c>
      <c r="R12" s="36"/>
      <c r="S12" s="36"/>
      <c r="T12" s="36">
        <f>+'Mgmt Summary'!T12+'[6]YTD Mgmt Summary'!T12</f>
        <v>0</v>
      </c>
      <c r="U12" s="36">
        <f>+'Mgmt Summary'!U12+'[6]YTD Mgmt Summary'!U12</f>
        <v>0</v>
      </c>
      <c r="V12" s="133">
        <f t="shared" si="0"/>
        <v>0</v>
      </c>
      <c r="W12" s="32"/>
    </row>
    <row r="13" spans="1:24" ht="13.5" customHeight="1">
      <c r="A13" s="106" t="s">
        <v>62</v>
      </c>
      <c r="B13" s="35"/>
      <c r="C13" s="132">
        <f>+'Mgmt Summary'!C13+'[6]YTD Mgmt Summary'!C13</f>
        <v>33000.002</v>
      </c>
      <c r="D13" s="36">
        <f>+'Mgmt Summary'!D13+'[6]YTD Mgmt Summary'!D13</f>
        <v>13763.551000000001</v>
      </c>
      <c r="E13" s="133">
        <f t="shared" ref="E13:E22" si="1">C13-D13</f>
        <v>19236.451000000001</v>
      </c>
      <c r="F13" s="293"/>
      <c r="G13" s="132">
        <f>+'Mgmt Summary'!G13+'[6]YTD Mgmt Summary'!G13</f>
        <v>21619.923000000003</v>
      </c>
      <c r="H13" s="36">
        <f>GrossMargin!J14</f>
        <v>0</v>
      </c>
      <c r="I13" s="36">
        <f>+'Mgmt Summary'!I13+'[6]YTD Mgmt Summary'!I13</f>
        <v>0</v>
      </c>
      <c r="J13" s="134">
        <f t="shared" ref="J13:J22" si="2">SUM(G13:I13)</f>
        <v>21619.923000000003</v>
      </c>
      <c r="K13" s="135"/>
      <c r="L13" s="137"/>
      <c r="M13" s="138">
        <f>+'Mgmt Summary'!M13+'[6]YTD Mgmt Summary'!M13</f>
        <v>7631.2569999999996</v>
      </c>
      <c r="N13" s="138">
        <f>+'Mgmt Summary'!N13+'[6]YTD Mgmt Summary'!N13</f>
        <v>4866.84</v>
      </c>
      <c r="O13" s="134">
        <f t="shared" ref="O13:O22" si="3">J13-K13-M13-N13-L13</f>
        <v>9121.8260000000028</v>
      </c>
      <c r="P13" s="37"/>
      <c r="Q13" s="132">
        <f>+'Mgmt Summary'!Q13+'[6]YTD Mgmt Summary'!Q13</f>
        <v>-11380.078999999998</v>
      </c>
      <c r="R13" s="36"/>
      <c r="S13" s="36"/>
      <c r="T13" s="36">
        <f>+'Mgmt Summary'!T13+'[6]YTD Mgmt Summary'!T13</f>
        <v>-1271.9219999999996</v>
      </c>
      <c r="U13" s="36">
        <f>+'Mgmt Summary'!U13+'[6]YTD Mgmt Summary'!U13</f>
        <v>2537</v>
      </c>
      <c r="V13" s="133">
        <f t="shared" si="0"/>
        <v>-10115.000999999997</v>
      </c>
      <c r="W13" s="32"/>
    </row>
    <row r="14" spans="1:24" ht="13.5" customHeight="1">
      <c r="A14" s="106" t="s">
        <v>69</v>
      </c>
      <c r="B14" s="35"/>
      <c r="C14" s="132">
        <f>+'Mgmt Summary'!C14+'[6]YTD Mgmt Summary'!C14</f>
        <v>37500</v>
      </c>
      <c r="D14" s="36">
        <f>+'Mgmt Summary'!D14+'[6]YTD Mgmt Summary'!D14</f>
        <v>12960.896999999999</v>
      </c>
      <c r="E14" s="133">
        <f t="shared" si="1"/>
        <v>24539.103000000003</v>
      </c>
      <c r="F14" s="293"/>
      <c r="G14" s="132">
        <f>+'Mgmt Summary'!G14+'[6]YTD Mgmt Summary'!G14</f>
        <v>6077.8972799999992</v>
      </c>
      <c r="H14" s="36">
        <f>GrossMargin!J15</f>
        <v>0</v>
      </c>
      <c r="I14" s="36">
        <f>+'Mgmt Summary'!I14+'[6]YTD Mgmt Summary'!I14</f>
        <v>0</v>
      </c>
      <c r="J14" s="134">
        <f t="shared" si="2"/>
        <v>6077.8972799999992</v>
      </c>
      <c r="K14" s="135"/>
      <c r="L14" s="137"/>
      <c r="M14" s="138">
        <f>+'Mgmt Summary'!M14+'[6]YTD Mgmt Summary'!M14</f>
        <v>6699.7389999999996</v>
      </c>
      <c r="N14" s="138">
        <f>+'Mgmt Summary'!N14+'[6]YTD Mgmt Summary'!N14</f>
        <v>2730.9960000000001</v>
      </c>
      <c r="O14" s="134">
        <f t="shared" si="3"/>
        <v>-3352.8377200000004</v>
      </c>
      <c r="P14" s="37"/>
      <c r="Q14" s="132">
        <f>+'Mgmt Summary'!Q14+'[6]YTD Mgmt Summary'!Q14</f>
        <v>-31422.102719999999</v>
      </c>
      <c r="R14" s="36"/>
      <c r="S14" s="36"/>
      <c r="T14" s="36">
        <f>+'Mgmt Summary'!T14+'[6]YTD Mgmt Summary'!T14</f>
        <v>2441.1620000000003</v>
      </c>
      <c r="U14" s="36">
        <f>+'Mgmt Summary'!U14+'[6]YTD Mgmt Summary'!U14</f>
        <v>1089</v>
      </c>
      <c r="V14" s="133">
        <f t="shared" si="0"/>
        <v>-27891.940719999999</v>
      </c>
      <c r="W14" s="32"/>
    </row>
    <row r="15" spans="1:24" s="64" customFormat="1" ht="13.5" customHeight="1">
      <c r="A15" s="165" t="s">
        <v>49</v>
      </c>
      <c r="B15" s="176"/>
      <c r="C15" s="132">
        <f>+'Mgmt Summary'!C15+'[6]YTD Mgmt Summary'!C15-3922</f>
        <v>100493</v>
      </c>
      <c r="D15" s="36">
        <f>+'Mgmt Summary'!D15+'[6]YTD Mgmt Summary'!D15</f>
        <v>20351.550000000003</v>
      </c>
      <c r="E15" s="133">
        <f t="shared" si="1"/>
        <v>80141.45</v>
      </c>
      <c r="F15" s="293"/>
      <c r="G15" s="132">
        <f>+'Mgmt Summary'!G15+'[6]YTD Mgmt Summary'!G15</f>
        <v>38015.206999999995</v>
      </c>
      <c r="H15" s="36">
        <f>GrossMargin!J16</f>
        <v>0</v>
      </c>
      <c r="I15" s="36">
        <f>+'Mgmt Summary'!I15+'[6]YTD Mgmt Summary'!I15</f>
        <v>0</v>
      </c>
      <c r="J15" s="134">
        <f t="shared" si="2"/>
        <v>38015.206999999995</v>
      </c>
      <c r="K15" s="135"/>
      <c r="L15" s="137"/>
      <c r="M15" s="138">
        <f>+'Mgmt Summary'!M15+'[6]YTD Mgmt Summary'!M15</f>
        <v>9557.4660000000003</v>
      </c>
      <c r="N15" s="138">
        <f>+'Mgmt Summary'!N15+'[6]YTD Mgmt Summary'!N15</f>
        <v>5685.9809999999998</v>
      </c>
      <c r="O15" s="134">
        <f t="shared" si="3"/>
        <v>22771.759999999995</v>
      </c>
      <c r="P15" s="37"/>
      <c r="Q15" s="132">
        <f>+'Mgmt Summary'!Q15+'[6]YTD Mgmt Summary'!Q15</f>
        <v>-66399.793000000005</v>
      </c>
      <c r="R15" s="36"/>
      <c r="S15" s="36"/>
      <c r="T15" s="36">
        <f>+'Mgmt Summary'!T15+'[6]YTD Mgmt Summary'!T15</f>
        <v>2822.1179999999999</v>
      </c>
      <c r="U15" s="36">
        <f>+'Mgmt Summary'!U15+'[6]YTD Mgmt Summary'!U15</f>
        <v>2286</v>
      </c>
      <c r="V15" s="133">
        <f t="shared" si="0"/>
        <v>-61291.675000000003</v>
      </c>
      <c r="W15" s="63"/>
      <c r="X15" s="167"/>
    </row>
    <row r="16" spans="1:24" s="64" customFormat="1" ht="13.5" customHeight="1">
      <c r="A16" s="165" t="s">
        <v>105</v>
      </c>
      <c r="B16" s="176"/>
      <c r="C16" s="132">
        <f>+'Mgmt Summary'!C16+'[6]YTD Mgmt Summary'!C16</f>
        <v>20821.5</v>
      </c>
      <c r="D16" s="36">
        <f>+'Mgmt Summary'!D16+'[6]YTD Mgmt Summary'!D16</f>
        <v>20899.883999999998</v>
      </c>
      <c r="E16" s="133">
        <f t="shared" si="1"/>
        <v>-78.383999999998196</v>
      </c>
      <c r="F16" s="293"/>
      <c r="G16" s="132">
        <f>+'Mgmt Summary'!G16+'[6]YTD Mgmt Summary'!G16</f>
        <v>2863.1719999999996</v>
      </c>
      <c r="H16" s="36">
        <f>GrossMargin!J17</f>
        <v>0</v>
      </c>
      <c r="I16" s="36">
        <f>+'Mgmt Summary'!I16+'[6]YTD Mgmt Summary'!I16</f>
        <v>0</v>
      </c>
      <c r="J16" s="134">
        <f t="shared" si="2"/>
        <v>2863.1719999999996</v>
      </c>
      <c r="K16" s="135"/>
      <c r="L16" s="137"/>
      <c r="M16" s="138">
        <f>+'Mgmt Summary'!M16+'[6]YTD Mgmt Summary'!M16</f>
        <v>17203.636999999999</v>
      </c>
      <c r="N16" s="138">
        <f>+'Mgmt Summary'!N16+'[6]YTD Mgmt Summary'!N16</f>
        <v>4284.2739999999994</v>
      </c>
      <c r="O16" s="134">
        <f t="shared" si="3"/>
        <v>-18624.739000000001</v>
      </c>
      <c r="P16" s="37"/>
      <c r="Q16" s="132">
        <f>+'Mgmt Summary'!Q16+'[6]YTD Mgmt Summary'!Q16</f>
        <v>-17958.328000000001</v>
      </c>
      <c r="R16" s="36"/>
      <c r="S16" s="36"/>
      <c r="T16" s="36">
        <f>+'Mgmt Summary'!T16+'[6]YTD Mgmt Summary'!T16</f>
        <v>672.61700000000019</v>
      </c>
      <c r="U16" s="36">
        <f>+'Mgmt Summary'!U16+'[6]YTD Mgmt Summary'!U16</f>
        <v>-1260.644</v>
      </c>
      <c r="V16" s="133">
        <f t="shared" si="0"/>
        <v>-18546.355000000003</v>
      </c>
      <c r="W16" s="63"/>
      <c r="X16" s="167"/>
    </row>
    <row r="17" spans="1:24" s="64" customFormat="1" ht="13.5" customHeight="1">
      <c r="A17" s="165" t="s">
        <v>85</v>
      </c>
      <c r="B17" s="176"/>
      <c r="C17" s="132">
        <f>+'Mgmt Summary'!C17+'[6]YTD Mgmt Summary'!C17</f>
        <v>60000</v>
      </c>
      <c r="D17" s="36">
        <f>+'Mgmt Summary'!D17+'[6]YTD Mgmt Summary'!D17</f>
        <v>10483.641</v>
      </c>
      <c r="E17" s="133">
        <f t="shared" si="1"/>
        <v>49516.358999999997</v>
      </c>
      <c r="F17" s="293"/>
      <c r="G17" s="132">
        <f>+'Mgmt Summary'!G17+'[6]YTD Mgmt Summary'!G17</f>
        <v>6243.5590000000002</v>
      </c>
      <c r="H17" s="36">
        <f>GrossMargin!J18</f>
        <v>0</v>
      </c>
      <c r="I17" s="36">
        <f>+'Mgmt Summary'!I17+'[6]YTD Mgmt Summary'!I17</f>
        <v>0</v>
      </c>
      <c r="J17" s="134">
        <f t="shared" si="2"/>
        <v>6243.5590000000002</v>
      </c>
      <c r="K17" s="135"/>
      <c r="L17" s="137"/>
      <c r="M17" s="138">
        <f>+'Mgmt Summary'!M17+'[6]YTD Mgmt Summary'!M17</f>
        <v>17754.319</v>
      </c>
      <c r="N17" s="138">
        <f>+'Mgmt Summary'!N17+'[6]YTD Mgmt Summary'!N17</f>
        <v>4532.125</v>
      </c>
      <c r="O17" s="134">
        <f t="shared" si="3"/>
        <v>-16042.884999999998</v>
      </c>
      <c r="P17" s="37"/>
      <c r="Q17" s="132">
        <f>+'Mgmt Summary'!Q17+'[6]YTD Mgmt Summary'!Q17</f>
        <v>-53756.440999999999</v>
      </c>
      <c r="R17" s="36"/>
      <c r="S17" s="36"/>
      <c r="T17" s="36">
        <f>+'Mgmt Summary'!T17+'[6]YTD Mgmt Summary'!T17</f>
        <v>-12033.319</v>
      </c>
      <c r="U17" s="36">
        <f>+'Mgmt Summary'!U17+'[6]YTD Mgmt Summary'!U17</f>
        <v>230.51600000000008</v>
      </c>
      <c r="V17" s="133">
        <f t="shared" si="0"/>
        <v>-65559.243999999992</v>
      </c>
      <c r="W17" s="63"/>
      <c r="X17" s="167"/>
    </row>
    <row r="18" spans="1:24" s="64" customFormat="1" ht="13.5" customHeight="1">
      <c r="A18" s="165" t="s">
        <v>109</v>
      </c>
      <c r="B18" s="176"/>
      <c r="C18" s="132">
        <f>'[6]YTD Mgmt Summary'!C18</f>
        <v>1413</v>
      </c>
      <c r="D18" s="36">
        <f>'[6]YTD Mgmt Summary'!D18</f>
        <v>1600.923</v>
      </c>
      <c r="E18" s="133">
        <f t="shared" si="1"/>
        <v>-187.923</v>
      </c>
      <c r="F18" s="293"/>
      <c r="G18" s="132">
        <f>'[6]YTD Mgmt Summary'!G18</f>
        <v>168.79400000000001</v>
      </c>
      <c r="H18" s="36">
        <f>GrossMargin!J19</f>
        <v>0</v>
      </c>
      <c r="I18" s="36">
        <f>'[6]YTD Mgmt Summary'!I18</f>
        <v>0</v>
      </c>
      <c r="J18" s="134">
        <f t="shared" si="2"/>
        <v>168.79400000000001</v>
      </c>
      <c r="K18" s="135"/>
      <c r="L18" s="137"/>
      <c r="M18" s="138">
        <f>+'[6]YTD Mgmt Summary'!M18</f>
        <v>1557.3020000000001</v>
      </c>
      <c r="N18" s="138">
        <f>+'[6]YTD Mgmt Summary'!N18</f>
        <v>576.46900000000005</v>
      </c>
      <c r="O18" s="134">
        <f t="shared" si="3"/>
        <v>-1964.9770000000001</v>
      </c>
      <c r="P18" s="37"/>
      <c r="Q18" s="132">
        <f>+'[6]YTD Mgmt Summary'!Q18</f>
        <v>-1244.2059999999999</v>
      </c>
      <c r="R18" s="36"/>
      <c r="S18" s="36"/>
      <c r="T18" s="36">
        <f>+'[6]YTD Mgmt Summary'!T18</f>
        <v>-747.80200000000013</v>
      </c>
      <c r="U18" s="36">
        <f>+'[6]YTD Mgmt Summary'!U18</f>
        <v>214.95399999999995</v>
      </c>
      <c r="V18" s="133">
        <f t="shared" si="0"/>
        <v>-1777.0540000000001</v>
      </c>
      <c r="W18" s="63"/>
      <c r="X18" s="167"/>
    </row>
    <row r="19" spans="1:24" s="64" customFormat="1" ht="13.5" customHeight="1">
      <c r="A19" s="165" t="s">
        <v>87</v>
      </c>
      <c r="B19" s="176"/>
      <c r="C19" s="132">
        <f>+'[6]YTD Mgmt Summary'!C19</f>
        <v>513.99799999999959</v>
      </c>
      <c r="D19" s="36">
        <f>+'Mgmt Summary'!D18+'[6]YTD Mgmt Summary'!D19</f>
        <v>1717.412</v>
      </c>
      <c r="E19" s="133">
        <f t="shared" si="1"/>
        <v>-1203.4140000000004</v>
      </c>
      <c r="F19" s="293"/>
      <c r="G19" s="132">
        <f>+'[6]YTD Mgmt Summary'!G19</f>
        <v>1108.1749999999997</v>
      </c>
      <c r="H19" s="36">
        <f>GrossMargin!J20</f>
        <v>0</v>
      </c>
      <c r="I19" s="36">
        <f>+'[6]YTD Mgmt Summary'!I19</f>
        <v>0</v>
      </c>
      <c r="J19" s="134">
        <f t="shared" si="2"/>
        <v>1108.1749999999997</v>
      </c>
      <c r="K19" s="135"/>
      <c r="L19" s="137"/>
      <c r="M19" s="138">
        <f>+'[6]YTD Mgmt Summary'!M19</f>
        <v>658.53800000000001</v>
      </c>
      <c r="N19" s="138">
        <f>+'[6]YTD Mgmt Summary'!N19</f>
        <v>974.61300000000006</v>
      </c>
      <c r="O19" s="134">
        <f t="shared" si="3"/>
        <v>-524.97600000000034</v>
      </c>
      <c r="P19" s="37"/>
      <c r="Q19" s="132">
        <f>+'[6]YTD Mgmt Summary'!Q19</f>
        <v>594.17700000000013</v>
      </c>
      <c r="R19" s="36"/>
      <c r="S19" s="36"/>
      <c r="T19" s="36">
        <f>+'[6]YTD Mgmt Summary'!T19</f>
        <v>-83.715000000000003</v>
      </c>
      <c r="U19" s="36">
        <f>+'Mgmt Summary'!U18+'[6]YTD Mgmt Summary'!U19</f>
        <v>167.97600000000006</v>
      </c>
      <c r="V19" s="133">
        <f t="shared" si="0"/>
        <v>678.4380000000001</v>
      </c>
      <c r="W19" s="63"/>
      <c r="X19" s="167"/>
    </row>
    <row r="20" spans="1:24" s="64" customFormat="1" ht="13.5" customHeight="1">
      <c r="A20" s="165" t="s">
        <v>117</v>
      </c>
      <c r="B20" s="176"/>
      <c r="C20" s="132">
        <f>+'Mgmt Summary'!C19+'[6]YTD Mgmt Summary'!C20</f>
        <v>7500</v>
      </c>
      <c r="D20" s="36">
        <f>+'Mgmt Summary'!D19+'[6]YTD Mgmt Summary'!D20</f>
        <v>6732.7560000000003</v>
      </c>
      <c r="E20" s="133">
        <f t="shared" si="1"/>
        <v>767.24399999999969</v>
      </c>
      <c r="F20" s="293"/>
      <c r="G20" s="132">
        <f>+'Mgmt Summary'!G19+'[6]YTD Mgmt Summary'!G20</f>
        <v>2.2640000000000002</v>
      </c>
      <c r="H20" s="36">
        <f>GrossMargin!J21</f>
        <v>0</v>
      </c>
      <c r="I20" s="36">
        <f>+'Mgmt Summary'!I19+'[6]YTD Mgmt Summary'!I20</f>
        <v>0</v>
      </c>
      <c r="J20" s="134">
        <f>SUM(G20:I20)</f>
        <v>2.2640000000000002</v>
      </c>
      <c r="K20" s="135"/>
      <c r="L20" s="137"/>
      <c r="M20" s="36">
        <f>+'Mgmt Summary'!M19+'[6]YTD Mgmt Summary'!M20</f>
        <v>2473.3630000000003</v>
      </c>
      <c r="N20" s="36">
        <f>+'Mgmt Summary'!N19+'[6]YTD Mgmt Summary'!N20</f>
        <v>3424.7740000000003</v>
      </c>
      <c r="O20" s="134">
        <f>J20-K20-M20-N20-L20</f>
        <v>-5895.8730000000005</v>
      </c>
      <c r="P20" s="37"/>
      <c r="Q20" s="132">
        <f>+'Mgmt Summary'!Q19+'[6]YTD Mgmt Summary'!Q20</f>
        <v>-7497.7359999999999</v>
      </c>
      <c r="R20" s="36"/>
      <c r="S20" s="36"/>
      <c r="T20" s="36">
        <f>+'Mgmt Summary'!T19+'[6]YTD Mgmt Summary'!T20</f>
        <v>611.60900000000015</v>
      </c>
      <c r="U20" s="36">
        <f>+'Mgmt Summary'!U19+'[6]YTD Mgmt Summary'!U20</f>
        <v>223.01</v>
      </c>
      <c r="V20" s="133">
        <f t="shared" si="0"/>
        <v>-6663.1169999999993</v>
      </c>
      <c r="W20" s="63"/>
      <c r="X20" s="167"/>
    </row>
    <row r="21" spans="1:24" s="64" customFormat="1" ht="13.5" customHeight="1">
      <c r="A21" s="165" t="s">
        <v>118</v>
      </c>
      <c r="B21" s="176"/>
      <c r="C21" s="132">
        <f>+'Mgmt Summary'!C20+'[6]YTD Mgmt Summary'!C21</f>
        <v>4808.402</v>
      </c>
      <c r="D21" s="36">
        <f>+'Mgmt Summary'!D20+'[6]YTD Mgmt Summary'!D21</f>
        <v>472.9</v>
      </c>
      <c r="E21" s="133">
        <f t="shared" si="1"/>
        <v>4335.5020000000004</v>
      </c>
      <c r="F21" s="293"/>
      <c r="G21" s="132">
        <f>+'Mgmt Summary'!G20+'[6]YTD Mgmt Summary'!G21</f>
        <v>5649.6549999999997</v>
      </c>
      <c r="H21" s="36"/>
      <c r="I21" s="136">
        <f>+'Mgmt Summary'!I20+'[6]YTD Mgmt Summary'!I21</f>
        <v>0</v>
      </c>
      <c r="J21" s="134">
        <f>SUM(G21:I21)</f>
        <v>5649.6549999999997</v>
      </c>
      <c r="K21" s="135"/>
      <c r="L21" s="137"/>
      <c r="M21" s="36">
        <f>+'Mgmt Summary'!M20+'[6]YTD Mgmt Summary'!M21</f>
        <v>399.762</v>
      </c>
      <c r="N21" s="136">
        <f>+'Mgmt Summary'!N20+'[6]YTD Mgmt Summary'!N21</f>
        <v>0</v>
      </c>
      <c r="O21" s="134">
        <f>J21-K21-M21-N21-L21</f>
        <v>5249.893</v>
      </c>
      <c r="P21" s="37"/>
      <c r="Q21" s="132">
        <f>+'Mgmt Summary'!Q20+'[6]YTD Mgmt Summary'!Q21</f>
        <v>841.25299999999993</v>
      </c>
      <c r="R21" s="36"/>
      <c r="S21" s="36"/>
      <c r="T21" s="36">
        <f>+'Mgmt Summary'!T20+'[6]YTD Mgmt Summary'!T21</f>
        <v>26.137999999999977</v>
      </c>
      <c r="U21" s="36">
        <f>+'Mgmt Summary'!U20+'[6]YTD Mgmt Summary'!U21</f>
        <v>47.079000000000001</v>
      </c>
      <c r="V21" s="133">
        <f t="shared" si="0"/>
        <v>914.4699999999998</v>
      </c>
      <c r="W21" s="63"/>
      <c r="X21" s="167"/>
    </row>
    <row r="22" spans="1:24" s="64" customFormat="1" ht="13.5" customHeight="1">
      <c r="A22" s="165" t="s">
        <v>103</v>
      </c>
      <c r="B22" s="176"/>
      <c r="C22" s="132">
        <f>+'Mgmt Summary'!C21+'[6]YTD Mgmt Summary'!C22</f>
        <v>0</v>
      </c>
      <c r="D22" s="36">
        <f>+'Mgmt Summary'!D21+'[6]YTD Mgmt Summary'!D22</f>
        <v>3082.5810000000001</v>
      </c>
      <c r="E22" s="133">
        <f t="shared" si="1"/>
        <v>-3082.5810000000001</v>
      </c>
      <c r="F22" s="293"/>
      <c r="G22" s="132">
        <f>+'Mgmt Summary'!G21+'[6]YTD Mgmt Summary'!G22</f>
        <v>401.476</v>
      </c>
      <c r="H22" s="36">
        <f>GrossMargin!J21</f>
        <v>0</v>
      </c>
      <c r="I22" s="136">
        <f>+'Mgmt Summary'!I21+'[6]YTD Mgmt Summary'!I22</f>
        <v>0</v>
      </c>
      <c r="J22" s="134">
        <f t="shared" si="2"/>
        <v>401.476</v>
      </c>
      <c r="K22" s="135"/>
      <c r="L22" s="137"/>
      <c r="M22" s="36">
        <f>+'Mgmt Summary'!M21+'[6]YTD Mgmt Summary'!M22</f>
        <v>1877.3810000000001</v>
      </c>
      <c r="N22" s="136">
        <f>+'Mgmt Summary'!N21+'[6]YTD Mgmt Summary'!N22</f>
        <v>453.91299999999995</v>
      </c>
      <c r="O22" s="134">
        <f t="shared" si="3"/>
        <v>-1929.8180000000002</v>
      </c>
      <c r="P22" s="37"/>
      <c r="Q22" s="132">
        <f>+'Mgmt Summary'!Q21+'[6]YTD Mgmt Summary'!Q22</f>
        <v>401.476</v>
      </c>
      <c r="R22" s="36"/>
      <c r="S22" s="36"/>
      <c r="T22" s="36">
        <f>+'Mgmt Summary'!T21+'[6]YTD Mgmt Summary'!T22</f>
        <v>922.38799999999992</v>
      </c>
      <c r="U22" s="36">
        <f>+'Mgmt Summary'!U21+'[6]YTD Mgmt Summary'!U22</f>
        <v>-171.101</v>
      </c>
      <c r="V22" s="133">
        <f t="shared" si="0"/>
        <v>1152.7629999999999</v>
      </c>
      <c r="W22" s="63"/>
      <c r="X22" s="167"/>
    </row>
    <row r="23" spans="1:24" s="64" customFormat="1" ht="13.5" customHeight="1">
      <c r="A23" s="165" t="s">
        <v>2</v>
      </c>
      <c r="B23" s="176"/>
      <c r="C23" s="132">
        <f>+'Mgmt Summary'!C22+'[6]YTD Mgmt Summary'!C23</f>
        <v>0</v>
      </c>
      <c r="D23" s="36">
        <f>+'Mgmt Summary'!D22+'[6]YTD Mgmt Summary'!D23</f>
        <v>4042.42</v>
      </c>
      <c r="E23" s="133">
        <f>C23-D23</f>
        <v>-4042.42</v>
      </c>
      <c r="F23" s="293"/>
      <c r="G23" s="132">
        <f>+'Mgmt Summary'!G22+'[6]YTD Mgmt Summary'!G23</f>
        <v>0</v>
      </c>
      <c r="H23" s="36">
        <f>GrossMargin!J22</f>
        <v>0</v>
      </c>
      <c r="I23" s="136">
        <f>+'Mgmt Summary'!I22+'[6]YTD Mgmt Summary'!I23</f>
        <v>0</v>
      </c>
      <c r="J23" s="134">
        <f>SUM(G23:I23)</f>
        <v>0</v>
      </c>
      <c r="K23" s="135"/>
      <c r="L23" s="137"/>
      <c r="M23" s="36">
        <f>+'Mgmt Summary'!M22+'[6]YTD Mgmt Summary'!M23</f>
        <v>2418.6589999999997</v>
      </c>
      <c r="N23" s="136">
        <f>+'Mgmt Summary'!N22+'[6]YTD Mgmt Summary'!N23</f>
        <v>1456.6369999999999</v>
      </c>
      <c r="O23" s="134">
        <f>J23-K23-M23-N23-L23</f>
        <v>-3875.2959999999994</v>
      </c>
      <c r="P23" s="37"/>
      <c r="Q23" s="132">
        <f>+'Mgmt Summary'!Q22+'[6]YTD Mgmt Summary'!Q23</f>
        <v>0</v>
      </c>
      <c r="R23" s="36"/>
      <c r="S23" s="36"/>
      <c r="T23" s="36">
        <f>+'Mgmt Summary'!T22+'[6]YTD Mgmt Summary'!T23</f>
        <v>-273.68299999999988</v>
      </c>
      <c r="U23" s="36">
        <f>+'Mgmt Summary'!U22+'[6]YTD Mgmt Summary'!U23</f>
        <v>440.80699999999996</v>
      </c>
      <c r="V23" s="133">
        <f t="shared" si="0"/>
        <v>167.12400000000008</v>
      </c>
      <c r="W23" s="63"/>
      <c r="X23" s="167"/>
    </row>
    <row r="24" spans="1:24" s="64" customFormat="1" ht="13.5" customHeight="1">
      <c r="A24" s="165" t="s">
        <v>115</v>
      </c>
      <c r="B24" s="176"/>
      <c r="C24" s="132">
        <f>+'Mgmt Summary'!C23+2466.425+7170.213+5609.636</f>
        <v>16976.965</v>
      </c>
      <c r="D24" s="36">
        <f>+'Mgmt Summary'!D23+'[6]YTD Mgmt Summary'!D24</f>
        <v>0</v>
      </c>
      <c r="E24" s="133">
        <f>C24-D24</f>
        <v>16976.965</v>
      </c>
      <c r="F24" s="293"/>
      <c r="G24" s="132">
        <f>+'Mgmt Summary'!G23</f>
        <v>0</v>
      </c>
      <c r="H24" s="36">
        <f>GrossMargin!J23</f>
        <v>0</v>
      </c>
      <c r="I24" s="136">
        <f>+'Mgmt Summary'!I23</f>
        <v>0</v>
      </c>
      <c r="J24" s="134">
        <f>SUM(G24:I24)</f>
        <v>0</v>
      </c>
      <c r="K24" s="135"/>
      <c r="L24" s="137"/>
      <c r="M24" s="36">
        <f>+'Mgmt Summary'!M23</f>
        <v>0</v>
      </c>
      <c r="N24" s="136">
        <f>+'Mgmt Summary'!N23</f>
        <v>0</v>
      </c>
      <c r="O24" s="134">
        <f>J24-K24-M24-N24-L24</f>
        <v>0</v>
      </c>
      <c r="P24" s="37"/>
      <c r="Q24" s="132">
        <f>+'Mgmt Summary'!Q23+'[6]YTD Mgmt Summary'!Q24</f>
        <v>-13054.795</v>
      </c>
      <c r="R24" s="36"/>
      <c r="S24" s="36"/>
      <c r="T24" s="36">
        <f>+'Mgmt Summary'!T23+'[6]YTD Mgmt Summary'!T24</f>
        <v>0</v>
      </c>
      <c r="U24" s="36">
        <f>+'Mgmt Summary'!U23+'[6]YTD Mgmt Summary'!U24</f>
        <v>0</v>
      </c>
      <c r="V24" s="133">
        <f t="shared" si="0"/>
        <v>-13054.795</v>
      </c>
      <c r="W24" s="63"/>
      <c r="X24" s="167"/>
    </row>
    <row r="25" spans="1:24" ht="3" customHeight="1">
      <c r="A25" s="106"/>
      <c r="B25" s="35"/>
      <c r="C25" s="132"/>
      <c r="D25" s="36"/>
      <c r="E25" s="133"/>
      <c r="F25" s="293"/>
      <c r="G25" s="132"/>
      <c r="H25" s="36"/>
      <c r="I25" s="36"/>
      <c r="J25" s="134"/>
      <c r="K25" s="135"/>
      <c r="L25" s="297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43">
        <f>SUM(C9:C25)</f>
        <v>508026.86700000003</v>
      </c>
      <c r="D26" s="44">
        <f>SUM(D9:D25)</f>
        <v>201785.01000000004</v>
      </c>
      <c r="E26" s="45">
        <f>SUM(E9:E25)</f>
        <v>306241.85700000008</v>
      </c>
      <c r="F26" s="293"/>
      <c r="G26" s="43">
        <f t="shared" ref="G26:O26" si="4">SUM(G9:G25)</f>
        <v>238972.94279999996</v>
      </c>
      <c r="H26" s="44">
        <f t="shared" si="4"/>
        <v>0</v>
      </c>
      <c r="I26" s="44">
        <f t="shared" si="4"/>
        <v>0</v>
      </c>
      <c r="J26" s="46">
        <f t="shared" si="4"/>
        <v>238972.94279999996</v>
      </c>
      <c r="K26" s="44">
        <f t="shared" si="4"/>
        <v>0</v>
      </c>
      <c r="L26" s="43">
        <f t="shared" si="4"/>
        <v>0</v>
      </c>
      <c r="M26" s="44">
        <f t="shared" si="4"/>
        <v>116087.77499999999</v>
      </c>
      <c r="N26" s="44">
        <f t="shared" si="4"/>
        <v>80302.988500000021</v>
      </c>
      <c r="O26" s="46">
        <f t="shared" si="4"/>
        <v>42582.179299999989</v>
      </c>
      <c r="P26" s="37"/>
      <c r="Q26" s="43">
        <f t="shared" ref="Q26:V26" si="5">SUM(Q9:Q25)</f>
        <v>-269053.75420000002</v>
      </c>
      <c r="R26" s="44">
        <f t="shared" si="5"/>
        <v>0</v>
      </c>
      <c r="S26" s="44">
        <f t="shared" si="5"/>
        <v>0</v>
      </c>
      <c r="T26" s="44">
        <f t="shared" si="5"/>
        <v>-5692.6399999999985</v>
      </c>
      <c r="U26" s="44">
        <f t="shared" si="5"/>
        <v>11087.0455</v>
      </c>
      <c r="V26" s="45">
        <f t="shared" si="5"/>
        <v>-263659.34869999997</v>
      </c>
      <c r="W26" s="32"/>
    </row>
    <row r="27" spans="1:24" ht="3" customHeight="1">
      <c r="A27" s="106"/>
      <c r="B27" s="35"/>
      <c r="C27" s="132"/>
      <c r="D27" s="36"/>
      <c r="E27" s="133"/>
      <c r="F27" s="293"/>
      <c r="G27" s="132"/>
      <c r="H27" s="36"/>
      <c r="I27" s="36"/>
      <c r="J27" s="134"/>
      <c r="K27" s="135"/>
      <c r="L27" s="297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>
      <c r="A28" s="106" t="s">
        <v>119</v>
      </c>
      <c r="B28" s="35"/>
      <c r="C28" s="132">
        <f>+'Mgmt Summary'!C27</f>
        <v>0</v>
      </c>
      <c r="D28" s="36">
        <f>+'Mgmt Summary'!D27</f>
        <v>0</v>
      </c>
      <c r="E28" s="133">
        <f>C28-D28</f>
        <v>0</v>
      </c>
      <c r="F28" s="293"/>
      <c r="G28" s="132">
        <f>+'Mgmt Summary'!G27+'[6]YTD Mgmt Summary'!G28</f>
        <v>-81501</v>
      </c>
      <c r="H28" s="36"/>
      <c r="I28" s="36">
        <v>0</v>
      </c>
      <c r="J28" s="134">
        <f>SUM(G28:I28)</f>
        <v>-81501</v>
      </c>
      <c r="K28" s="135"/>
      <c r="L28" s="297"/>
      <c r="M28" s="132">
        <f>+'Mgmt Summary'!M27</f>
        <v>0</v>
      </c>
      <c r="N28" s="136">
        <f>+'Mgmt Summary'!N27</f>
        <v>0</v>
      </c>
      <c r="O28" s="134">
        <f>J28-K28-M28-N28-L28</f>
        <v>-81501</v>
      </c>
      <c r="P28" s="37"/>
      <c r="Q28" s="137">
        <f>+'Mgmt Summary'!Q27+'[6]YTD Mgmt Summary'!Q28</f>
        <v>-81501</v>
      </c>
      <c r="R28" s="136">
        <f>+'Mgmt Summary'!R27</f>
        <v>0</v>
      </c>
      <c r="S28" s="36">
        <f>+'Mgmt Summary'!S27</f>
        <v>0</v>
      </c>
      <c r="T28" s="36">
        <f>+'Mgmt Summary'!T27</f>
        <v>0</v>
      </c>
      <c r="U28" s="36">
        <f>+'Mgmt Summary'!U27</f>
        <v>0</v>
      </c>
      <c r="V28" s="133">
        <f>SUM(Q28:U28)</f>
        <v>-81501</v>
      </c>
      <c r="W28" s="32"/>
    </row>
    <row r="29" spans="1:24" ht="13.5">
      <c r="A29" s="106" t="s">
        <v>120</v>
      </c>
      <c r="B29" s="35"/>
      <c r="C29" s="132">
        <f>+'Mgmt Summary'!C28</f>
        <v>0</v>
      </c>
      <c r="D29" s="36">
        <f>+'Mgmt Summary'!D28+'[6]YTD Mgmt Summary'!D29</f>
        <v>0</v>
      </c>
      <c r="E29" s="133">
        <f>C29-D29</f>
        <v>0</v>
      </c>
      <c r="F29" s="293"/>
      <c r="G29" s="132">
        <f>+'Mgmt Summary'!G28+'[6]YTD Mgmt Summary'!G29</f>
        <v>0</v>
      </c>
      <c r="H29" s="36"/>
      <c r="I29" s="36">
        <v>0</v>
      </c>
      <c r="J29" s="134">
        <f>SUM(G29:I29)</f>
        <v>0</v>
      </c>
      <c r="K29" s="135"/>
      <c r="L29" s="297"/>
      <c r="M29" s="132">
        <f>+'Mgmt Summary'!M28+'[6]YTD Mgmt Summary'!M29</f>
        <v>1448.0150000000001</v>
      </c>
      <c r="N29" s="136">
        <f>+'Mgmt Summary'!N28+'[6]YTD Mgmt Summary'!N29</f>
        <v>0</v>
      </c>
      <c r="O29" s="134">
        <f>J29-K29-M29-N29-L29</f>
        <v>-1448.0150000000001</v>
      </c>
      <c r="P29" s="37"/>
      <c r="Q29" s="137">
        <f>+'Mgmt Summary'!Q28+'[6]YTD Mgmt Summary'!Q29</f>
        <v>0</v>
      </c>
      <c r="R29" s="138">
        <f>+'Mgmt Summary'!R28+'[6]YTD Mgmt Summary'!R29</f>
        <v>0</v>
      </c>
      <c r="S29" s="138">
        <f>+'Mgmt Summary'!S28+'[6]YTD Mgmt Summary'!S29</f>
        <v>0</v>
      </c>
      <c r="T29" s="138">
        <f>+'Mgmt Summary'!T28+'[6]YTD Mgmt Summary'!T29</f>
        <v>-1448.0150000000001</v>
      </c>
      <c r="U29" s="138">
        <f>+'Mgmt Summary'!U28+'[6]YTD Mgmt Summary'!U29</f>
        <v>0</v>
      </c>
      <c r="V29" s="133">
        <f>SUM(Q29:U29)</f>
        <v>-1448.0150000000001</v>
      </c>
      <c r="W29" s="32"/>
    </row>
    <row r="30" spans="1:24" s="64" customFormat="1" ht="13.5" customHeight="1">
      <c r="A30" s="165" t="s">
        <v>114</v>
      </c>
      <c r="B30" s="176"/>
      <c r="C30" s="132">
        <f>+'Mgmt Summary'!C29+'[6]YTD Mgmt Summary'!$C$30</f>
        <v>0</v>
      </c>
      <c r="D30" s="36">
        <f>+'Mgmt Summary'!D29+'[6]YTD Mgmt Summary'!D30</f>
        <v>128692.15399999999</v>
      </c>
      <c r="E30" s="133">
        <f>C30-D30</f>
        <v>-128692.15399999999</v>
      </c>
      <c r="F30" s="293"/>
      <c r="G30" s="132">
        <f>+'Mgmt Summary'!G29+'[6]YTD Mgmt Summary'!G30</f>
        <v>0</v>
      </c>
      <c r="H30" s="36">
        <f>GrossMargin!J29</f>
        <v>0</v>
      </c>
      <c r="I30" s="36">
        <f>+'Mgmt Summary'!I29+'[6]YTD Mgmt Summary'!I26</f>
        <v>0</v>
      </c>
      <c r="J30" s="134">
        <f>SUM(G30:I30)</f>
        <v>0</v>
      </c>
      <c r="K30" s="135"/>
      <c r="L30" s="137"/>
      <c r="M30" s="138">
        <f>+'Mgmt Summary'!M29+'[6]YTD Mgmt Summary'!M30</f>
        <v>133793.64000000001</v>
      </c>
      <c r="N30" s="138">
        <f>+'Mgmt Summary'!N29+'[6]YTD Mgmt Summary'!N30</f>
        <v>0</v>
      </c>
      <c r="O30" s="134">
        <f>J30-K30-M30-N30-L30</f>
        <v>-133793.64000000001</v>
      </c>
      <c r="P30" s="37"/>
      <c r="Q30" s="137">
        <f>+'Mgmt Summary'!Q29+'[6]YTD Mgmt Summary'!Q30</f>
        <v>0</v>
      </c>
      <c r="R30" s="138">
        <f>+'Mgmt Summary'!R29+'[6]YTD Mgmt Summary'!R30</f>
        <v>0</v>
      </c>
      <c r="S30" s="138">
        <f>+'Mgmt Summary'!S29+'[6]YTD Mgmt Summary'!S30</f>
        <v>0</v>
      </c>
      <c r="T30" s="138">
        <f>+'Mgmt Summary'!T29+'[6]YTD Mgmt Summary'!T30</f>
        <v>-5101.1790000000001</v>
      </c>
      <c r="U30" s="138">
        <f>+'Mgmt Summary'!U29+'[6]YTD Mgmt Summary'!U30</f>
        <v>0</v>
      </c>
      <c r="V30" s="133">
        <f>SUM(Q30:U30)</f>
        <v>-5101.1790000000001</v>
      </c>
      <c r="W30" s="63"/>
      <c r="X30" s="167"/>
    </row>
    <row r="31" spans="1:24" s="64" customFormat="1" ht="13.5" customHeight="1">
      <c r="A31" s="165" t="s">
        <v>89</v>
      </c>
      <c r="B31" s="176"/>
      <c r="C31" s="132">
        <f>+'Mgmt Summary'!C30+'[6]YTD Mgmt Summary'!C31</f>
        <v>0</v>
      </c>
      <c r="D31" s="36">
        <f>+'Mgmt Summary'!D30+'[6]YTD Mgmt Summary'!D31</f>
        <v>-91389.842000000004</v>
      </c>
      <c r="E31" s="133">
        <f>C31-D31</f>
        <v>91389.842000000004</v>
      </c>
      <c r="F31" s="293"/>
      <c r="G31" s="132">
        <f>+'Mgmt Summary'!G30+'[6]YTD Mgmt Summary'!G31</f>
        <v>0</v>
      </c>
      <c r="H31" s="36">
        <f>GrossMargin!J30</f>
        <v>0</v>
      </c>
      <c r="I31" s="36">
        <f>+'Mgmt Summary'!I30+'[6]YTD Mgmt Summary'!I27</f>
        <v>0</v>
      </c>
      <c r="J31" s="134">
        <f>SUM(G31:I31)</f>
        <v>0</v>
      </c>
      <c r="K31" s="135"/>
      <c r="L31" s="137"/>
      <c r="M31" s="138">
        <f>+'Mgmt Summary'!M30+'[6]YTD Mgmt Summary'!M31</f>
        <v>0</v>
      </c>
      <c r="N31" s="138">
        <f>+'Mgmt Summary'!N30+'[6]YTD Mgmt Summary'!N31</f>
        <v>-80302.577499999999</v>
      </c>
      <c r="O31" s="134">
        <f>J31-K31-M31-N31-L31</f>
        <v>80302.577499999999</v>
      </c>
      <c r="P31" s="37"/>
      <c r="Q31" s="137">
        <f>+'Mgmt Summary'!Q30+'[6]YTD Mgmt Summary'!Q31</f>
        <v>0</v>
      </c>
      <c r="R31" s="138">
        <f>+'Mgmt Summary'!R30+'[6]YTD Mgmt Summary'!R31</f>
        <v>0</v>
      </c>
      <c r="S31" s="138">
        <f>+'Mgmt Summary'!S30+'[6]YTD Mgmt Summary'!S31</f>
        <v>0</v>
      </c>
      <c r="T31" s="138">
        <f>+'Mgmt Summary'!T30+'[6]YTD Mgmt Summary'!T31</f>
        <v>0</v>
      </c>
      <c r="U31" s="138">
        <f>+'Mgmt Summary'!U30+'[6]YTD Mgmt Summary'!U31</f>
        <v>-11087.264500000001</v>
      </c>
      <c r="V31" s="133">
        <f>SUM(Q31:U31)</f>
        <v>-11087.264500000001</v>
      </c>
      <c r="W31" s="63"/>
      <c r="X31" s="167"/>
    </row>
    <row r="32" spans="1:24" ht="13.5" hidden="1" customHeight="1">
      <c r="A32" s="106" t="s">
        <v>34</v>
      </c>
      <c r="B32" s="35"/>
      <c r="C32" s="132">
        <f>+'Mgmt Summary'!C32+'[2]YTD Mgmt Summary'!C27</f>
        <v>0</v>
      </c>
      <c r="D32" s="36">
        <f>+'Mgmt Summary'!D32+'[2]YTD Mgmt Summary'!D27</f>
        <v>0</v>
      </c>
      <c r="E32" s="133">
        <f>C32-D32</f>
        <v>0</v>
      </c>
      <c r="F32" s="293"/>
      <c r="G32" s="132">
        <f>+'Mgmt Summary'!G32+'[2]YTD Mgmt Summary'!G27</f>
        <v>0</v>
      </c>
      <c r="H32" s="36">
        <f>GrossMargin!J31</f>
        <v>0</v>
      </c>
      <c r="I32" s="36">
        <f>+'Mgmt Summary'!I32+'[2]YTD Mgmt Summary'!I27</f>
        <v>0</v>
      </c>
      <c r="J32" s="134">
        <f>SUM(G32:I32)</f>
        <v>0</v>
      </c>
      <c r="K32" s="135"/>
      <c r="L32" s="137">
        <f>+'Mgmt Summary'!L32+'[2]YTD Mgmt Summary'!L27</f>
        <v>0</v>
      </c>
      <c r="M32" s="138">
        <f>+'Mgmt Summary'!M32+'[2]YTD Mgmt Summary'!M27</f>
        <v>0</v>
      </c>
      <c r="N32" s="138">
        <f>+'Mgmt Summary'!N32+'[2]YTD Mgmt Summary'!N27</f>
        <v>0</v>
      </c>
      <c r="O32" s="134">
        <f>J32-K32-M32-N32-L32</f>
        <v>0</v>
      </c>
      <c r="P32" s="37"/>
      <c r="Q32" s="132">
        <f>+'Mgmt Summary'!Q32+'[2]YTD Mgmt Summary'!Q27</f>
        <v>0</v>
      </c>
      <c r="R32" s="36"/>
      <c r="S32" s="36">
        <f>+'Mgmt Summary'!S32+'[2]YTD Mgmt Summary'!S33</f>
        <v>0</v>
      </c>
      <c r="T32" s="36">
        <f>+'Mgmt Summary'!T32+'[2]YTD Mgmt Summary'!T33</f>
        <v>0</v>
      </c>
      <c r="U32" s="36">
        <f>+'Mgmt Summary'!U32+'[2]YTD Mgmt Summary'!U33</f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293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/>
      <c r="W33" s="32"/>
    </row>
    <row r="34" spans="1:23" s="34" customFormat="1" ht="12" customHeight="1">
      <c r="A34" s="38" t="s">
        <v>72</v>
      </c>
      <c r="B34" s="35"/>
      <c r="C34" s="43">
        <f>SUM(C26:C33)</f>
        <v>508026.86700000003</v>
      </c>
      <c r="D34" s="44">
        <f>SUM(D26:D33)</f>
        <v>239087.32200000004</v>
      </c>
      <c r="E34" s="45">
        <f>SUM(E26:E33)</f>
        <v>268939.5450000001</v>
      </c>
      <c r="F34" s="293"/>
      <c r="G34" s="43">
        <f t="shared" ref="G34:N34" si="6">SUM(G26:G33)</f>
        <v>157471.94279999996</v>
      </c>
      <c r="H34" s="44">
        <f t="shared" si="6"/>
        <v>0</v>
      </c>
      <c r="I34" s="44">
        <f t="shared" si="6"/>
        <v>0</v>
      </c>
      <c r="J34" s="46">
        <f t="shared" si="6"/>
        <v>157471.94279999996</v>
      </c>
      <c r="K34" s="44">
        <f t="shared" si="6"/>
        <v>0</v>
      </c>
      <c r="L34" s="43">
        <f t="shared" si="6"/>
        <v>0</v>
      </c>
      <c r="M34" s="44">
        <f t="shared" si="6"/>
        <v>251329.43</v>
      </c>
      <c r="N34" s="44">
        <f t="shared" si="6"/>
        <v>0.41100000002188608</v>
      </c>
      <c r="O34" s="46">
        <f>J34-K34-M34-N34-L34</f>
        <v>-93857.898200000054</v>
      </c>
      <c r="P34" s="37"/>
      <c r="Q34" s="43">
        <f t="shared" ref="Q34:V34" si="7">SUM(Q26:Q33)</f>
        <v>-350554.75420000002</v>
      </c>
      <c r="R34" s="44">
        <f t="shared" si="7"/>
        <v>0</v>
      </c>
      <c r="S34" s="44">
        <f t="shared" si="7"/>
        <v>0</v>
      </c>
      <c r="T34" s="44">
        <f t="shared" si="7"/>
        <v>-12241.833999999999</v>
      </c>
      <c r="U34" s="44">
        <f t="shared" si="7"/>
        <v>-0.21900000000096043</v>
      </c>
      <c r="V34" s="45">
        <f t="shared" si="7"/>
        <v>-362796.80719999998</v>
      </c>
      <c r="W34" s="32"/>
    </row>
    <row r="35" spans="1:23" ht="3" customHeight="1">
      <c r="A35" s="106"/>
      <c r="B35" s="35"/>
      <c r="C35" s="132"/>
      <c r="D35" s="36"/>
      <c r="E35" s="133"/>
      <c r="F35" s="293"/>
      <c r="G35" s="132"/>
      <c r="H35" s="36"/>
      <c r="I35" s="36"/>
      <c r="J35" s="134"/>
      <c r="K35" s="135"/>
      <c r="L35" s="297"/>
      <c r="M35" s="36"/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f>+'Mgmt Summary'!C36+'[6]YTD Mgmt Summary'!C37</f>
        <v>0</v>
      </c>
      <c r="D36" s="36">
        <f>+'Mgmt Summary'!D36+'[6]YTD Mgmt Summary'!D37</f>
        <v>26900</v>
      </c>
      <c r="E36" s="133">
        <f>C36-D36</f>
        <v>-26900</v>
      </c>
      <c r="F36" s="293"/>
      <c r="G36" s="132">
        <f>+'Mgmt Summary'!G36+'[6]YTD Mgmt Summary'!G34</f>
        <v>0</v>
      </c>
      <c r="H36" s="36">
        <f>GrossMargin!J36</f>
        <v>0</v>
      </c>
      <c r="I36" s="36">
        <f>+'Mgmt Summary'!I36+'[6]YTD Mgmt Summary'!I34</f>
        <v>0</v>
      </c>
      <c r="J36" s="134">
        <f>SUM(G36:I36)</f>
        <v>0</v>
      </c>
      <c r="K36" s="135"/>
      <c r="L36" s="137"/>
      <c r="M36" s="138">
        <f>+'Mgmt Summary'!M36+'[6]YTD Mgmt Summary'!M37</f>
        <v>29402</v>
      </c>
      <c r="N36" s="138">
        <f>+'Mgmt Summary'!N36+'[6]YTD Mgmt Summary'!N37</f>
        <v>0</v>
      </c>
      <c r="O36" s="134">
        <f>J36-K36-M36-N36-L36</f>
        <v>-29402</v>
      </c>
      <c r="P36" s="37"/>
      <c r="Q36" s="132">
        <f>+'Mgmt Summary'!Q36+'[6]YTD Mgmt Summary'!Q37</f>
        <v>0</v>
      </c>
      <c r="R36" s="36"/>
      <c r="S36" s="36"/>
      <c r="T36" s="36">
        <f>+'Mgmt Summary'!T36+'[6]YTD Mgmt Summary'!T37</f>
        <v>-2502</v>
      </c>
      <c r="U36" s="36">
        <f>+'Mgmt Summary'!U36+'[6]YTD Mgmt Summary'!U37</f>
        <v>0</v>
      </c>
      <c r="V36" s="133">
        <f>SUM(Q36:U36)</f>
        <v>-2502</v>
      </c>
      <c r="W36" s="32"/>
    </row>
    <row r="37" spans="1:23" ht="3" customHeight="1">
      <c r="A37" s="106"/>
      <c r="B37" s="35"/>
      <c r="C37" s="132"/>
      <c r="D37" s="36"/>
      <c r="E37" s="133"/>
      <c r="F37" s="293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508026.86700000003</v>
      </c>
      <c r="D38" s="299">
        <f>SUM(D34:D36)</f>
        <v>265987.32200000004</v>
      </c>
      <c r="E38" s="300">
        <f>SUM(E34:E36)</f>
        <v>242039.5450000001</v>
      </c>
      <c r="F38" s="293"/>
      <c r="G38" s="298">
        <f t="shared" ref="G38:V38" si="8">SUM(G34:G36)</f>
        <v>157471.94279999996</v>
      </c>
      <c r="H38" s="299">
        <f t="shared" si="8"/>
        <v>0</v>
      </c>
      <c r="I38" s="299">
        <f t="shared" si="8"/>
        <v>0</v>
      </c>
      <c r="J38" s="301">
        <f t="shared" si="8"/>
        <v>157471.94279999996</v>
      </c>
      <c r="K38" s="299">
        <f t="shared" si="8"/>
        <v>0</v>
      </c>
      <c r="L38" s="298">
        <f t="shared" si="8"/>
        <v>0</v>
      </c>
      <c r="M38" s="299">
        <f t="shared" si="8"/>
        <v>280731.43</v>
      </c>
      <c r="N38" s="299">
        <f t="shared" si="8"/>
        <v>0.41100000002188608</v>
      </c>
      <c r="O38" s="301">
        <f>J38-K38-M38-N38-L38</f>
        <v>-123259.89820000005</v>
      </c>
      <c r="P38" s="37"/>
      <c r="Q38" s="39">
        <f t="shared" si="8"/>
        <v>-350554.75420000002</v>
      </c>
      <c r="R38" s="40">
        <f t="shared" si="8"/>
        <v>0</v>
      </c>
      <c r="S38" s="40">
        <f t="shared" si="8"/>
        <v>0</v>
      </c>
      <c r="T38" s="40">
        <f t="shared" si="8"/>
        <v>-14743.833999999999</v>
      </c>
      <c r="U38" s="40">
        <f t="shared" si="8"/>
        <v>-0.21900000000096043</v>
      </c>
      <c r="V38" s="41">
        <f t="shared" si="8"/>
        <v>-365298.80719999998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 hidden="1">
      <c r="A40" s="66"/>
      <c r="C40" s="67"/>
      <c r="D40" s="23"/>
      <c r="E40" s="66" t="s">
        <v>52</v>
      </c>
      <c r="F40" s="23"/>
      <c r="G40" s="68">
        <f>+'GM-WeeklyChnge'!C47</f>
        <v>0</v>
      </c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 hidden="1">
      <c r="C56" s="23"/>
      <c r="D56" s="23"/>
      <c r="E56" s="23"/>
      <c r="F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C63" s="23"/>
      <c r="D63" s="23"/>
      <c r="E63" s="23"/>
      <c r="F63" s="23"/>
    </row>
    <row r="64" spans="1:6" hidden="1">
      <c r="C64" s="23"/>
      <c r="D64" s="23"/>
      <c r="E64" s="23"/>
      <c r="F64" s="23"/>
    </row>
    <row r="65" hidden="1"/>
    <row r="66" hidden="1"/>
    <row r="67" hidden="1"/>
    <row r="68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41" sqref="G41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110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96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November 16,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84</v>
      </c>
      <c r="H6" s="228"/>
      <c r="I6" s="229"/>
      <c r="J6" s="199"/>
      <c r="K6" s="329" t="s">
        <v>83</v>
      </c>
      <c r="L6" s="330"/>
      <c r="M6" s="331"/>
      <c r="N6" s="265"/>
      <c r="O6" s="329" t="s">
        <v>94</v>
      </c>
      <c r="P6" s="330"/>
      <c r="Q6" s="331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92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104</v>
      </c>
      <c r="B9" s="220"/>
      <c r="C9" s="221">
        <f>+'Mgmt Summary'!J9</f>
        <v>-46958.415000000001</v>
      </c>
      <c r="D9" s="222">
        <f>+'Mgmt Summary'!C9</f>
        <v>45000</v>
      </c>
      <c r="E9" s="223">
        <f t="shared" ref="E9:E15" si="0">-D9+C9</f>
        <v>-91958.415000000008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-63880.157999999996</v>
      </c>
      <c r="L9" s="222">
        <f t="shared" ref="K9:L15" si="2">D9-H9</f>
        <v>28078.257000000001</v>
      </c>
      <c r="M9" s="223">
        <f t="shared" ref="M9:M15" si="3">K9-L9</f>
        <v>-91958.414999999994</v>
      </c>
      <c r="N9" s="267"/>
      <c r="O9" s="221">
        <f>+'GM-WeeklyChnge'!K9</f>
        <v>-5996.989999999998</v>
      </c>
      <c r="P9" s="222">
        <f>-G9+'[7]QTD Mgmt Summary'!G9</f>
        <v>0</v>
      </c>
      <c r="Q9" s="223">
        <f>+O9+P9</f>
        <v>-5996.989999999998</v>
      </c>
    </row>
    <row r="10" spans="1:22" s="32" customFormat="1" ht="13.5" customHeight="1">
      <c r="A10" s="219" t="s">
        <v>116</v>
      </c>
      <c r="B10" s="220"/>
      <c r="C10" s="221">
        <f>+'Mgmt Summary'!J10</f>
        <v>4028.6859999999997</v>
      </c>
      <c r="D10" s="222">
        <f>+'Mgmt Summary'!C10</f>
        <v>16250</v>
      </c>
      <c r="E10" s="223">
        <f t="shared" si="0"/>
        <v>-12221.314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-4870.8010000000013</v>
      </c>
      <c r="L10" s="222">
        <f t="shared" si="2"/>
        <v>7350.512999999999</v>
      </c>
      <c r="M10" s="223">
        <f t="shared" si="3"/>
        <v>-12221.314</v>
      </c>
      <c r="N10" s="267"/>
      <c r="O10" s="221">
        <f>+'GM-WeeklyChnge'!K10</f>
        <v>888.34100000000001</v>
      </c>
      <c r="P10" s="222">
        <f>-G10+'[7]QTD Mgmt Summary'!G10</f>
        <v>0</v>
      </c>
      <c r="Q10" s="223">
        <f t="shared" ref="Q10:Q23" si="4">+O10+P10</f>
        <v>888.34100000000001</v>
      </c>
    </row>
    <row r="11" spans="1:22" s="32" customFormat="1" ht="13.5" customHeight="1">
      <c r="A11" s="219" t="s">
        <v>108</v>
      </c>
      <c r="B11" s="220"/>
      <c r="C11" s="221">
        <f>+'Mgmt Summary'!J11</f>
        <v>3387</v>
      </c>
      <c r="D11" s="222">
        <f>+'Mgmt Summary'!C11</f>
        <v>2500</v>
      </c>
      <c r="E11" s="223">
        <f>-D11+C11</f>
        <v>887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2663.7260000000001</v>
      </c>
      <c r="L11" s="222">
        <f>D11-H11</f>
        <v>1776.7260000000001</v>
      </c>
      <c r="M11" s="223">
        <f>K11-L11</f>
        <v>887</v>
      </c>
      <c r="N11" s="267"/>
      <c r="O11" s="221">
        <f>+'GM-WeeklyChnge'!K11</f>
        <v>922</v>
      </c>
      <c r="P11" s="222">
        <f>-G11+'[7]QTD Mgmt Summary'!G11</f>
        <v>0</v>
      </c>
      <c r="Q11" s="223">
        <f t="shared" si="4"/>
        <v>922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+G12-'[7]QTD Mgmt Summary'!G12</f>
        <v>0</v>
      </c>
      <c r="Q12" s="223">
        <f t="shared" si="4"/>
        <v>0</v>
      </c>
    </row>
    <row r="13" spans="1:22" s="32" customFormat="1" ht="13.5" customHeight="1">
      <c r="A13" s="219" t="s">
        <v>62</v>
      </c>
      <c r="B13" s="220"/>
      <c r="C13" s="221">
        <f>+'Mgmt Summary'!J13</f>
        <v>-4892</v>
      </c>
      <c r="D13" s="222">
        <f>+'Mgmt Summary'!C13</f>
        <v>8752.58</v>
      </c>
      <c r="E13" s="223">
        <f t="shared" si="0"/>
        <v>-13644.58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-8528.8330000000005</v>
      </c>
      <c r="L13" s="222">
        <f t="shared" si="2"/>
        <v>5415.7469999999994</v>
      </c>
      <c r="M13" s="223">
        <f t="shared" si="3"/>
        <v>-13944.58</v>
      </c>
      <c r="N13" s="267"/>
      <c r="O13" s="221">
        <f>+'GM-WeeklyChnge'!K13</f>
        <v>-1295</v>
      </c>
      <c r="P13" s="222">
        <f>-G13+'[7]QTD Mgmt Summary'!G13</f>
        <v>0</v>
      </c>
      <c r="Q13" s="223">
        <f t="shared" si="4"/>
        <v>-1295</v>
      </c>
    </row>
    <row r="14" spans="1:22" s="32" customFormat="1" ht="13.5" customHeight="1">
      <c r="A14" s="294" t="s">
        <v>123</v>
      </c>
      <c r="B14" s="220"/>
      <c r="C14" s="221">
        <f>+'Mgmt Summary'!J14</f>
        <v>858.42700000000002</v>
      </c>
      <c r="D14" s="222">
        <f>+'Mgmt Summary'!C14</f>
        <v>8875</v>
      </c>
      <c r="E14" s="223">
        <f t="shared" si="0"/>
        <v>-8016.5730000000003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-2611.9809999999998</v>
      </c>
      <c r="L14" s="222">
        <f t="shared" si="2"/>
        <v>5404.5920000000006</v>
      </c>
      <c r="M14" s="223">
        <f t="shared" si="3"/>
        <v>-8016.5730000000003</v>
      </c>
      <c r="N14" s="267"/>
      <c r="O14" s="221">
        <f>+'GM-WeeklyChnge'!K14</f>
        <v>704.23900000000003</v>
      </c>
      <c r="P14" s="222">
        <f>-G14+'[7]QTD Mgmt Summary'!G14</f>
        <v>0</v>
      </c>
      <c r="Q14" s="223">
        <f t="shared" si="4"/>
        <v>704.23900000000003</v>
      </c>
    </row>
    <row r="15" spans="1:22" s="32" customFormat="1" ht="13.5" customHeight="1">
      <c r="A15" s="219" t="s">
        <v>49</v>
      </c>
      <c r="B15" s="220"/>
      <c r="C15" s="221">
        <f>+'Mgmt Summary'!J15</f>
        <v>1836</v>
      </c>
      <c r="D15" s="222">
        <f>+'Mgmt Summary'!C15</f>
        <v>29545</v>
      </c>
      <c r="E15" s="223">
        <f t="shared" si="0"/>
        <v>-27709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-1294.5470000000005</v>
      </c>
      <c r="L15" s="222">
        <f t="shared" si="2"/>
        <v>26414.453000000001</v>
      </c>
      <c r="M15" s="223">
        <f t="shared" si="3"/>
        <v>-27709</v>
      </c>
      <c r="N15" s="267"/>
      <c r="O15" s="221">
        <f>+'GM-WeeklyChnge'!K21</f>
        <v>-997</v>
      </c>
      <c r="P15" s="222">
        <f>-G15+'[7]QTD Mgmt Summary'!G15</f>
        <v>0</v>
      </c>
      <c r="Q15" s="223">
        <f t="shared" si="4"/>
        <v>-997</v>
      </c>
    </row>
    <row r="16" spans="1:22" s="32" customFormat="1" ht="13.5" customHeight="1">
      <c r="A16" s="219" t="s">
        <v>105</v>
      </c>
      <c r="B16" s="220"/>
      <c r="C16" s="221">
        <f>+'Mgmt Summary'!J16</f>
        <v>-92.724000000000004</v>
      </c>
      <c r="D16" s="222">
        <f>+'Mgmt Summary'!C16</f>
        <v>13305.5</v>
      </c>
      <c r="E16" s="223">
        <f t="shared" ref="E16:E23" si="5">-D16+C16</f>
        <v>-13398.224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3" si="6">C16-G16</f>
        <v>-8855.9339999999993</v>
      </c>
      <c r="L16" s="222">
        <f t="shared" si="6"/>
        <v>4542.2900000000009</v>
      </c>
      <c r="M16" s="223">
        <f t="shared" ref="M16:M23" si="7">K16-L16</f>
        <v>-13398.224</v>
      </c>
      <c r="N16" s="267"/>
      <c r="O16" s="221">
        <f>+'GM-WeeklyChnge'!K22</f>
        <v>-18.652000000000001</v>
      </c>
      <c r="P16" s="222">
        <f>-G16+'[7]QTD Mgmt Summary'!G16</f>
        <v>0</v>
      </c>
      <c r="Q16" s="223">
        <f t="shared" si="4"/>
        <v>-18.652000000000001</v>
      </c>
    </row>
    <row r="17" spans="1:19" s="32" customFormat="1" ht="13.5" customHeight="1">
      <c r="A17" s="219" t="s">
        <v>85</v>
      </c>
      <c r="B17" s="220"/>
      <c r="C17" s="221">
        <f>+'Mgmt Summary'!J17</f>
        <v>2224</v>
      </c>
      <c r="D17" s="222">
        <f>+'Mgmt Summary'!C17</f>
        <v>44000</v>
      </c>
      <c r="E17" s="223">
        <f t="shared" si="5"/>
        <v>-41776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3" si="8">+H17-G17</f>
        <v>-1840</v>
      </c>
      <c r="J17" s="224"/>
      <c r="K17" s="221">
        <f t="shared" si="6"/>
        <v>-2235.4279999999999</v>
      </c>
      <c r="L17" s="222">
        <f t="shared" si="6"/>
        <v>41380.572</v>
      </c>
      <c r="M17" s="223">
        <f t="shared" si="7"/>
        <v>-43616</v>
      </c>
      <c r="N17" s="267"/>
      <c r="O17" s="221">
        <f>+'GM-WeeklyChnge'!K23</f>
        <v>-332</v>
      </c>
      <c r="P17" s="222">
        <f>-G17+'[7]QTD Mgmt Summary'!G17</f>
        <v>0</v>
      </c>
      <c r="Q17" s="223">
        <f t="shared" si="4"/>
        <v>-332</v>
      </c>
      <c r="S17" s="270"/>
    </row>
    <row r="18" spans="1:19" s="32" customFormat="1" ht="13.5" hidden="1" customHeight="1">
      <c r="A18" s="219" t="s">
        <v>87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+G18-'[7]QTD Mgmt Summary'!G18</f>
        <v>0</v>
      </c>
      <c r="Q18" s="223">
        <f t="shared" si="4"/>
        <v>0</v>
      </c>
    </row>
    <row r="19" spans="1:19" s="32" customFormat="1" ht="13.5" customHeight="1">
      <c r="A19" s="219" t="s">
        <v>117</v>
      </c>
      <c r="B19" s="220"/>
      <c r="C19" s="254">
        <f>+'Mgmt Summary'!J19</f>
        <v>1.415</v>
      </c>
      <c r="D19" s="255">
        <f>+'Mgmt Summary'!C19</f>
        <v>3750</v>
      </c>
      <c r="E19" s="256">
        <f>-D19+C19</f>
        <v>-3748.585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-3364.9630000000002</v>
      </c>
      <c r="L19" s="255">
        <f>D19-H19</f>
        <v>383.62199999999984</v>
      </c>
      <c r="M19" s="256">
        <f>K19-L19</f>
        <v>-3748.585</v>
      </c>
      <c r="N19" s="267"/>
      <c r="O19" s="221">
        <f>+'GM-WeeklyChnge'!K25</f>
        <v>-1.0000000000000009E-2</v>
      </c>
      <c r="P19" s="222">
        <f>-G19+'[7]QTD Mgmt Summary'!G19</f>
        <v>0</v>
      </c>
      <c r="Q19" s="223">
        <f>+O19+P19</f>
        <v>-1.0000000000000009E-2</v>
      </c>
    </row>
    <row r="20" spans="1:19" s="32" customFormat="1" ht="13.5" customHeight="1">
      <c r="A20" s="219" t="s">
        <v>118</v>
      </c>
      <c r="B20" s="220"/>
      <c r="C20" s="254">
        <f>+'Mgmt Summary'!J20</f>
        <v>1147</v>
      </c>
      <c r="D20" s="255">
        <f>+'Mgmt Summary'!C20</f>
        <v>1602.701</v>
      </c>
      <c r="E20" s="256">
        <f>-D20+C20</f>
        <v>-455.70100000000002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1008.55</v>
      </c>
      <c r="L20" s="255">
        <f>D20-H20</f>
        <v>1464.251</v>
      </c>
      <c r="M20" s="256">
        <f>K20-L20</f>
        <v>-455.70100000000002</v>
      </c>
      <c r="N20" s="267"/>
      <c r="O20" s="221">
        <f>+'GM-WeeklyChnge'!K26</f>
        <v>0</v>
      </c>
      <c r="P20" s="222">
        <f>-G20+'[7]QTD Mgmt Summary'!G20</f>
        <v>0</v>
      </c>
      <c r="Q20" s="223">
        <f>+O20+P20</f>
        <v>0</v>
      </c>
    </row>
    <row r="21" spans="1:19" s="32" customFormat="1" ht="13.5" customHeight="1">
      <c r="A21" s="219" t="s">
        <v>103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-G21+'[7]QTD Mgmt Summary'!G21</f>
        <v>0</v>
      </c>
      <c r="Q21" s="223">
        <f t="shared" si="4"/>
        <v>0</v>
      </c>
    </row>
    <row r="22" spans="1:19" s="32" customFormat="1" ht="13.5" customHeight="1">
      <c r="A22" s="219" t="s">
        <v>2</v>
      </c>
      <c r="B22" s="220"/>
      <c r="C22" s="254">
        <f>+'Mgmt Summary'!J22</f>
        <v>0</v>
      </c>
      <c r="D22" s="255">
        <f>+'Mgmt Summary'!C22</f>
        <v>0</v>
      </c>
      <c r="E22" s="256">
        <f t="shared" si="5"/>
        <v>0</v>
      </c>
      <c r="F22" s="224"/>
      <c r="G22" s="254">
        <f>+Expenses!D22+'Alloc Exp'!K23+'Alloc Exp'!D23</f>
        <v>1010.9559999999999</v>
      </c>
      <c r="H22" s="255">
        <f>+Expenses!E22+'Alloc Exp'!L23+'Alloc Exp'!E23</f>
        <v>1010.9559999999999</v>
      </c>
      <c r="I22" s="256">
        <f t="shared" si="8"/>
        <v>0</v>
      </c>
      <c r="J22" s="224"/>
      <c r="K22" s="254">
        <f t="shared" si="6"/>
        <v>-1010.9559999999999</v>
      </c>
      <c r="L22" s="255">
        <f t="shared" si="6"/>
        <v>-1010.9559999999999</v>
      </c>
      <c r="M22" s="256">
        <f t="shared" si="7"/>
        <v>0</v>
      </c>
      <c r="N22" s="267"/>
      <c r="O22" s="221">
        <f>+'GM-WeeklyChnge'!K28</f>
        <v>0</v>
      </c>
      <c r="P22" s="222">
        <f>-G22+'[7]QTD Mgmt Summary'!G22</f>
        <v>0</v>
      </c>
      <c r="Q22" s="223">
        <f t="shared" si="4"/>
        <v>0</v>
      </c>
    </row>
    <row r="23" spans="1:19" s="32" customFormat="1" ht="13.5" customHeight="1">
      <c r="A23" s="219" t="s">
        <v>115</v>
      </c>
      <c r="B23" s="220"/>
      <c r="C23" s="254">
        <f>+'Mgmt Summary'!J23</f>
        <v>0</v>
      </c>
      <c r="D23" s="255">
        <f>+'Mgmt Summary'!C23</f>
        <v>1730.691</v>
      </c>
      <c r="E23" s="256">
        <f t="shared" si="5"/>
        <v>-1730.691</v>
      </c>
      <c r="F23" s="224"/>
      <c r="G23" s="254">
        <f>+Expenses!D23+'Alloc Exp'!K24+'Alloc Exp'!D24</f>
        <v>0</v>
      </c>
      <c r="H23" s="255">
        <f>+Expenses!E23+'Alloc Exp'!L24+'Alloc Exp'!E24</f>
        <v>0</v>
      </c>
      <c r="I23" s="256">
        <f t="shared" si="8"/>
        <v>0</v>
      </c>
      <c r="J23" s="224"/>
      <c r="K23" s="254">
        <f t="shared" si="6"/>
        <v>0</v>
      </c>
      <c r="L23" s="255">
        <f t="shared" si="6"/>
        <v>1730.691</v>
      </c>
      <c r="M23" s="256">
        <f t="shared" si="7"/>
        <v>-1730.691</v>
      </c>
      <c r="N23" s="267"/>
      <c r="O23" s="221">
        <f>+'GM-WeeklyChnge'!K29</f>
        <v>0</v>
      </c>
      <c r="P23" s="222">
        <f>-G23+'[7]QTD Mgmt Summary'!G24</f>
        <v>0</v>
      </c>
      <c r="Q23" s="223">
        <f t="shared" si="4"/>
        <v>0</v>
      </c>
    </row>
    <row r="24" spans="1:19" ht="4.5" customHeight="1">
      <c r="A24" s="207"/>
      <c r="B24" s="202"/>
      <c r="C24" s="211"/>
      <c r="D24" s="212"/>
      <c r="E24" s="213"/>
      <c r="F24" s="214"/>
      <c r="G24" s="217"/>
      <c r="H24" s="212"/>
      <c r="I24" s="213"/>
      <c r="J24" s="214"/>
      <c r="K24" s="211"/>
      <c r="L24" s="212"/>
      <c r="M24" s="213"/>
      <c r="N24" s="266"/>
      <c r="O24" s="211"/>
      <c r="P24" s="212"/>
      <c r="Q24" s="213"/>
    </row>
    <row r="25" spans="1:19" s="216" customFormat="1" ht="16.5">
      <c r="A25" s="225" t="s">
        <v>90</v>
      </c>
      <c r="B25" s="215"/>
      <c r="C25" s="230">
        <f>SUM(C9:C24)</f>
        <v>-38460.610999999997</v>
      </c>
      <c r="D25" s="231">
        <f>SUM(D9:D24)</f>
        <v>175311.47200000001</v>
      </c>
      <c r="E25" s="232">
        <f>SUM(E9:E24)</f>
        <v>-213772.08299999998</v>
      </c>
      <c r="F25" s="233"/>
      <c r="G25" s="230">
        <f>SUM(G9:G24)</f>
        <v>55286.674999999996</v>
      </c>
      <c r="H25" s="231">
        <f>SUM(H9:H24)</f>
        <v>53146.674999999996</v>
      </c>
      <c r="I25" s="232">
        <f>SUM(I9:I24)</f>
        <v>-2140</v>
      </c>
      <c r="J25" s="233"/>
      <c r="K25" s="230">
        <f>SUM(K9:K24)</f>
        <v>-93747.286000000007</v>
      </c>
      <c r="L25" s="231">
        <f>SUM(L9:L24)</f>
        <v>122164.79700000002</v>
      </c>
      <c r="M25" s="232">
        <f>SUM(M9:M24)</f>
        <v>-215912.08299999996</v>
      </c>
      <c r="N25" s="268"/>
      <c r="O25" s="230">
        <f>SUM(O9:O24)</f>
        <v>-6125.0719999999983</v>
      </c>
      <c r="P25" s="231">
        <f>SUM(P9:P24)</f>
        <v>0</v>
      </c>
      <c r="Q25" s="232">
        <f>SUM(Q9:Q24)</f>
        <v>-6125.0719999999983</v>
      </c>
    </row>
    <row r="26" spans="1:19" ht="4.5" customHeight="1">
      <c r="A26" s="207"/>
      <c r="B26" s="202"/>
      <c r="C26" s="211"/>
      <c r="D26" s="212"/>
      <c r="E26" s="213"/>
      <c r="F26" s="214"/>
      <c r="G26" s="217"/>
      <c r="H26" s="212"/>
      <c r="I26" s="213"/>
      <c r="J26" s="214"/>
      <c r="K26" s="211"/>
      <c r="L26" s="212"/>
      <c r="M26" s="213"/>
      <c r="N26" s="266"/>
      <c r="O26" s="211"/>
      <c r="P26" s="212"/>
      <c r="Q26" s="213"/>
    </row>
    <row r="27" spans="1:19" ht="13.5">
      <c r="A27" s="294" t="s">
        <v>119</v>
      </c>
      <c r="B27" s="202"/>
      <c r="C27" s="254">
        <f>+'Mgmt Summary'!J27</f>
        <v>-30000</v>
      </c>
      <c r="D27" s="255">
        <f>+'Mgmt Summary'!C27</f>
        <v>0</v>
      </c>
      <c r="E27" s="256">
        <f t="shared" ref="E27:E32" si="9">-D27+C27</f>
        <v>-30000</v>
      </c>
      <c r="F27" s="214"/>
      <c r="G27" s="221">
        <v>0</v>
      </c>
      <c r="H27" s="222">
        <v>0</v>
      </c>
      <c r="I27" s="223">
        <f t="shared" ref="I27:I32" si="10">+H27-G27</f>
        <v>0</v>
      </c>
      <c r="J27" s="214"/>
      <c r="K27" s="221">
        <f t="shared" ref="K27:L29" si="11">C27-G27</f>
        <v>-30000</v>
      </c>
      <c r="L27" s="222">
        <f t="shared" si="11"/>
        <v>0</v>
      </c>
      <c r="M27" s="223">
        <f t="shared" ref="M27:M32" si="12">K27-L27</f>
        <v>-30000</v>
      </c>
      <c r="N27" s="266"/>
      <c r="O27" s="221">
        <v>0</v>
      </c>
      <c r="P27" s="222">
        <f>-G27+'[7]QTD Mgmt Summary'!G27</f>
        <v>0</v>
      </c>
      <c r="Q27" s="223">
        <f t="shared" ref="Q27:Q32" si="13">+O27+P27</f>
        <v>0</v>
      </c>
    </row>
    <row r="28" spans="1:19" ht="13.5" hidden="1">
      <c r="A28" s="219" t="s">
        <v>120</v>
      </c>
      <c r="B28" s="202"/>
      <c r="C28" s="254">
        <f>+'Mgmt Summary'!J28</f>
        <v>0</v>
      </c>
      <c r="D28" s="222">
        <v>0</v>
      </c>
      <c r="E28" s="223">
        <f t="shared" si="9"/>
        <v>0</v>
      </c>
      <c r="F28" s="214"/>
      <c r="G28" s="221">
        <f>+'Mgmt Summary'!M28</f>
        <v>0</v>
      </c>
      <c r="H28" s="222">
        <v>0</v>
      </c>
      <c r="I28" s="223">
        <f t="shared" si="10"/>
        <v>0</v>
      </c>
      <c r="J28" s="214"/>
      <c r="K28" s="221">
        <f t="shared" si="11"/>
        <v>0</v>
      </c>
      <c r="L28" s="222">
        <f t="shared" si="11"/>
        <v>0</v>
      </c>
      <c r="M28" s="223">
        <f t="shared" si="12"/>
        <v>0</v>
      </c>
      <c r="N28" s="266"/>
      <c r="O28" s="222">
        <f>E28+'[7]QTD Mgmt Summary'!E28</f>
        <v>0</v>
      </c>
      <c r="P28" s="222">
        <f>-G28+'[7]QTD Mgmt Summary'!G28</f>
        <v>0</v>
      </c>
      <c r="Q28" s="223">
        <f t="shared" si="13"/>
        <v>0</v>
      </c>
    </row>
    <row r="29" spans="1:19" s="32" customFormat="1" ht="13.5" customHeight="1">
      <c r="A29" s="219" t="s">
        <v>114</v>
      </c>
      <c r="B29" s="220"/>
      <c r="C29" s="221">
        <v>0</v>
      </c>
      <c r="D29" s="222">
        <v>0</v>
      </c>
      <c r="E29" s="223">
        <f t="shared" si="9"/>
        <v>0</v>
      </c>
      <c r="F29" s="224"/>
      <c r="G29" s="221">
        <f>+'Mgmt Summary'!L29+'Mgmt Summary'!M29+'Mgmt Summary'!N29</f>
        <v>42641.985000000001</v>
      </c>
      <c r="H29" s="222">
        <f>+'Mgmt Summary'!D29</f>
        <v>42641.985000000001</v>
      </c>
      <c r="I29" s="223">
        <f t="shared" si="10"/>
        <v>0</v>
      </c>
      <c r="J29" s="224"/>
      <c r="K29" s="221">
        <f t="shared" si="11"/>
        <v>-42641.985000000001</v>
      </c>
      <c r="L29" s="222">
        <f t="shared" si="11"/>
        <v>-42641.985000000001</v>
      </c>
      <c r="M29" s="223">
        <f t="shared" si="12"/>
        <v>0</v>
      </c>
      <c r="N29" s="267"/>
      <c r="O29" s="221">
        <v>0</v>
      </c>
      <c r="P29" s="222">
        <f>-G29+'[7]QTD Mgmt Summary'!G29</f>
        <v>0</v>
      </c>
      <c r="Q29" s="223">
        <f t="shared" si="13"/>
        <v>0</v>
      </c>
    </row>
    <row r="30" spans="1:19" s="32" customFormat="1" ht="13.5" customHeight="1">
      <c r="A30" s="219" t="s">
        <v>89</v>
      </c>
      <c r="B30" s="220"/>
      <c r="C30" s="221">
        <v>0</v>
      </c>
      <c r="D30" s="222">
        <v>0</v>
      </c>
      <c r="E30" s="223">
        <f t="shared" si="9"/>
        <v>0</v>
      </c>
      <c r="F30" s="224"/>
      <c r="G30" s="221">
        <f>+'Mgmt Summary'!L30+'Mgmt Summary'!M30+'Mgmt Summary'!N30</f>
        <v>-23192.098000000002</v>
      </c>
      <c r="H30" s="222">
        <f>+'Mgmt Summary'!D30</f>
        <v>-23192.098000000002</v>
      </c>
      <c r="I30" s="223">
        <f t="shared" si="10"/>
        <v>0</v>
      </c>
      <c r="J30" s="224"/>
      <c r="K30" s="221">
        <f t="shared" ref="K30:L32" si="14">C30-G30</f>
        <v>23192.098000000002</v>
      </c>
      <c r="L30" s="222">
        <f t="shared" si="14"/>
        <v>23192.098000000002</v>
      </c>
      <c r="M30" s="223">
        <f t="shared" si="12"/>
        <v>0</v>
      </c>
      <c r="N30" s="267"/>
      <c r="O30" s="221">
        <v>0</v>
      </c>
      <c r="P30" s="222">
        <f>-G30+'[7]QTD Mgmt Summary'!G30</f>
        <v>0</v>
      </c>
      <c r="Q30" s="223">
        <f t="shared" si="13"/>
        <v>0</v>
      </c>
    </row>
    <row r="31" spans="1:19" s="32" customFormat="1" ht="13.5" hidden="1" customHeight="1">
      <c r="A31" s="219" t="s">
        <v>10</v>
      </c>
      <c r="B31" s="220"/>
      <c r="C31" s="221">
        <f>+'Mgmt Summary'!J31</f>
        <v>0</v>
      </c>
      <c r="D31" s="222">
        <f>+'Mgmt Summary'!C31</f>
        <v>0</v>
      </c>
      <c r="E31" s="223">
        <f t="shared" si="9"/>
        <v>0</v>
      </c>
      <c r="F31" s="224"/>
      <c r="G31" s="221">
        <f>+Expenses!D27</f>
        <v>0</v>
      </c>
      <c r="H31" s="222">
        <f>+Expenses!E27</f>
        <v>0</v>
      </c>
      <c r="I31" s="223">
        <f t="shared" si="10"/>
        <v>0</v>
      </c>
      <c r="J31" s="224"/>
      <c r="K31" s="221">
        <f t="shared" si="14"/>
        <v>0</v>
      </c>
      <c r="L31" s="222">
        <f t="shared" si="14"/>
        <v>0</v>
      </c>
      <c r="M31" s="223">
        <f t="shared" si="12"/>
        <v>0</v>
      </c>
      <c r="N31" s="267"/>
      <c r="O31" s="221">
        <v>0</v>
      </c>
      <c r="P31" s="222">
        <f>+G31-'[7]QTD Mgmt Summary'!G31</f>
        <v>0</v>
      </c>
      <c r="Q31" s="223">
        <f t="shared" si="13"/>
        <v>0</v>
      </c>
    </row>
    <row r="32" spans="1:19" s="32" customFormat="1" ht="13.5" hidden="1" customHeight="1">
      <c r="A32" s="219" t="s">
        <v>34</v>
      </c>
      <c r="B32" s="220"/>
      <c r="C32" s="221">
        <f>+'Mgmt Summary'!J32</f>
        <v>0</v>
      </c>
      <c r="D32" s="222">
        <f>+'Mgmt Summary'!C32</f>
        <v>0</v>
      </c>
      <c r="E32" s="223">
        <f t="shared" si="9"/>
        <v>0</v>
      </c>
      <c r="F32" s="224"/>
      <c r="G32" s="221">
        <f>+'Alloc Exp'!D27</f>
        <v>0</v>
      </c>
      <c r="H32" s="222">
        <f>+'Alloc Exp'!E27</f>
        <v>0</v>
      </c>
      <c r="I32" s="223">
        <f t="shared" si="10"/>
        <v>0</v>
      </c>
      <c r="J32" s="224"/>
      <c r="K32" s="221">
        <f t="shared" si="14"/>
        <v>0</v>
      </c>
      <c r="L32" s="222">
        <f t="shared" si="14"/>
        <v>0</v>
      </c>
      <c r="M32" s="223">
        <f t="shared" si="12"/>
        <v>0</v>
      </c>
      <c r="N32" s="267"/>
      <c r="O32" s="221">
        <v>0</v>
      </c>
      <c r="P32" s="222">
        <f>+G32-'[7]QTD Mgmt Summary'!G32</f>
        <v>0</v>
      </c>
      <c r="Q32" s="223">
        <f t="shared" si="13"/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6.5">
      <c r="A34" s="225" t="s">
        <v>72</v>
      </c>
      <c r="B34" s="215"/>
      <c r="C34" s="230">
        <f>SUM(C25:C32)</f>
        <v>-68460.611000000004</v>
      </c>
      <c r="D34" s="231">
        <f>SUM(D25:D32)</f>
        <v>175311.47200000001</v>
      </c>
      <c r="E34" s="232">
        <f>SUM(E25:E32)</f>
        <v>-243772.08299999998</v>
      </c>
      <c r="F34" s="233"/>
      <c r="G34" s="230">
        <f>SUM(G25:G32)</f>
        <v>74736.562000000005</v>
      </c>
      <c r="H34" s="231">
        <f>SUM(H25:H32)</f>
        <v>72596.562000000005</v>
      </c>
      <c r="I34" s="232">
        <f>SUM(I25:I32)</f>
        <v>-2140</v>
      </c>
      <c r="J34" s="233"/>
      <c r="K34" s="230">
        <f>SUM(K25:K32)</f>
        <v>-143197.17300000001</v>
      </c>
      <c r="L34" s="231">
        <f>SUM(L25:L32)</f>
        <v>102714.91000000002</v>
      </c>
      <c r="M34" s="232">
        <f>SUM(M25:M32)</f>
        <v>-245912.08299999996</v>
      </c>
      <c r="N34" s="268"/>
      <c r="O34" s="230">
        <f>SUM(O25:O32)</f>
        <v>-6125.0719999999983</v>
      </c>
      <c r="P34" s="231">
        <f>SUM(P25:P32)</f>
        <v>0</v>
      </c>
      <c r="Q34" s="232">
        <f>SUM(Q25:Q32)</f>
        <v>-6125.0719999999983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Summary'!J36</f>
        <v>0</v>
      </c>
      <c r="D36" s="222">
        <f>+'Mgmt Summary'!C36</f>
        <v>0</v>
      </c>
      <c r="E36" s="223">
        <f>D36-C36</f>
        <v>0</v>
      </c>
      <c r="F36" s="224"/>
      <c r="G36" s="221">
        <f>+'Mgmt Summary'!M36</f>
        <v>6400</v>
      </c>
      <c r="H36" s="222">
        <f>+'Mgmt Summary'!D36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-G36+'[7]QTD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7.25" thickBot="1">
      <c r="A38" s="226" t="s">
        <v>73</v>
      </c>
      <c r="B38" s="218"/>
      <c r="C38" s="235">
        <f>+C34-C36</f>
        <v>-68460.611000000004</v>
      </c>
      <c r="D38" s="236">
        <f>+D34-D36</f>
        <v>175311.47200000001</v>
      </c>
      <c r="E38" s="260">
        <f>+E34-E36</f>
        <v>-243772.08299999998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-149597.17300000001</v>
      </c>
      <c r="L38" s="236">
        <f>SUM(L34:L36)</f>
        <v>96314.910000000018</v>
      </c>
      <c r="M38" s="260">
        <f>SUM(M34:M36)</f>
        <v>-245912.08299999996</v>
      </c>
      <c r="N38" s="237"/>
      <c r="O38" s="235">
        <f>SUM(O34:O36)</f>
        <v>-6125.0719999999983</v>
      </c>
      <c r="P38" s="236">
        <f>SUM(P34:P36)</f>
        <v>0</v>
      </c>
      <c r="Q38" s="260">
        <f>SUM(Q34:Q36)</f>
        <v>-6125.0719999999983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107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4"/>
  <sheetViews>
    <sheetView zoomScaleNormal="100" workbookViewId="0">
      <selection activeCell="N41" sqref="N41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9" width="7.7109375" style="14" hidden="1" customWidth="1"/>
    <col min="10" max="10" width="8.42578125" style="14" bestFit="1" customWidth="1"/>
    <col min="11" max="12" width="7.7109375" style="14" hidden="1" customWidth="1"/>
    <col min="13" max="13" width="8.42578125" style="14" bestFit="1" customWidth="1"/>
    <col min="14" max="15" width="8.85546875" style="14" bestFit="1" customWidth="1"/>
    <col min="16" max="16" width="0.85546875" style="14" customWidth="1"/>
    <col min="17" max="17" width="9.140625" style="14" bestFit="1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35" t="s">
        <v>68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60"/>
    </row>
    <row r="2" spans="1:24" ht="16.5">
      <c r="A2" s="336" t="s">
        <v>95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61"/>
    </row>
    <row r="3" spans="1:24" ht="13.5">
      <c r="A3" s="337" t="s">
        <v>140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62"/>
    </row>
    <row r="4" spans="1:24" ht="3" customHeight="1"/>
    <row r="5" spans="1:24" s="34" customFormat="1" ht="15" customHeight="1">
      <c r="A5" s="105"/>
      <c r="C5" s="332" t="s">
        <v>8</v>
      </c>
      <c r="D5" s="333"/>
      <c r="E5" s="334"/>
      <c r="G5" s="332" t="s">
        <v>40</v>
      </c>
      <c r="H5" s="333"/>
      <c r="I5" s="333"/>
      <c r="J5" s="333"/>
      <c r="K5" s="333"/>
      <c r="L5" s="333"/>
      <c r="M5" s="333"/>
      <c r="N5" s="333"/>
      <c r="O5" s="334"/>
      <c r="Q5" s="332" t="s">
        <v>35</v>
      </c>
      <c r="R5" s="333"/>
      <c r="S5" s="333"/>
      <c r="T5" s="333"/>
      <c r="U5" s="333"/>
      <c r="V5" s="334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70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104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-46958.415000000001</v>
      </c>
      <c r="H9" s="36">
        <f>GrossMargin!J10</f>
        <v>0</v>
      </c>
      <c r="I9" s="36">
        <f>GrossMargin!K10</f>
        <v>0</v>
      </c>
      <c r="J9" s="134">
        <f t="shared" ref="J9:J16" si="1">SUM(G9:I9)</f>
        <v>-46958.415000000001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-63880.157999999996</v>
      </c>
      <c r="P9" s="37"/>
      <c r="Q9" s="132">
        <f t="shared" ref="Q9:Q16" si="3">+J9-C9</f>
        <v>-91958.415000000008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-91958.415000000008</v>
      </c>
      <c r="W9" s="32"/>
      <c r="X9" s="164"/>
    </row>
    <row r="10" spans="1:24" ht="13.5" customHeight="1">
      <c r="A10" s="106" t="s">
        <v>116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4028.6859999999997</v>
      </c>
      <c r="H10" s="36">
        <f>GrossMargin!J11</f>
        <v>0</v>
      </c>
      <c r="I10" s="36">
        <f>GrossMargin!K11</f>
        <v>0</v>
      </c>
      <c r="J10" s="134">
        <f t="shared" si="1"/>
        <v>4028.6859999999997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-4870.8010000000013</v>
      </c>
      <c r="P10" s="37"/>
      <c r="Q10" s="132">
        <f t="shared" si="3"/>
        <v>-12221.314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3" si="4">SUM(Q10:U10)</f>
        <v>-12221.314</v>
      </c>
      <c r="W10" s="32"/>
    </row>
    <row r="11" spans="1:24" ht="13.5" customHeight="1">
      <c r="A11" s="106" t="s">
        <v>108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3387</v>
      </c>
      <c r="H11" s="36">
        <f>GrossMargin!J12</f>
        <v>0</v>
      </c>
      <c r="I11" s="36">
        <f>GrossMargin!K12</f>
        <v>0</v>
      </c>
      <c r="J11" s="134">
        <f>SUM(G11:I11)</f>
        <v>3387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2663.7260000000001</v>
      </c>
      <c r="P11" s="37"/>
      <c r="Q11" s="132">
        <f>+J11-C11</f>
        <v>887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887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62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-4892</v>
      </c>
      <c r="H13" s="36">
        <f>GrossMargin!J14</f>
        <v>0</v>
      </c>
      <c r="I13" s="36">
        <f>GrossMargin!K14</f>
        <v>0</v>
      </c>
      <c r="J13" s="134">
        <f t="shared" si="1"/>
        <v>-4892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-8528.8330000000005</v>
      </c>
      <c r="P13" s="37"/>
      <c r="Q13" s="132">
        <f t="shared" si="3"/>
        <v>-13644.58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-13944.58</v>
      </c>
      <c r="W13" s="32"/>
    </row>
    <row r="14" spans="1:24" ht="13.5" customHeight="1">
      <c r="A14" s="303" t="s">
        <v>123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858.42700000000002</v>
      </c>
      <c r="H14" s="36">
        <f>GrossMargin!J15</f>
        <v>0</v>
      </c>
      <c r="I14" s="36">
        <f>GrossMargin!K15</f>
        <v>0</v>
      </c>
      <c r="J14" s="134">
        <f t="shared" si="1"/>
        <v>858.42700000000002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-2611.9809999999998</v>
      </c>
      <c r="P14" s="37"/>
      <c r="Q14" s="132">
        <f t="shared" si="3"/>
        <v>-8016.5730000000003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-8016.5730000000003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1836</v>
      </c>
      <c r="H15" s="138">
        <f>GrossMargin!J16</f>
        <v>0</v>
      </c>
      <c r="I15" s="138">
        <f>+GrossMargin!K22</f>
        <v>0</v>
      </c>
      <c r="J15" s="295">
        <f t="shared" si="1"/>
        <v>1836</v>
      </c>
      <c r="K15" s="296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295">
        <f t="shared" si="2"/>
        <v>-1294.5470000000003</v>
      </c>
      <c r="P15" s="177"/>
      <c r="Q15" s="137">
        <f t="shared" si="3"/>
        <v>-27709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-27709</v>
      </c>
      <c r="W15" s="63"/>
      <c r="X15" s="167"/>
    </row>
    <row r="16" spans="1:24" s="64" customFormat="1" ht="13.5" customHeight="1">
      <c r="A16" s="165" t="s">
        <v>105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-92.724000000000004</v>
      </c>
      <c r="H16" s="138">
        <f>GrossMargin!J18</f>
        <v>0</v>
      </c>
      <c r="I16" s="138">
        <f>+GrossMargin!K23</f>
        <v>0</v>
      </c>
      <c r="J16" s="295">
        <f t="shared" si="1"/>
        <v>-92.724000000000004</v>
      </c>
      <c r="K16" s="296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295">
        <f t="shared" si="2"/>
        <v>-8855.9339999999993</v>
      </c>
      <c r="P16" s="177"/>
      <c r="Q16" s="137">
        <f t="shared" si="3"/>
        <v>-13398.224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-13398.224</v>
      </c>
      <c r="W16" s="63"/>
      <c r="X16" s="167"/>
    </row>
    <row r="17" spans="1:24" s="64" customFormat="1" ht="13.5" customHeight="1">
      <c r="A17" s="165" t="s">
        <v>85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3" si="5">C17-D17</f>
        <v>41380.572</v>
      </c>
      <c r="F17" s="138"/>
      <c r="G17" s="137">
        <f>+GrossMargin!I24</f>
        <v>2224</v>
      </c>
      <c r="H17" s="138">
        <f>GrossMargin!J19</f>
        <v>0</v>
      </c>
      <c r="I17" s="138">
        <f>+GrossMargin!K24</f>
        <v>0</v>
      </c>
      <c r="J17" s="295">
        <f t="shared" ref="J17:J23" si="6">SUM(G17:I17)</f>
        <v>2224</v>
      </c>
      <c r="K17" s="296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295">
        <f t="shared" ref="O17:O23" si="7">J17-K17-M17-N17-L17</f>
        <v>-2235.4279999999999</v>
      </c>
      <c r="P17" s="177"/>
      <c r="Q17" s="137">
        <f t="shared" ref="Q17:Q23" si="8">+J17-C17</f>
        <v>-41776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-43616</v>
      </c>
      <c r="W17" s="63"/>
      <c r="X17" s="167"/>
    </row>
    <row r="18" spans="1:24" s="64" customFormat="1" ht="13.5" hidden="1" customHeight="1">
      <c r="A18" s="165" t="s">
        <v>87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295">
        <f t="shared" si="6"/>
        <v>0</v>
      </c>
      <c r="K18" s="296"/>
      <c r="L18" s="137">
        <f>+'Alloc Exp'!D19</f>
        <v>0</v>
      </c>
      <c r="M18" s="36">
        <f>Expenses!D18</f>
        <v>0</v>
      </c>
      <c r="N18" s="138">
        <f>+'Alloc Exp'!K19</f>
        <v>0</v>
      </c>
      <c r="O18" s="295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117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1.415</v>
      </c>
      <c r="H19" s="138">
        <f>GrossMargin!J22</f>
        <v>0</v>
      </c>
      <c r="I19" s="138">
        <f>+GrossMargin!K26</f>
        <v>0</v>
      </c>
      <c r="J19" s="295">
        <f t="shared" si="6"/>
        <v>1.415</v>
      </c>
      <c r="K19" s="296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295">
        <f t="shared" si="7"/>
        <v>-3364.9630000000002</v>
      </c>
      <c r="P19" s="177"/>
      <c r="Q19" s="137">
        <f t="shared" si="8"/>
        <v>-3748.585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-3748.585</v>
      </c>
      <c r="W19" s="63"/>
      <c r="X19" s="167"/>
    </row>
    <row r="20" spans="1:24" s="64" customFormat="1" ht="13.5" customHeight="1">
      <c r="A20" s="165" t="s">
        <v>118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1147</v>
      </c>
      <c r="H20" s="138">
        <f>GrossMargin!J23</f>
        <v>0</v>
      </c>
      <c r="I20" s="138">
        <f>+GrossMargin!K27</f>
        <v>0</v>
      </c>
      <c r="J20" s="295">
        <f>SUM(G20:I20)</f>
        <v>1147</v>
      </c>
      <c r="K20" s="296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295">
        <f>J20-K20-M20-N20-L20</f>
        <v>1008.55</v>
      </c>
      <c r="P20" s="177"/>
      <c r="Q20" s="137">
        <f>+J20-C20</f>
        <v>-455.70100000000002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-455.70100000000002</v>
      </c>
      <c r="W20" s="63"/>
      <c r="X20" s="167"/>
    </row>
    <row r="21" spans="1:24" ht="13.5" customHeight="1">
      <c r="A21" s="106" t="s">
        <v>103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295">
        <f t="shared" si="6"/>
        <v>0</v>
      </c>
      <c r="K21" s="296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295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2</v>
      </c>
      <c r="B22" s="35"/>
      <c r="C22" s="137">
        <f>+GrossMargin!M29</f>
        <v>0</v>
      </c>
      <c r="D22" s="138">
        <f>+Expenses!E22+'Alloc Exp'!E23+'Alloc Exp'!L23</f>
        <v>1010.9559999999999</v>
      </c>
      <c r="E22" s="162">
        <f t="shared" si="5"/>
        <v>-1010.9559999999999</v>
      </c>
      <c r="F22" s="138"/>
      <c r="G22" s="137">
        <f>+GrossMargin!I29</f>
        <v>0</v>
      </c>
      <c r="H22" s="138">
        <f>GrossMargin!J23</f>
        <v>0</v>
      </c>
      <c r="I22" s="138">
        <f>+GrossMargin!K29</f>
        <v>0</v>
      </c>
      <c r="J22" s="295">
        <f t="shared" si="6"/>
        <v>0</v>
      </c>
      <c r="K22" s="296"/>
      <c r="L22" s="137">
        <f>+'Alloc Exp'!D23</f>
        <v>0</v>
      </c>
      <c r="M22" s="36">
        <f>Expenses!D22</f>
        <v>537.20399999999995</v>
      </c>
      <c r="N22" s="138">
        <f>+'Alloc Exp'!K23</f>
        <v>473.75200000000001</v>
      </c>
      <c r="O22" s="295">
        <f t="shared" si="7"/>
        <v>-1010.9559999999999</v>
      </c>
      <c r="P22" s="177"/>
      <c r="Q22" s="137">
        <f t="shared" si="8"/>
        <v>0</v>
      </c>
      <c r="R22" s="138"/>
      <c r="S22" s="138">
        <f>+'Alloc Exp'!F23</f>
        <v>0</v>
      </c>
      <c r="T22" s="36">
        <f>Expenses!F22</f>
        <v>0</v>
      </c>
      <c r="U22" s="138">
        <f>+'Alloc Exp'!M23</f>
        <v>0</v>
      </c>
      <c r="V22" s="133">
        <f t="shared" si="4"/>
        <v>0</v>
      </c>
      <c r="W22" s="32"/>
    </row>
    <row r="23" spans="1:24" ht="13.5" customHeight="1">
      <c r="A23" s="106" t="s">
        <v>115</v>
      </c>
      <c r="B23" s="35"/>
      <c r="C23" s="137">
        <f>+GrossMargin!M30</f>
        <v>1730.691</v>
      </c>
      <c r="D23" s="138">
        <f>+Expenses!E23+'Alloc Exp'!E24+'Alloc Exp'!L24</f>
        <v>0</v>
      </c>
      <c r="E23" s="162">
        <f t="shared" si="5"/>
        <v>1730.691</v>
      </c>
      <c r="F23" s="138"/>
      <c r="G23" s="137">
        <f>+GrossMargin!I30</f>
        <v>0</v>
      </c>
      <c r="H23" s="138">
        <f>GrossMargin!J24</f>
        <v>0</v>
      </c>
      <c r="I23" s="138">
        <f>+GrossMargin!K30</f>
        <v>0</v>
      </c>
      <c r="J23" s="295">
        <f t="shared" si="6"/>
        <v>0</v>
      </c>
      <c r="K23" s="296"/>
      <c r="L23" s="137">
        <f>+'Alloc Exp'!D24</f>
        <v>0</v>
      </c>
      <c r="M23" s="36">
        <f>Expenses!D23</f>
        <v>0</v>
      </c>
      <c r="N23" s="138">
        <f>+'Alloc Exp'!K24</f>
        <v>0</v>
      </c>
      <c r="O23" s="295">
        <f t="shared" si="7"/>
        <v>0</v>
      </c>
      <c r="P23" s="177"/>
      <c r="Q23" s="137">
        <f t="shared" si="8"/>
        <v>-1730.691</v>
      </c>
      <c r="R23" s="138"/>
      <c r="S23" s="138">
        <f>+'Alloc Exp'!F24</f>
        <v>0</v>
      </c>
      <c r="T23" s="36">
        <f>Expenses!F23</f>
        <v>0</v>
      </c>
      <c r="U23" s="138">
        <f>+'Alloc Exp'!M24</f>
        <v>0</v>
      </c>
      <c r="V23" s="133">
        <f t="shared" si="4"/>
        <v>-1730.691</v>
      </c>
      <c r="W23" s="32"/>
    </row>
    <row r="24" spans="1:24" ht="3" customHeight="1">
      <c r="A24" s="106"/>
      <c r="B24" s="35"/>
      <c r="C24" s="132"/>
      <c r="D24" s="36"/>
      <c r="E24" s="133"/>
      <c r="F24" s="36"/>
      <c r="G24" s="132"/>
      <c r="H24" s="36"/>
      <c r="I24" s="36"/>
      <c r="J24" s="134"/>
      <c r="K24" s="135"/>
      <c r="L24" s="297"/>
      <c r="M24" s="36"/>
      <c r="N24" s="36"/>
      <c r="O24" s="134"/>
      <c r="P24" s="37"/>
      <c r="Q24" s="132"/>
      <c r="R24" s="36"/>
      <c r="S24" s="36"/>
      <c r="T24" s="36"/>
      <c r="U24" s="36"/>
      <c r="V24" s="133"/>
      <c r="W24" s="32"/>
    </row>
    <row r="25" spans="1:24" s="34" customFormat="1" ht="12" customHeight="1">
      <c r="A25" s="38" t="s">
        <v>90</v>
      </c>
      <c r="B25" s="35"/>
      <c r="C25" s="43">
        <f>SUM(C9:C24)</f>
        <v>175311.47200000001</v>
      </c>
      <c r="D25" s="44">
        <f>SUM(D9:D24)</f>
        <v>53146.674999999996</v>
      </c>
      <c r="E25" s="45">
        <f>SUM(E9:E24)</f>
        <v>122164.79700000002</v>
      </c>
      <c r="F25" s="36"/>
      <c r="G25" s="43">
        <f t="shared" ref="G25:O25" si="9">SUM(G9:G24)</f>
        <v>-38460.610999999997</v>
      </c>
      <c r="H25" s="44">
        <f t="shared" si="9"/>
        <v>0</v>
      </c>
      <c r="I25" s="44">
        <f t="shared" si="9"/>
        <v>0</v>
      </c>
      <c r="J25" s="46">
        <f t="shared" si="9"/>
        <v>-38460.610999999997</v>
      </c>
      <c r="K25" s="44">
        <f t="shared" si="9"/>
        <v>0</v>
      </c>
      <c r="L25" s="43">
        <f t="shared" si="9"/>
        <v>0</v>
      </c>
      <c r="M25" s="44">
        <f t="shared" si="9"/>
        <v>32094.577000000001</v>
      </c>
      <c r="N25" s="44">
        <f t="shared" si="9"/>
        <v>23192.098000000002</v>
      </c>
      <c r="O25" s="46">
        <f t="shared" si="9"/>
        <v>-93747.286000000007</v>
      </c>
      <c r="P25" s="37"/>
      <c r="Q25" s="43">
        <f t="shared" ref="Q25:V25" si="10">SUM(Q9:Q24)</f>
        <v>-213772.08299999998</v>
      </c>
      <c r="R25" s="44">
        <f t="shared" si="10"/>
        <v>0</v>
      </c>
      <c r="S25" s="44">
        <f t="shared" si="10"/>
        <v>0</v>
      </c>
      <c r="T25" s="44">
        <f t="shared" si="10"/>
        <v>-2140</v>
      </c>
      <c r="U25" s="44">
        <f t="shared" si="10"/>
        <v>0</v>
      </c>
      <c r="V25" s="45">
        <f t="shared" si="10"/>
        <v>-215912.08299999998</v>
      </c>
      <c r="W25" s="32"/>
    </row>
    <row r="26" spans="1:24" ht="3" customHeight="1">
      <c r="A26" s="106"/>
      <c r="B26" s="35"/>
      <c r="C26" s="132"/>
      <c r="D26" s="36"/>
      <c r="E26" s="133"/>
      <c r="F26" s="36"/>
      <c r="G26" s="132"/>
      <c r="H26" s="36"/>
      <c r="I26" s="36"/>
      <c r="J26" s="134"/>
      <c r="K26" s="135"/>
      <c r="L26" s="297"/>
      <c r="M26" s="36"/>
      <c r="N26" s="36"/>
      <c r="O26" s="134"/>
      <c r="P26" s="37"/>
      <c r="Q26" s="132"/>
      <c r="R26" s="36"/>
      <c r="S26" s="36"/>
      <c r="T26" s="36"/>
      <c r="U26" s="36"/>
      <c r="V26" s="133"/>
      <c r="W26" s="32"/>
    </row>
    <row r="27" spans="1:24" ht="13.5">
      <c r="A27" s="106" t="s">
        <v>119</v>
      </c>
      <c r="B27" s="35"/>
      <c r="C27" s="137">
        <v>0</v>
      </c>
      <c r="D27" s="138">
        <v>0</v>
      </c>
      <c r="E27" s="162">
        <f t="shared" ref="E27:E32" si="11">C27-D27</f>
        <v>0</v>
      </c>
      <c r="F27" s="138"/>
      <c r="G27" s="137">
        <v>-30000</v>
      </c>
      <c r="H27" s="138"/>
      <c r="I27" s="138"/>
      <c r="J27" s="295">
        <f t="shared" ref="J27:J32" si="12">SUM(G27:I27)</f>
        <v>-30000</v>
      </c>
      <c r="K27" s="296"/>
      <c r="L27" s="137"/>
      <c r="M27" s="36">
        <v>0</v>
      </c>
      <c r="N27" s="138">
        <v>0</v>
      </c>
      <c r="O27" s="295">
        <f t="shared" ref="O27:O32" si="13">J27-K27-M27-N27-L27</f>
        <v>-30000</v>
      </c>
      <c r="P27" s="177"/>
      <c r="Q27" s="137">
        <f t="shared" ref="Q27:Q32" si="14">+J27-C27</f>
        <v>-30000</v>
      </c>
      <c r="R27" s="138"/>
      <c r="S27" s="138"/>
      <c r="T27" s="36">
        <v>0</v>
      </c>
      <c r="U27" s="138">
        <v>0</v>
      </c>
      <c r="V27" s="133">
        <f>SUM(Q27:U27)</f>
        <v>-30000</v>
      </c>
      <c r="W27" s="32"/>
    </row>
    <row r="28" spans="1:24" ht="13.5" hidden="1">
      <c r="A28" s="106" t="s">
        <v>120</v>
      </c>
      <c r="B28" s="35"/>
      <c r="C28" s="137">
        <v>0</v>
      </c>
      <c r="D28" s="138">
        <v>0</v>
      </c>
      <c r="E28" s="162">
        <f t="shared" si="11"/>
        <v>0</v>
      </c>
      <c r="F28" s="138"/>
      <c r="G28" s="137">
        <v>0</v>
      </c>
      <c r="H28" s="138"/>
      <c r="I28" s="138"/>
      <c r="J28" s="295">
        <f t="shared" si="12"/>
        <v>0</v>
      </c>
      <c r="K28" s="296"/>
      <c r="L28" s="137"/>
      <c r="M28" s="36">
        <v>0</v>
      </c>
      <c r="N28" s="138">
        <v>0</v>
      </c>
      <c r="O28" s="295">
        <f t="shared" si="13"/>
        <v>0</v>
      </c>
      <c r="P28" s="177"/>
      <c r="Q28" s="137">
        <f t="shared" si="14"/>
        <v>0</v>
      </c>
      <c r="R28" s="138"/>
      <c r="S28" s="138"/>
      <c r="T28" s="36">
        <f>-M28</f>
        <v>0</v>
      </c>
      <c r="U28" s="138">
        <v>0</v>
      </c>
      <c r="V28" s="133">
        <f>SUM(Q28:U28)</f>
        <v>0</v>
      </c>
      <c r="W28" s="32"/>
    </row>
    <row r="29" spans="1:24" ht="13.5" customHeight="1">
      <c r="A29" s="106" t="s">
        <v>114</v>
      </c>
      <c r="B29" s="35"/>
      <c r="C29" s="132">
        <v>0</v>
      </c>
      <c r="D29" s="36">
        <f>Expenses!E26</f>
        <v>42641.985000000001</v>
      </c>
      <c r="E29" s="133">
        <f t="shared" si="11"/>
        <v>-42641.985000000001</v>
      </c>
      <c r="F29" s="36"/>
      <c r="G29" s="132">
        <v>0</v>
      </c>
      <c r="H29" s="36">
        <v>0</v>
      </c>
      <c r="I29" s="36">
        <v>0</v>
      </c>
      <c r="J29" s="134">
        <f t="shared" si="12"/>
        <v>0</v>
      </c>
      <c r="K29" s="135"/>
      <c r="L29" s="132">
        <f>'Alloc Exp'!D28</f>
        <v>0</v>
      </c>
      <c r="M29" s="36">
        <f>+Expenses!D26</f>
        <v>42641.985000000001</v>
      </c>
      <c r="N29" s="36">
        <v>0</v>
      </c>
      <c r="O29" s="134">
        <f t="shared" si="13"/>
        <v>-42641.985000000001</v>
      </c>
      <c r="P29" s="37"/>
      <c r="Q29" s="132">
        <f t="shared" si="14"/>
        <v>0</v>
      </c>
      <c r="R29" s="36"/>
      <c r="S29" s="36">
        <v>0</v>
      </c>
      <c r="T29" s="36">
        <f>Expenses!F26</f>
        <v>0</v>
      </c>
      <c r="U29" s="36">
        <v>0</v>
      </c>
      <c r="V29" s="133">
        <f>SUM(Q29:U29)</f>
        <v>0</v>
      </c>
      <c r="W29" s="32"/>
    </row>
    <row r="30" spans="1:24" ht="13.5" customHeight="1">
      <c r="A30" s="106" t="s">
        <v>89</v>
      </c>
      <c r="B30" s="35"/>
      <c r="C30" s="132">
        <v>0</v>
      </c>
      <c r="D30" s="36">
        <f>+'Alloc Exp'!L28</f>
        <v>-23192.098000000002</v>
      </c>
      <c r="E30" s="133">
        <f t="shared" si="11"/>
        <v>23192.098000000002</v>
      </c>
      <c r="F30" s="36"/>
      <c r="G30" s="132">
        <v>0</v>
      </c>
      <c r="H30" s="36"/>
      <c r="I30" s="36">
        <v>0</v>
      </c>
      <c r="J30" s="134">
        <f t="shared" si="12"/>
        <v>0</v>
      </c>
      <c r="K30" s="135"/>
      <c r="L30" s="132">
        <v>0</v>
      </c>
      <c r="M30" s="36">
        <v>0</v>
      </c>
      <c r="N30" s="36">
        <f>+'Alloc Exp'!K28</f>
        <v>-23192.098000000002</v>
      </c>
      <c r="O30" s="134">
        <f t="shared" si="13"/>
        <v>23192.098000000002</v>
      </c>
      <c r="P30" s="37"/>
      <c r="Q30" s="132">
        <f t="shared" si="14"/>
        <v>0</v>
      </c>
      <c r="R30" s="36"/>
      <c r="S30" s="36">
        <v>0</v>
      </c>
      <c r="T30" s="36">
        <v>0</v>
      </c>
      <c r="U30" s="138">
        <f>+'Alloc Exp'!M28</f>
        <v>0</v>
      </c>
      <c r="V30" s="133">
        <f>SUM(Q30:U30)</f>
        <v>0</v>
      </c>
      <c r="W30" s="32"/>
    </row>
    <row r="31" spans="1:24" ht="13.5" hidden="1" customHeight="1">
      <c r="A31" s="106" t="s">
        <v>10</v>
      </c>
      <c r="B31" s="35"/>
      <c r="C31" s="137">
        <f>GrossMargin!M34</f>
        <v>0</v>
      </c>
      <c r="D31" s="36">
        <f>Expenses!E27</f>
        <v>0</v>
      </c>
      <c r="E31" s="133">
        <f t="shared" si="11"/>
        <v>0</v>
      </c>
      <c r="F31" s="135"/>
      <c r="G31" s="132">
        <f>GrossMargin!I34</f>
        <v>0</v>
      </c>
      <c r="H31" s="36">
        <f>GrossMargin!J34</f>
        <v>0</v>
      </c>
      <c r="I31" s="36">
        <f>GrossMargin!K34</f>
        <v>0</v>
      </c>
      <c r="J31" s="134">
        <f t="shared" si="12"/>
        <v>0</v>
      </c>
      <c r="K31" s="135"/>
      <c r="L31" s="132">
        <v>0</v>
      </c>
      <c r="M31" s="36">
        <f>Expenses!D27</f>
        <v>0</v>
      </c>
      <c r="N31" s="36">
        <v>0</v>
      </c>
      <c r="O31" s="134">
        <f t="shared" si="13"/>
        <v>0</v>
      </c>
      <c r="P31" s="37"/>
      <c r="Q31" s="132">
        <f t="shared" si="14"/>
        <v>0</v>
      </c>
      <c r="R31" s="36"/>
      <c r="S31" s="36">
        <v>0</v>
      </c>
      <c r="T31" s="36">
        <f>Expenses!F27</f>
        <v>0</v>
      </c>
      <c r="U31" s="36">
        <v>0</v>
      </c>
      <c r="V31" s="133">
        <f>ROUND(SUM(Q31:U31),0)</f>
        <v>0</v>
      </c>
      <c r="W31" s="32"/>
    </row>
    <row r="32" spans="1:24" ht="13.5" hidden="1" customHeight="1">
      <c r="A32" s="106" t="s">
        <v>34</v>
      </c>
      <c r="B32" s="35"/>
      <c r="C32" s="132">
        <v>0</v>
      </c>
      <c r="D32" s="138">
        <f>'Alloc Exp'!E27</f>
        <v>0</v>
      </c>
      <c r="E32" s="133">
        <f t="shared" si="11"/>
        <v>0</v>
      </c>
      <c r="F32" s="36"/>
      <c r="G32" s="132">
        <v>0</v>
      </c>
      <c r="H32" s="36">
        <v>0</v>
      </c>
      <c r="I32" s="36">
        <v>0</v>
      </c>
      <c r="J32" s="134">
        <f t="shared" si="12"/>
        <v>0</v>
      </c>
      <c r="K32" s="135"/>
      <c r="L32" s="137">
        <f>'Alloc Exp'!D27</f>
        <v>0</v>
      </c>
      <c r="M32" s="36">
        <v>0</v>
      </c>
      <c r="N32" s="36">
        <v>0</v>
      </c>
      <c r="O32" s="134">
        <f t="shared" si="13"/>
        <v>0</v>
      </c>
      <c r="P32" s="37"/>
      <c r="Q32" s="132">
        <f t="shared" si="14"/>
        <v>0</v>
      </c>
      <c r="R32" s="36"/>
      <c r="S32" s="36">
        <f>'Alloc Exp'!F27</f>
        <v>0</v>
      </c>
      <c r="T32" s="36">
        <v>0</v>
      </c>
      <c r="U32" s="36">
        <v>0</v>
      </c>
      <c r="V32" s="133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3"/>
      <c r="F33" s="36"/>
      <c r="G33" s="132"/>
      <c r="H33" s="36"/>
      <c r="I33" s="36"/>
      <c r="J33" s="134"/>
      <c r="K33" s="135"/>
      <c r="L33" s="297"/>
      <c r="M33" s="36"/>
      <c r="N33" s="36"/>
      <c r="O33" s="134"/>
      <c r="P33" s="37"/>
      <c r="Q33" s="132"/>
      <c r="R33" s="36"/>
      <c r="S33" s="36"/>
      <c r="T33" s="36"/>
      <c r="U33" s="36"/>
      <c r="V33" s="133">
        <f>ROUND(SUM(Q33:U33),0)</f>
        <v>0</v>
      </c>
      <c r="W33" s="32"/>
    </row>
    <row r="34" spans="1:23" s="34" customFormat="1" ht="12" customHeight="1">
      <c r="A34" s="38" t="s">
        <v>72</v>
      </c>
      <c r="B34" s="35"/>
      <c r="C34" s="43">
        <f>SUM(C25:C33)</f>
        <v>175311.47200000001</v>
      </c>
      <c r="D34" s="44">
        <f>SUM(D25:D33)</f>
        <v>72596.562000000005</v>
      </c>
      <c r="E34" s="45">
        <f>SUM(E25:E33)</f>
        <v>102714.91000000002</v>
      </c>
      <c r="F34" s="36"/>
      <c r="G34" s="43">
        <f t="shared" ref="G34:N34" si="15">SUM(G25:G33)</f>
        <v>-68460.611000000004</v>
      </c>
      <c r="H34" s="44">
        <f t="shared" si="15"/>
        <v>0</v>
      </c>
      <c r="I34" s="44">
        <f t="shared" si="15"/>
        <v>0</v>
      </c>
      <c r="J34" s="46">
        <f t="shared" si="15"/>
        <v>-68460.611000000004</v>
      </c>
      <c r="K34" s="44">
        <f t="shared" si="15"/>
        <v>0</v>
      </c>
      <c r="L34" s="43">
        <f t="shared" si="15"/>
        <v>0</v>
      </c>
      <c r="M34" s="44">
        <f t="shared" si="15"/>
        <v>74736.562000000005</v>
      </c>
      <c r="N34" s="44">
        <f t="shared" si="15"/>
        <v>0</v>
      </c>
      <c r="O34" s="46">
        <f>J34-K34-M34-N34-L34</f>
        <v>-143197.17300000001</v>
      </c>
      <c r="P34" s="37"/>
      <c r="Q34" s="43">
        <f t="shared" ref="Q34:V34" si="16">SUM(Q25:Q33)</f>
        <v>-243772.08299999998</v>
      </c>
      <c r="R34" s="44">
        <f t="shared" si="16"/>
        <v>0</v>
      </c>
      <c r="S34" s="44">
        <f t="shared" si="16"/>
        <v>0</v>
      </c>
      <c r="T34" s="44">
        <f t="shared" si="16"/>
        <v>-2140</v>
      </c>
      <c r="U34" s="44">
        <f t="shared" si="16"/>
        <v>0</v>
      </c>
      <c r="V34" s="45">
        <f t="shared" si="16"/>
        <v>-245912.08299999998</v>
      </c>
      <c r="W34" s="32"/>
    </row>
    <row r="35" spans="1:23" ht="3" customHeight="1">
      <c r="A35" s="106"/>
      <c r="B35" s="35"/>
      <c r="C35" s="132"/>
      <c r="D35" s="36"/>
      <c r="E35" s="133"/>
      <c r="F35" s="36"/>
      <c r="G35" s="306"/>
      <c r="H35" s="36"/>
      <c r="I35" s="36"/>
      <c r="J35" s="134"/>
      <c r="K35" s="135"/>
      <c r="L35" s="297"/>
      <c r="M35" s="36" t="s">
        <v>61</v>
      </c>
      <c r="N35" s="36"/>
      <c r="O35" s="134"/>
      <c r="P35" s="37"/>
      <c r="Q35" s="132"/>
      <c r="R35" s="36"/>
      <c r="S35" s="36"/>
      <c r="T35" s="36"/>
      <c r="U35" s="36"/>
      <c r="V35" s="133"/>
      <c r="W35" s="32"/>
    </row>
    <row r="36" spans="1:23" ht="12" customHeight="1">
      <c r="A36" s="106" t="s">
        <v>56</v>
      </c>
      <c r="B36" s="35"/>
      <c r="C36" s="132">
        <v>0</v>
      </c>
      <c r="D36" s="138">
        <v>6400</v>
      </c>
      <c r="E36" s="133">
        <f>C36-D36</f>
        <v>-6400</v>
      </c>
      <c r="F36" s="36"/>
      <c r="G36" s="132">
        <f>GrossMargin!I46</f>
        <v>0</v>
      </c>
      <c r="H36" s="36">
        <f>GrossMargin!J46</f>
        <v>0</v>
      </c>
      <c r="I36" s="36">
        <f>GrossMargin!K46</f>
        <v>0</v>
      </c>
      <c r="J36" s="134">
        <f>SUM(G36:I36)</f>
        <v>0</v>
      </c>
      <c r="K36" s="135"/>
      <c r="L36" s="297">
        <v>0</v>
      </c>
      <c r="M36" s="138">
        <v>6400</v>
      </c>
      <c r="N36" s="36">
        <v>0</v>
      </c>
      <c r="O36" s="134">
        <f>J36-K36-M36-N36-L36</f>
        <v>-6400</v>
      </c>
      <c r="P36" s="37"/>
      <c r="Q36" s="132">
        <f>+J36-C36</f>
        <v>0</v>
      </c>
      <c r="R36" s="36"/>
      <c r="S36" s="36">
        <v>0</v>
      </c>
      <c r="T36" s="36">
        <f>D36-M36</f>
        <v>0</v>
      </c>
      <c r="U36" s="36">
        <v>0</v>
      </c>
      <c r="V36" s="133">
        <f>SUM(Q36:U36)</f>
        <v>0</v>
      </c>
      <c r="W36" s="32"/>
    </row>
    <row r="37" spans="1:23" ht="3" customHeight="1">
      <c r="A37" s="106"/>
      <c r="B37" s="35"/>
      <c r="C37" s="132"/>
      <c r="D37" s="36"/>
      <c r="E37" s="133"/>
      <c r="F37" s="36"/>
      <c r="G37" s="132"/>
      <c r="H37" s="36"/>
      <c r="I37" s="36"/>
      <c r="J37" s="134"/>
      <c r="K37" s="135"/>
      <c r="L37" s="297"/>
      <c r="M37" s="36"/>
      <c r="N37" s="36"/>
      <c r="O37" s="134"/>
      <c r="P37" s="37"/>
      <c r="Q37" s="132"/>
      <c r="R37" s="36"/>
      <c r="S37" s="36"/>
      <c r="T37" s="36"/>
      <c r="U37" s="36"/>
      <c r="V37" s="133"/>
      <c r="W37" s="32"/>
    </row>
    <row r="38" spans="1:23" s="34" customFormat="1" ht="12" customHeight="1">
      <c r="A38" s="38" t="s">
        <v>73</v>
      </c>
      <c r="B38" s="35"/>
      <c r="C38" s="298">
        <f>SUM(C34:C36)</f>
        <v>175311.47200000001</v>
      </c>
      <c r="D38" s="299">
        <f>SUM(D34:D36)</f>
        <v>78996.562000000005</v>
      </c>
      <c r="E38" s="300">
        <f>SUM(E34:E36)</f>
        <v>96314.910000000018</v>
      </c>
      <c r="F38" s="36"/>
      <c r="G38" s="298">
        <f t="shared" ref="G38:V38" si="17">SUM(G34:G36)</f>
        <v>-68460.611000000004</v>
      </c>
      <c r="H38" s="299">
        <f t="shared" si="17"/>
        <v>0</v>
      </c>
      <c r="I38" s="299">
        <f t="shared" si="17"/>
        <v>0</v>
      </c>
      <c r="J38" s="301">
        <f t="shared" si="17"/>
        <v>-68460.611000000004</v>
      </c>
      <c r="K38" s="299">
        <f t="shared" si="17"/>
        <v>0</v>
      </c>
      <c r="L38" s="298">
        <f t="shared" si="17"/>
        <v>0</v>
      </c>
      <c r="M38" s="299">
        <f t="shared" si="17"/>
        <v>81136.562000000005</v>
      </c>
      <c r="N38" s="299">
        <f t="shared" si="17"/>
        <v>0</v>
      </c>
      <c r="O38" s="301">
        <f>J38-K38-M38-N38-L38</f>
        <v>-149597.17300000001</v>
      </c>
      <c r="P38" s="37"/>
      <c r="Q38" s="39">
        <f t="shared" si="17"/>
        <v>-243772.08299999998</v>
      </c>
      <c r="R38" s="40">
        <f t="shared" si="17"/>
        <v>0</v>
      </c>
      <c r="S38" s="40">
        <f t="shared" si="17"/>
        <v>0</v>
      </c>
      <c r="T38" s="40">
        <f t="shared" si="17"/>
        <v>-2140</v>
      </c>
      <c r="U38" s="40">
        <f t="shared" si="17"/>
        <v>0</v>
      </c>
      <c r="V38" s="41">
        <f t="shared" si="17"/>
        <v>-245912.08299999998</v>
      </c>
      <c r="W38" s="32"/>
    </row>
    <row r="39" spans="1:23" s="19" customFormat="1" ht="3" customHeight="1">
      <c r="A39" s="24"/>
      <c r="B39" s="18"/>
      <c r="C39" s="25"/>
      <c r="D39" s="26"/>
      <c r="E39" s="27"/>
      <c r="F39" s="22"/>
      <c r="G39" s="28"/>
      <c r="H39" s="29"/>
      <c r="I39" s="29"/>
      <c r="J39" s="24"/>
      <c r="K39" s="29"/>
      <c r="L39" s="28"/>
      <c r="M39" s="29"/>
      <c r="N39" s="29"/>
      <c r="O39" s="24"/>
      <c r="Q39" s="28"/>
      <c r="R39" s="29"/>
      <c r="S39" s="29"/>
      <c r="T39" s="29"/>
      <c r="U39" s="29"/>
      <c r="V39" s="30"/>
    </row>
    <row r="40" spans="1:23" ht="13.5">
      <c r="A40" s="66"/>
      <c r="C40" s="67"/>
      <c r="D40" s="23"/>
      <c r="E40" s="66"/>
      <c r="F40" s="23"/>
      <c r="G40" s="68"/>
    </row>
    <row r="41" spans="1:23" ht="6" customHeight="1">
      <c r="C41" s="23"/>
      <c r="D41" s="23"/>
      <c r="E41" s="23"/>
      <c r="F41" s="23"/>
    </row>
    <row r="42" spans="1:23">
      <c r="A42" s="71" t="s">
        <v>107</v>
      </c>
      <c r="C42" s="23"/>
      <c r="D42" s="23"/>
      <c r="E42" s="23"/>
      <c r="F42" s="23"/>
      <c r="M42" s="164"/>
      <c r="T42" s="164"/>
    </row>
    <row r="43" spans="1:23">
      <c r="C43" s="23"/>
      <c r="D43" s="23"/>
      <c r="E43" s="23"/>
      <c r="F43" s="23"/>
      <c r="G43" s="164"/>
    </row>
    <row r="44" spans="1:23">
      <c r="C44" s="23"/>
      <c r="D44" s="23"/>
      <c r="E44" s="23"/>
      <c r="F44" s="23"/>
      <c r="V44" s="164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  <c r="F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A62" s="23"/>
    </row>
    <row r="63" spans="1:6">
      <c r="C63" s="23"/>
      <c r="D63" s="23"/>
      <c r="E63" s="23"/>
      <c r="F63" s="23"/>
    </row>
    <row r="64" spans="1:6">
      <c r="C64" s="23"/>
      <c r="D64" s="23"/>
      <c r="E64" s="23"/>
      <c r="F64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1"/>
  <sheetViews>
    <sheetView zoomScaleNormal="100" workbookViewId="0">
      <selection activeCell="C41" sqref="C41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0" t="s">
        <v>68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>
      <c r="A2" s="181" t="s">
        <v>101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5">
      <c r="A3" s="182" t="str">
        <f>+'Mgmt Summary'!A3</f>
        <v>Results based on activity through November 16,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111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71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104</v>
      </c>
      <c r="B9" s="34"/>
      <c r="C9" s="137">
        <f>+GrossMargin!D10-[7]GrossMargin!D10</f>
        <v>-5996.989999999998</v>
      </c>
      <c r="D9" s="138">
        <f>+GrossMargin!E10-[7]GrossMargin!E10</f>
        <v>0</v>
      </c>
      <c r="E9" s="36"/>
      <c r="F9" s="138">
        <f>+GrossMargin!G10-[7]GrossMargin!G10</f>
        <v>0</v>
      </c>
      <c r="G9" s="136">
        <v>0</v>
      </c>
      <c r="H9" s="134">
        <f t="shared" ref="H9:H20" si="0">SUM(C9:G9)</f>
        <v>-5996.989999999998</v>
      </c>
      <c r="I9" s="132">
        <v>0</v>
      </c>
      <c r="J9" s="138">
        <f>+GrossMargin!K10-[7]GrossMargin!K10</f>
        <v>0</v>
      </c>
      <c r="K9" s="133">
        <f t="shared" ref="K9:K20" si="1">SUM(H9:J9)</f>
        <v>-5996.989999999998</v>
      </c>
    </row>
    <row r="10" spans="1:11" s="186" customFormat="1" ht="13.5" customHeight="1">
      <c r="A10" s="303" t="s">
        <v>116</v>
      </c>
      <c r="B10" s="34"/>
      <c r="C10" s="137">
        <f>+GrossMargin!D11-[7]GrossMargin!D11</f>
        <v>924</v>
      </c>
      <c r="D10" s="138">
        <f>+GrossMargin!E11-[7]GrossMargin!E11</f>
        <v>0</v>
      </c>
      <c r="E10" s="36"/>
      <c r="F10" s="138">
        <f>+GrossMargin!G11-[7]GrossMargin!G11</f>
        <v>-35.658999999999999</v>
      </c>
      <c r="G10" s="136">
        <v>0</v>
      </c>
      <c r="H10" s="134">
        <f t="shared" si="0"/>
        <v>888.34100000000001</v>
      </c>
      <c r="I10" s="132">
        <v>0</v>
      </c>
      <c r="J10" s="138">
        <f>+GrossMargin!K11-[7]GrossMargin!K11</f>
        <v>0</v>
      </c>
      <c r="K10" s="133">
        <f t="shared" si="1"/>
        <v>888.34100000000001</v>
      </c>
    </row>
    <row r="11" spans="1:11" s="186" customFormat="1" ht="13.5" customHeight="1">
      <c r="A11" s="106" t="s">
        <v>108</v>
      </c>
      <c r="B11" s="34"/>
      <c r="C11" s="137">
        <f>+GrossMargin!D12-[7]GrossMargin!D12</f>
        <v>922</v>
      </c>
      <c r="D11" s="138">
        <f>+GrossMargin!E12-[7]GrossMargin!E12</f>
        <v>0</v>
      </c>
      <c r="E11" s="36"/>
      <c r="F11" s="138">
        <f>+GrossMargin!G12-[7]GrossMargin!G12</f>
        <v>0</v>
      </c>
      <c r="G11" s="136">
        <v>0</v>
      </c>
      <c r="H11" s="134">
        <f t="shared" si="0"/>
        <v>922</v>
      </c>
      <c r="I11" s="132">
        <v>0</v>
      </c>
      <c r="J11" s="138">
        <f>+GrossMargin!K12-[7]GrossMargin!K12</f>
        <v>0</v>
      </c>
      <c r="K11" s="133">
        <f t="shared" si="1"/>
        <v>922</v>
      </c>
    </row>
    <row r="12" spans="1:11" s="186" customFormat="1" ht="13.5" hidden="1" customHeight="1">
      <c r="A12" s="106" t="s">
        <v>43</v>
      </c>
      <c r="B12" s="34"/>
      <c r="C12" s="137">
        <f>+GrossMargin!D13-[7]GrossMargin!D13</f>
        <v>0</v>
      </c>
      <c r="D12" s="138">
        <f>+GrossMargin!E13-[7]GrossMargin!E13</f>
        <v>0</v>
      </c>
      <c r="E12" s="36"/>
      <c r="F12" s="138">
        <f>+GrossMargin!G13-[7]GrossMargin!G13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+GrossMargin!K13-[7]GrossMargin!K13</f>
        <v>0</v>
      </c>
      <c r="K12" s="133">
        <f t="shared" si="1"/>
        <v>0</v>
      </c>
    </row>
    <row r="13" spans="1:11" s="186" customFormat="1" ht="13.5" customHeight="1">
      <c r="A13" s="106" t="s">
        <v>62</v>
      </c>
      <c r="B13" s="34"/>
      <c r="C13" s="137">
        <f>+GrossMargin!D14-[7]GrossMargin!D14</f>
        <v>-1295</v>
      </c>
      <c r="D13" s="138">
        <f>+GrossMargin!E14-[7]GrossMargin!E14</f>
        <v>0</v>
      </c>
      <c r="E13" s="36"/>
      <c r="F13" s="138">
        <f>+GrossMargin!G14-[7]GrossMargin!G14</f>
        <v>0</v>
      </c>
      <c r="G13" s="136">
        <v>0</v>
      </c>
      <c r="H13" s="134">
        <f t="shared" si="0"/>
        <v>-1295</v>
      </c>
      <c r="I13" s="132">
        <v>0</v>
      </c>
      <c r="J13" s="138">
        <f>+GrossMargin!K14-[7]GrossMargin!K14</f>
        <v>0</v>
      </c>
      <c r="K13" s="133">
        <f t="shared" si="1"/>
        <v>-1295</v>
      </c>
    </row>
    <row r="14" spans="1:11" s="186" customFormat="1" ht="13.5" customHeight="1">
      <c r="A14" s="303" t="s">
        <v>123</v>
      </c>
      <c r="B14" s="34"/>
      <c r="C14" s="137">
        <f>+GrossMargin!D15-[7]GrossMargin!D15</f>
        <v>0</v>
      </c>
      <c r="D14" s="138">
        <f>+GrossMargin!E15-[7]GrossMargin!E15</f>
        <v>704.23900000000003</v>
      </c>
      <c r="E14" s="36"/>
      <c r="F14" s="138">
        <f>+GrossMargin!G15-[7]GrossMargin!G15</f>
        <v>0</v>
      </c>
      <c r="G14" s="136">
        <v>0</v>
      </c>
      <c r="H14" s="134">
        <f t="shared" si="0"/>
        <v>704.23900000000003</v>
      </c>
      <c r="I14" s="132">
        <v>0</v>
      </c>
      <c r="J14" s="138">
        <f>+GrossMargin!K15-[7]GrossMargin!K15</f>
        <v>0</v>
      </c>
      <c r="K14" s="133">
        <f t="shared" si="1"/>
        <v>704.23900000000003</v>
      </c>
    </row>
    <row r="15" spans="1:11" ht="13.5" hidden="1" customHeight="1">
      <c r="A15" s="285" t="s">
        <v>77</v>
      </c>
      <c r="B15" s="245"/>
      <c r="C15" s="137">
        <f>+GrossMargin!D16-[7]GrossMargin!D16</f>
        <v>135</v>
      </c>
      <c r="D15" s="138">
        <f>+GrossMargin!E16-[7]GrossMargin!E16</f>
        <v>0</v>
      </c>
      <c r="E15" s="242"/>
      <c r="F15" s="138">
        <f>+GrossMargin!G16-[7]GrossMargin!G16</f>
        <v>0</v>
      </c>
      <c r="G15" s="243">
        <v>0</v>
      </c>
      <c r="H15" s="286">
        <f t="shared" si="0"/>
        <v>135</v>
      </c>
      <c r="I15" s="271">
        <v>0</v>
      </c>
      <c r="J15" s="138">
        <f>+GrossMargin!K16-[7]GrossMargin!K16</f>
        <v>0</v>
      </c>
      <c r="K15" s="272">
        <f t="shared" si="1"/>
        <v>135</v>
      </c>
    </row>
    <row r="16" spans="1:11" ht="13.5" hidden="1" customHeight="1">
      <c r="A16" s="285" t="s">
        <v>93</v>
      </c>
      <c r="B16" s="245"/>
      <c r="C16" s="137">
        <f>+GrossMargin!D17-[7]GrossMargin!D17</f>
        <v>1173</v>
      </c>
      <c r="D16" s="138">
        <f>+GrossMargin!E17-[7]GrossMargin!E17</f>
        <v>0</v>
      </c>
      <c r="E16" s="242"/>
      <c r="F16" s="138">
        <f>+GrossMargin!G17-[7]GrossMargin!G17</f>
        <v>0</v>
      </c>
      <c r="G16" s="243">
        <v>0</v>
      </c>
      <c r="H16" s="286">
        <f t="shared" si="0"/>
        <v>1173</v>
      </c>
      <c r="I16" s="271">
        <v>0</v>
      </c>
      <c r="J16" s="138">
        <f>+GrossMargin!K17-[7]GrossMargin!K17</f>
        <v>0</v>
      </c>
      <c r="K16" s="272">
        <f t="shared" si="1"/>
        <v>1173</v>
      </c>
    </row>
    <row r="17" spans="1:11" ht="13.5" hidden="1" customHeight="1">
      <c r="A17" s="285" t="s">
        <v>80</v>
      </c>
      <c r="B17" s="245"/>
      <c r="C17" s="137">
        <f>+GrossMargin!D18-[7]GrossMargin!D18</f>
        <v>-2305</v>
      </c>
      <c r="D17" s="138">
        <f>+GrossMargin!E18-[7]GrossMargin!E18</f>
        <v>0</v>
      </c>
      <c r="E17" s="242"/>
      <c r="F17" s="138">
        <f>+GrossMargin!G18-[7]GrossMargin!G18</f>
        <v>0</v>
      </c>
      <c r="G17" s="243">
        <v>0</v>
      </c>
      <c r="H17" s="286">
        <f t="shared" si="0"/>
        <v>-2305</v>
      </c>
      <c r="I17" s="271">
        <v>0</v>
      </c>
      <c r="J17" s="138">
        <f>+GrossMargin!K18-[7]GrossMargin!K18</f>
        <v>0</v>
      </c>
      <c r="K17" s="272">
        <f t="shared" si="1"/>
        <v>-2305</v>
      </c>
    </row>
    <row r="18" spans="1:11" ht="13.5" hidden="1" customHeight="1">
      <c r="A18" s="285" t="s">
        <v>78</v>
      </c>
      <c r="B18" s="245"/>
      <c r="C18" s="137">
        <f>+GrossMargin!D19-[7]GrossMargin!D19</f>
        <v>0</v>
      </c>
      <c r="D18" s="138">
        <f>+GrossMargin!E19-[7]GrossMargin!E19</f>
        <v>0</v>
      </c>
      <c r="E18" s="242"/>
      <c r="F18" s="138">
        <f>+GrossMargin!G19-[7]GrossMargin!G19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+GrossMargin!K19-[7]GrossMargin!K19</f>
        <v>0</v>
      </c>
      <c r="K18" s="272">
        <f t="shared" si="1"/>
        <v>0</v>
      </c>
    </row>
    <row r="19" spans="1:11" ht="13.5" hidden="1" customHeight="1">
      <c r="A19" s="285" t="s">
        <v>79</v>
      </c>
      <c r="B19" s="245"/>
      <c r="C19" s="137">
        <f>+GrossMargin!D20-[7]GrossMargin!D20</f>
        <v>0</v>
      </c>
      <c r="D19" s="138">
        <f>+GrossMargin!E20-[7]GrossMargin!E20</f>
        <v>0</v>
      </c>
      <c r="E19" s="242"/>
      <c r="F19" s="138">
        <f>+GrossMargin!G20-[7]GrossMargin!G20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+GrossMargin!K20-[7]GrossMargin!K20</f>
        <v>0</v>
      </c>
      <c r="K19" s="272">
        <f t="shared" si="1"/>
        <v>0</v>
      </c>
    </row>
    <row r="20" spans="1:11" ht="13.5" hidden="1" customHeight="1">
      <c r="A20" s="285" t="s">
        <v>81</v>
      </c>
      <c r="B20" s="245"/>
      <c r="C20" s="302">
        <f>+GrossMargin!D21-[7]GrossMargin!D21</f>
        <v>0</v>
      </c>
      <c r="D20" s="304">
        <f>+GrossMargin!E21-[7]GrossMargin!E21</f>
        <v>0</v>
      </c>
      <c r="E20" s="252"/>
      <c r="F20" s="304">
        <f>+GrossMargin!G21-[7]GrossMargin!G21</f>
        <v>0</v>
      </c>
      <c r="G20" s="253">
        <v>0</v>
      </c>
      <c r="H20" s="287">
        <f t="shared" si="0"/>
        <v>0</v>
      </c>
      <c r="I20" s="273">
        <v>0</v>
      </c>
      <c r="J20" s="304">
        <f>+GrossMargin!K21-[7]GrossMargin!K21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-997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-997</v>
      </c>
      <c r="I21" s="132">
        <f t="shared" si="2"/>
        <v>0</v>
      </c>
      <c r="J21" s="36">
        <f t="shared" si="2"/>
        <v>0</v>
      </c>
      <c r="K21" s="133">
        <f t="shared" si="2"/>
        <v>-997</v>
      </c>
    </row>
    <row r="22" spans="1:11" s="186" customFormat="1" ht="13.5" customHeight="1">
      <c r="A22" s="106" t="s">
        <v>112</v>
      </c>
      <c r="B22" s="34"/>
      <c r="C22" s="137">
        <f>+GrossMargin!D23-[7]GrossMargin!D23</f>
        <v>-56</v>
      </c>
      <c r="D22" s="138">
        <f>+GrossMargin!E23-[7]GrossMargin!E23</f>
        <v>37.347999999999999</v>
      </c>
      <c r="E22" s="36"/>
      <c r="F22" s="138">
        <f>+GrossMargin!G23-[7]GrossMargin!G23</f>
        <v>0</v>
      </c>
      <c r="G22" s="136">
        <v>0</v>
      </c>
      <c r="H22" s="134">
        <f t="shared" ref="H22:H29" si="3">SUM(C22:G22)</f>
        <v>-18.652000000000001</v>
      </c>
      <c r="I22" s="132">
        <v>0</v>
      </c>
      <c r="J22" s="138">
        <f>+GrossMargin!K23-[7]GrossMargin!K23</f>
        <v>0</v>
      </c>
      <c r="K22" s="133">
        <f t="shared" ref="K22:K29" si="4">SUM(H22:J22)</f>
        <v>-18.652000000000001</v>
      </c>
    </row>
    <row r="23" spans="1:11" s="186" customFormat="1" ht="13.5" customHeight="1">
      <c r="A23" s="106" t="s">
        <v>85</v>
      </c>
      <c r="B23" s="34"/>
      <c r="C23" s="137">
        <f>+GrossMargin!D24-[7]GrossMargin!D24</f>
        <v>-369</v>
      </c>
      <c r="D23" s="138">
        <f>+GrossMargin!E24-[7]GrossMargin!E24</f>
        <v>0</v>
      </c>
      <c r="E23" s="36"/>
      <c r="F23" s="138">
        <f>+GrossMargin!G24-[7]GrossMargin!G24</f>
        <v>37</v>
      </c>
      <c r="G23" s="136">
        <v>0</v>
      </c>
      <c r="H23" s="134">
        <f t="shared" si="3"/>
        <v>-332</v>
      </c>
      <c r="I23" s="132">
        <v>0</v>
      </c>
      <c r="J23" s="138">
        <f>+GrossMargin!K24-[7]GrossMargin!K24</f>
        <v>0</v>
      </c>
      <c r="K23" s="133">
        <f t="shared" si="4"/>
        <v>-332</v>
      </c>
    </row>
    <row r="24" spans="1:11" s="186" customFormat="1" ht="13.5" hidden="1" customHeight="1">
      <c r="A24" s="106" t="s">
        <v>87</v>
      </c>
      <c r="B24" s="34"/>
      <c r="C24" s="137">
        <f>+GrossMargin!D25-[7]GrossMargin!D25</f>
        <v>0</v>
      </c>
      <c r="D24" s="138">
        <f>+GrossMargin!E25-[7]GrossMargin!E25</f>
        <v>0</v>
      </c>
      <c r="E24" s="36"/>
      <c r="F24" s="138">
        <f>+GrossMargin!G25-[7]GrossMargin!G25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+GrossMargin!K25-[7]GrossMargin!K25</f>
        <v>0</v>
      </c>
      <c r="K24" s="133">
        <f t="shared" si="4"/>
        <v>0</v>
      </c>
    </row>
    <row r="25" spans="1:11" s="186" customFormat="1" ht="13.5" customHeight="1">
      <c r="A25" s="106" t="s">
        <v>117</v>
      </c>
      <c r="B25" s="34"/>
      <c r="C25" s="137">
        <f>+GrossMargin!D26-[7]GrossMargin!D26</f>
        <v>-1.0000000000000009E-2</v>
      </c>
      <c r="D25" s="138">
        <f>+GrossMargin!E26-[7]GrossMargin!E26</f>
        <v>0</v>
      </c>
      <c r="E25" s="36"/>
      <c r="F25" s="138">
        <f>+GrossMargin!G26-[7]GrossMargin!G26</f>
        <v>0</v>
      </c>
      <c r="G25" s="136"/>
      <c r="H25" s="134">
        <f t="shared" si="3"/>
        <v>-1.0000000000000009E-2</v>
      </c>
      <c r="I25" s="132"/>
      <c r="J25" s="138">
        <f>+GrossMargin!K26-[7]GrossMargin!K26</f>
        <v>0</v>
      </c>
      <c r="K25" s="133">
        <f t="shared" si="4"/>
        <v>-1.0000000000000009E-2</v>
      </c>
    </row>
    <row r="26" spans="1:11" s="186" customFormat="1" ht="13.5" customHeight="1">
      <c r="A26" s="106" t="s">
        <v>118</v>
      </c>
      <c r="B26" s="34"/>
      <c r="C26" s="137">
        <f>+GrossMargin!D27-[7]GrossMargin!D27</f>
        <v>0</v>
      </c>
      <c r="D26" s="138">
        <f>+GrossMargin!E27-[7]GrossMargin!E27</f>
        <v>0</v>
      </c>
      <c r="E26" s="36"/>
      <c r="F26" s="138">
        <f>+GrossMargin!G27-[7]GrossMargin!G27</f>
        <v>0</v>
      </c>
      <c r="G26" s="136"/>
      <c r="H26" s="134">
        <f t="shared" si="3"/>
        <v>0</v>
      </c>
      <c r="I26" s="132"/>
      <c r="J26" s="138">
        <f>+GrossMargin!K27-[7]GrossMargin!K27</f>
        <v>0</v>
      </c>
      <c r="K26" s="133">
        <f t="shared" si="4"/>
        <v>0</v>
      </c>
    </row>
    <row r="27" spans="1:11" ht="13.5" customHeight="1">
      <c r="A27" s="106" t="s">
        <v>103</v>
      </c>
      <c r="B27" s="166"/>
      <c r="C27" s="137">
        <f>+GrossMargin!D28-[7]GrossMargin!D28</f>
        <v>0</v>
      </c>
      <c r="D27" s="138">
        <f>+GrossMargin!E28-[7]GrossMargin!E28</f>
        <v>0</v>
      </c>
      <c r="E27" s="36"/>
      <c r="F27" s="138">
        <f>+GrossMargin!G28-[7]GrossMargin!G28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+GrossMargin!K28-[7]GrossMargin!K28</f>
        <v>0</v>
      </c>
      <c r="K27" s="133">
        <f t="shared" si="4"/>
        <v>0</v>
      </c>
    </row>
    <row r="28" spans="1:11" ht="13.5" customHeight="1">
      <c r="A28" s="106" t="s">
        <v>2</v>
      </c>
      <c r="B28" s="166"/>
      <c r="C28" s="137">
        <f>+GrossMargin!D29-[7]GrossMargin!D30</f>
        <v>0</v>
      </c>
      <c r="D28" s="138">
        <f>+GrossMargin!E29-[7]GrossMargin!E30</f>
        <v>0</v>
      </c>
      <c r="E28" s="36"/>
      <c r="F28" s="138">
        <f>+GrossMargin!G29-[7]GrossMargin!G30</f>
        <v>0</v>
      </c>
      <c r="G28" s="136">
        <v>0</v>
      </c>
      <c r="H28" s="134">
        <f t="shared" si="3"/>
        <v>0</v>
      </c>
      <c r="I28" s="132">
        <v>0</v>
      </c>
      <c r="J28" s="138">
        <f>+GrossMargin!K29-[7]GrossMargin!K30</f>
        <v>0</v>
      </c>
      <c r="K28" s="133">
        <f t="shared" si="4"/>
        <v>0</v>
      </c>
    </row>
    <row r="29" spans="1:11" ht="13.5" customHeight="1">
      <c r="A29" s="106" t="s">
        <v>115</v>
      </c>
      <c r="B29" s="166"/>
      <c r="C29" s="137">
        <f>+GrossMargin!D30-[7]GrossMargin!D31</f>
        <v>0</v>
      </c>
      <c r="D29" s="138">
        <f>+GrossMargin!E30-[7]GrossMargin!E31</f>
        <v>0</v>
      </c>
      <c r="E29" s="36"/>
      <c r="F29" s="138">
        <f>+GrossMargin!G30-[7]GrossMargin!G31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+GrossMargin!K30-[7]GrossMargin!K31</f>
        <v>0</v>
      </c>
      <c r="K29" s="133">
        <f t="shared" si="4"/>
        <v>0</v>
      </c>
    </row>
    <row r="30" spans="1:11" ht="3" customHeight="1">
      <c r="A30" s="106"/>
      <c r="B30" s="34"/>
      <c r="C30" s="132"/>
      <c r="D30" s="36"/>
      <c r="E30" s="36"/>
      <c r="F30" s="136"/>
      <c r="G30" s="136"/>
      <c r="H30" s="134"/>
      <c r="I30" s="132"/>
      <c r="J30" s="36"/>
      <c r="K30" s="136"/>
    </row>
    <row r="31" spans="1:11" ht="13.5" customHeight="1">
      <c r="A31" s="38" t="s">
        <v>113</v>
      </c>
      <c r="B31" s="34"/>
      <c r="C31" s="43">
        <f>SUM(C21:C29)+SUM(C9:C14)</f>
        <v>-6867.9999999999982</v>
      </c>
      <c r="D31" s="44">
        <f>SUM(D9:D14)+SUM(D21:D29)</f>
        <v>741.58699999999999</v>
      </c>
      <c r="E31" s="44">
        <f>SUM(E9:E14)+SUM(E21:E29)</f>
        <v>0</v>
      </c>
      <c r="F31" s="45">
        <f>SUM(F9:F14)+SUM(F21:F29)</f>
        <v>1.3410000000000011</v>
      </c>
      <c r="G31" s="44">
        <f>SUM(G9:G14)+SUM(G21:G29)</f>
        <v>0</v>
      </c>
      <c r="H31" s="46">
        <f>SUM(H9:H14)+SUM(H21:H29)</f>
        <v>-6125.0719999999983</v>
      </c>
      <c r="I31" s="44" t="e">
        <f>+#REF!+#REF!</f>
        <v>#REF!</v>
      </c>
      <c r="J31" s="44">
        <f>SUM(J9:J14)+SUM(J21:J29)</f>
        <v>0</v>
      </c>
      <c r="K31" s="45">
        <f>SUM(K9:K14)+SUM(K21:K29)</f>
        <v>-6125.0719999999983</v>
      </c>
    </row>
    <row r="32" spans="1:11" ht="3" customHeight="1">
      <c r="A32" s="106"/>
      <c r="B32" s="34"/>
      <c r="C32" s="132"/>
      <c r="D32" s="36"/>
      <c r="E32" s="36"/>
      <c r="F32" s="136"/>
      <c r="G32" s="136"/>
      <c r="H32" s="134"/>
      <c r="I32" s="132"/>
      <c r="J32" s="36"/>
      <c r="K32" s="136"/>
    </row>
    <row r="33" spans="1:11" ht="13.5" hidden="1" customHeight="1">
      <c r="A33" s="106" t="s">
        <v>10</v>
      </c>
      <c r="B33" s="34"/>
      <c r="C33" s="132">
        <f>+[3]GrossMargin!D31-[4]GrossMargin!D31</f>
        <v>0</v>
      </c>
      <c r="D33" s="36">
        <f>+[3]GrossMargin!E31-[4]GrossMargin!E31</f>
        <v>0</v>
      </c>
      <c r="E33" s="36">
        <v>0</v>
      </c>
      <c r="F33" s="136">
        <f>+[3]GrossMargin!G31-[4]GrossMargin!G31</f>
        <v>0</v>
      </c>
      <c r="G33" s="136">
        <v>0</v>
      </c>
      <c r="H33" s="134">
        <f>SUM(C33:G33)</f>
        <v>0</v>
      </c>
      <c r="I33" s="132">
        <v>0</v>
      </c>
      <c r="J33" s="263">
        <f>+[3]GrossMargin!K31-[4]GrossMargin!K31</f>
        <v>0</v>
      </c>
      <c r="K33" s="133">
        <f>SUM(H33:J33)</f>
        <v>0</v>
      </c>
    </row>
    <row r="34" spans="1:11" ht="3" hidden="1" customHeight="1">
      <c r="A34" s="105"/>
      <c r="B34" s="34"/>
      <c r="C34" s="275"/>
      <c r="D34" s="288"/>
      <c r="E34" s="288"/>
      <c r="F34" s="288"/>
      <c r="G34" s="288"/>
      <c r="H34" s="290"/>
      <c r="I34" s="288"/>
      <c r="J34" s="288"/>
      <c r="K34" s="289"/>
    </row>
    <row r="35" spans="1:11" ht="13.5" hidden="1" customHeight="1">
      <c r="A35" s="38" t="s">
        <v>91</v>
      </c>
      <c r="B35" s="34"/>
      <c r="C35" s="39">
        <f t="shared" ref="C35:K35" si="5">SUM(C9:C14)+SUM(C21:C29)</f>
        <v>-6867.9999999999982</v>
      </c>
      <c r="D35" s="40">
        <f t="shared" si="5"/>
        <v>741.58699999999999</v>
      </c>
      <c r="E35" s="40">
        <f t="shared" si="5"/>
        <v>0</v>
      </c>
      <c r="F35" s="40">
        <f t="shared" si="5"/>
        <v>1.3410000000000011</v>
      </c>
      <c r="G35" s="40">
        <f t="shared" si="5"/>
        <v>0</v>
      </c>
      <c r="H35" s="42">
        <f t="shared" si="5"/>
        <v>-6125.0719999999983</v>
      </c>
      <c r="I35" s="40">
        <f t="shared" si="5"/>
        <v>0</v>
      </c>
      <c r="J35" s="40">
        <f t="shared" si="5"/>
        <v>0</v>
      </c>
      <c r="K35" s="41">
        <f t="shared" si="5"/>
        <v>-6125.0719999999983</v>
      </c>
    </row>
    <row r="36" spans="1:11" ht="3" customHeight="1">
      <c r="A36" s="102"/>
      <c r="B36" s="32"/>
      <c r="C36" s="103"/>
      <c r="D36" s="104"/>
      <c r="E36" s="104"/>
      <c r="F36" s="104"/>
      <c r="G36" s="104"/>
      <c r="H36" s="291"/>
      <c r="I36" s="104"/>
      <c r="J36" s="104"/>
      <c r="K36" s="178"/>
    </row>
    <row r="37" spans="1:11" ht="13.5">
      <c r="A37" s="161" t="s">
        <v>59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E38" s="183"/>
    </row>
    <row r="40" spans="1:11">
      <c r="G40" s="164"/>
    </row>
    <row r="41" spans="1:11" ht="15.75">
      <c r="D41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topLeftCell="B1" zoomScaleNormal="100" workbookViewId="0">
      <selection activeCell="D42" sqref="D42"/>
    </sheetView>
  </sheetViews>
  <sheetFormatPr defaultRowHeight="12.75"/>
  <cols>
    <col min="1" max="1" width="16.85546875" style="12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0" t="s">
        <v>68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6.5">
      <c r="A3" s="13">
        <v>36861</v>
      </c>
      <c r="B3" s="181" t="s">
        <v>98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5">
      <c r="A4" s="12" t="s">
        <v>21</v>
      </c>
      <c r="B4" s="182" t="str">
        <f>'Mgmt Summary'!A3</f>
        <v>Results based on activity through November 16,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111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71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104</v>
      </c>
      <c r="C10" s="185"/>
      <c r="D10" s="137">
        <f>-46957-1.415</f>
        <v>-46958.415000000001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-46958.415000000001</v>
      </c>
      <c r="J10" s="135"/>
      <c r="K10" s="36">
        <v>0</v>
      </c>
      <c r="L10" s="36">
        <f>+I10+K10</f>
        <v>-46958.415000000001</v>
      </c>
      <c r="M10" s="249">
        <v>45000</v>
      </c>
      <c r="N10" s="133">
        <f t="shared" ref="N10:N23" si="1">L10-M10</f>
        <v>-91958.415000000008</v>
      </c>
    </row>
    <row r="11" spans="1:16" s="186" customFormat="1" ht="13.5" customHeight="1">
      <c r="A11" s="12" t="s">
        <v>17</v>
      </c>
      <c r="B11" s="106" t="s">
        <v>116</v>
      </c>
      <c r="C11" s="185"/>
      <c r="D11" s="137">
        <v>3953</v>
      </c>
      <c r="E11" s="138">
        <v>111.345</v>
      </c>
      <c r="F11" s="138">
        <v>0</v>
      </c>
      <c r="G11" s="138">
        <v>-35.658999999999999</v>
      </c>
      <c r="H11" s="136">
        <v>0</v>
      </c>
      <c r="I11" s="134">
        <f t="shared" si="0"/>
        <v>4028.6859999999997</v>
      </c>
      <c r="J11" s="135"/>
      <c r="K11" s="36">
        <v>0</v>
      </c>
      <c r="L11" s="36">
        <f t="shared" ref="L11:L23" si="2">+I11+K11</f>
        <v>4028.6859999999997</v>
      </c>
      <c r="M11" s="249">
        <f>13750-M12+1875+3125</f>
        <v>16250</v>
      </c>
      <c r="N11" s="133">
        <f t="shared" si="1"/>
        <v>-12221.314</v>
      </c>
    </row>
    <row r="12" spans="1:16" s="186" customFormat="1" ht="13.5" customHeight="1">
      <c r="A12" s="12"/>
      <c r="B12" s="106" t="s">
        <v>108</v>
      </c>
      <c r="C12" s="185"/>
      <c r="D12" s="137">
        <v>3387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3387</v>
      </c>
      <c r="J12" s="135"/>
      <c r="K12" s="36">
        <v>0</v>
      </c>
      <c r="L12" s="36">
        <f>+I12+K12</f>
        <v>3387</v>
      </c>
      <c r="M12" s="249">
        <v>2500</v>
      </c>
      <c r="N12" s="133">
        <f>L12-M12</f>
        <v>887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62</v>
      </c>
      <c r="C14" s="185"/>
      <c r="D14" s="137">
        <v>-4892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-4892</v>
      </c>
      <c r="J14" s="135"/>
      <c r="K14" s="36">
        <v>0</v>
      </c>
      <c r="L14" s="36">
        <f t="shared" si="2"/>
        <v>-4892</v>
      </c>
      <c r="M14" s="249">
        <f>10252.58-1500</f>
        <v>8752.58</v>
      </c>
      <c r="N14" s="133">
        <f t="shared" si="1"/>
        <v>-13644.58</v>
      </c>
    </row>
    <row r="15" spans="1:16" s="186" customFormat="1" ht="13.5" customHeight="1">
      <c r="A15" s="12" t="s">
        <v>41</v>
      </c>
      <c r="B15" s="303" t="s">
        <v>123</v>
      </c>
      <c r="C15" s="185"/>
      <c r="D15" s="137">
        <v>143</v>
      </c>
      <c r="E15" s="138">
        <v>715.42700000000002</v>
      </c>
      <c r="F15" s="138">
        <v>0</v>
      </c>
      <c r="G15" s="138">
        <v>0</v>
      </c>
      <c r="H15" s="136">
        <v>0</v>
      </c>
      <c r="I15" s="134">
        <f t="shared" si="0"/>
        <v>858.42700000000002</v>
      </c>
      <c r="J15" s="135"/>
      <c r="K15" s="36">
        <v>0</v>
      </c>
      <c r="L15" s="36">
        <f t="shared" si="2"/>
        <v>858.42700000000002</v>
      </c>
      <c r="M15" s="249">
        <v>8875</v>
      </c>
      <c r="N15" s="133">
        <f t="shared" si="1"/>
        <v>-8016.5730000000003</v>
      </c>
    </row>
    <row r="16" spans="1:16" ht="13.5" hidden="1" customHeight="1">
      <c r="A16" s="12" t="s">
        <v>50</v>
      </c>
      <c r="B16" s="238" t="s">
        <v>77</v>
      </c>
      <c r="C16" s="239"/>
      <c r="D16" s="240">
        <v>-694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-694</v>
      </c>
      <c r="J16" s="242"/>
      <c r="K16" s="242">
        <v>0</v>
      </c>
      <c r="L16" s="36">
        <f t="shared" si="2"/>
        <v>-694</v>
      </c>
      <c r="M16" s="251">
        <v>0</v>
      </c>
      <c r="N16" s="243">
        <f>L16-M16</f>
        <v>-694</v>
      </c>
    </row>
    <row r="17" spans="1:16" ht="13.5" hidden="1" customHeight="1">
      <c r="A17" s="12" t="s">
        <v>50</v>
      </c>
      <c r="B17" s="238" t="s">
        <v>93</v>
      </c>
      <c r="C17" s="239"/>
      <c r="D17" s="240">
        <v>2901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2901</v>
      </c>
      <c r="J17" s="242"/>
      <c r="K17" s="242">
        <v>0</v>
      </c>
      <c r="L17" s="36">
        <f>+I17+K17</f>
        <v>2901</v>
      </c>
      <c r="M17" s="251">
        <v>0</v>
      </c>
      <c r="N17" s="243">
        <f>L17-M17</f>
        <v>2901</v>
      </c>
    </row>
    <row r="18" spans="1:16" ht="13.5" hidden="1" customHeight="1">
      <c r="B18" s="238" t="s">
        <v>80</v>
      </c>
      <c r="C18" s="239"/>
      <c r="D18" s="240">
        <v>-363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-363</v>
      </c>
      <c r="J18" s="242"/>
      <c r="K18" s="242">
        <v>0</v>
      </c>
      <c r="L18" s="36">
        <f t="shared" si="2"/>
        <v>-363</v>
      </c>
      <c r="M18" s="251">
        <v>0</v>
      </c>
      <c r="N18" s="243">
        <f>L18-M18</f>
        <v>-363</v>
      </c>
      <c r="P18" s="164"/>
    </row>
    <row r="19" spans="1:16" ht="13.5" hidden="1" customHeight="1">
      <c r="B19" s="238" t="s">
        <v>78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hidden="1" customHeight="1">
      <c r="B20" s="238" t="s">
        <v>79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hidden="1" customHeight="1">
      <c r="B21" s="238" t="s">
        <v>81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1836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1836</v>
      </c>
      <c r="J22" s="135"/>
      <c r="K22" s="36">
        <f>SUM(K16:K21)</f>
        <v>0</v>
      </c>
      <c r="L22" s="36">
        <f t="shared" si="2"/>
        <v>1836</v>
      </c>
      <c r="M22" s="249">
        <f>32500-2955</f>
        <v>29545</v>
      </c>
      <c r="N22" s="133">
        <f>L22-M22</f>
        <v>-27709</v>
      </c>
    </row>
    <row r="23" spans="1:16" s="186" customFormat="1" ht="13.5" customHeight="1">
      <c r="A23" s="12"/>
      <c r="B23" s="106" t="s">
        <v>105</v>
      </c>
      <c r="C23" s="185"/>
      <c r="D23" s="137">
        <v>-181</v>
      </c>
      <c r="E23" s="138">
        <v>88.275999999999996</v>
      </c>
      <c r="F23" s="138">
        <v>0</v>
      </c>
      <c r="G23" s="138">
        <v>0</v>
      </c>
      <c r="H23" s="136">
        <v>0</v>
      </c>
      <c r="I23" s="134">
        <f t="shared" ref="I23:I30" si="4">SUM(D23:H23)</f>
        <v>-92.724000000000004</v>
      </c>
      <c r="J23" s="135"/>
      <c r="K23" s="36">
        <v>0</v>
      </c>
      <c r="L23" s="36">
        <f t="shared" si="2"/>
        <v>-92.724000000000004</v>
      </c>
      <c r="M23" s="136">
        <f>5000+8305.5</f>
        <v>13305.5</v>
      </c>
      <c r="N23" s="133">
        <f t="shared" si="1"/>
        <v>-13398.224</v>
      </c>
    </row>
    <row r="24" spans="1:16" s="186" customFormat="1" ht="13.5" customHeight="1">
      <c r="A24" s="12"/>
      <c r="B24" s="106" t="s">
        <v>85</v>
      </c>
      <c r="C24" s="185"/>
      <c r="D24" s="137">
        <v>1187</v>
      </c>
      <c r="E24" s="138">
        <v>1000</v>
      </c>
      <c r="F24" s="138">
        <v>0</v>
      </c>
      <c r="G24" s="138">
        <v>37</v>
      </c>
      <c r="H24" s="136">
        <v>0</v>
      </c>
      <c r="I24" s="134">
        <f t="shared" si="4"/>
        <v>2224</v>
      </c>
      <c r="J24" s="135"/>
      <c r="K24" s="36">
        <v>0</v>
      </c>
      <c r="L24" s="36">
        <f t="shared" ref="L24:L30" si="5">+I24+K24</f>
        <v>2224</v>
      </c>
      <c r="M24" s="249">
        <v>44000</v>
      </c>
      <c r="N24" s="133">
        <f t="shared" ref="N24:N30" si="6">L24-M24</f>
        <v>-41776</v>
      </c>
      <c r="O24" s="14"/>
    </row>
    <row r="25" spans="1:16" s="186" customFormat="1" ht="13.5" hidden="1" customHeight="1">
      <c r="A25" s="12"/>
      <c r="B25" s="106" t="s">
        <v>87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117</v>
      </c>
      <c r="C26" s="185"/>
      <c r="D26" s="137">
        <v>1.415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1.415</v>
      </c>
      <c r="J26" s="135"/>
      <c r="K26" s="36">
        <v>0</v>
      </c>
      <c r="L26" s="36">
        <f t="shared" si="5"/>
        <v>1.415</v>
      </c>
      <c r="M26" s="249">
        <v>3750</v>
      </c>
      <c r="N26" s="133">
        <f t="shared" si="6"/>
        <v>-3748.585</v>
      </c>
    </row>
    <row r="27" spans="1:16" s="186" customFormat="1" ht="13.5" customHeight="1">
      <c r="A27" s="12"/>
      <c r="B27" s="106" t="s">
        <v>118</v>
      </c>
      <c r="C27" s="185"/>
      <c r="D27" s="137">
        <v>1147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1147</v>
      </c>
      <c r="J27" s="135"/>
      <c r="K27" s="36">
        <v>0</v>
      </c>
      <c r="L27" s="36">
        <f>+I27+K27</f>
        <v>1147</v>
      </c>
      <c r="M27" s="249">
        <v>1602.701</v>
      </c>
      <c r="N27" s="133">
        <f>L27-M27</f>
        <v>-455.70100000000002</v>
      </c>
    </row>
    <row r="28" spans="1:16" s="186" customFormat="1" ht="13.5" customHeight="1">
      <c r="A28" s="12"/>
      <c r="B28" s="106" t="s">
        <v>103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2</v>
      </c>
      <c r="C29" s="185"/>
      <c r="D29" s="137">
        <v>0</v>
      </c>
      <c r="E29" s="138">
        <v>0</v>
      </c>
      <c r="F29" s="138">
        <v>0</v>
      </c>
      <c r="G29" s="138">
        <v>0</v>
      </c>
      <c r="H29" s="136">
        <v>0</v>
      </c>
      <c r="I29" s="134">
        <f t="shared" si="4"/>
        <v>0</v>
      </c>
      <c r="J29" s="135"/>
      <c r="K29" s="36">
        <v>0</v>
      </c>
      <c r="L29" s="36">
        <f t="shared" si="5"/>
        <v>0</v>
      </c>
      <c r="M29" s="249">
        <v>0</v>
      </c>
      <c r="N29" s="133">
        <f t="shared" si="6"/>
        <v>0</v>
      </c>
    </row>
    <row r="30" spans="1:16" s="186" customFormat="1" ht="13.5" customHeight="1">
      <c r="A30" s="12"/>
      <c r="B30" s="106" t="s">
        <v>115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f>-290+738.093-738.093+445+36+56+2955-1471.309</f>
        <v>1730.691</v>
      </c>
      <c r="N30" s="133">
        <f t="shared" si="6"/>
        <v>-1730.691</v>
      </c>
    </row>
    <row r="31" spans="1:16" ht="3" customHeight="1">
      <c r="B31" s="106"/>
      <c r="C31" s="34"/>
      <c r="D31" s="132"/>
      <c r="E31" s="36"/>
      <c r="F31" s="36"/>
      <c r="G31" s="36"/>
      <c r="H31" s="136"/>
      <c r="I31" s="134"/>
      <c r="J31" s="36"/>
      <c r="K31" s="132"/>
      <c r="L31" s="36"/>
      <c r="M31" s="136"/>
      <c r="N31" s="133"/>
    </row>
    <row r="32" spans="1:16" ht="12" customHeight="1">
      <c r="B32" s="259" t="s">
        <v>74</v>
      </c>
      <c r="C32" s="34"/>
      <c r="D32" s="43">
        <f t="shared" ref="D32:N32" si="7">SUM(D10:D15)+SUM(D22:D30)</f>
        <v>-40377</v>
      </c>
      <c r="E32" s="44">
        <f t="shared" si="7"/>
        <v>1915.0480000000002</v>
      </c>
      <c r="F32" s="44">
        <f t="shared" si="7"/>
        <v>0</v>
      </c>
      <c r="G32" s="44">
        <f t="shared" si="7"/>
        <v>1.3410000000000011</v>
      </c>
      <c r="H32" s="45">
        <f t="shared" si="7"/>
        <v>0</v>
      </c>
      <c r="I32" s="46">
        <f t="shared" si="7"/>
        <v>-38460.610999999997</v>
      </c>
      <c r="J32" s="44">
        <f t="shared" si="7"/>
        <v>0</v>
      </c>
      <c r="K32" s="44">
        <f t="shared" si="7"/>
        <v>0</v>
      </c>
      <c r="L32" s="44">
        <f t="shared" si="7"/>
        <v>-38460.610999999997</v>
      </c>
      <c r="M32" s="45">
        <f t="shared" si="7"/>
        <v>175311.47200000001</v>
      </c>
      <c r="N32" s="46">
        <f t="shared" si="7"/>
        <v>-213772.08300000004</v>
      </c>
    </row>
    <row r="33" spans="2:14" ht="3" customHeight="1">
      <c r="B33" s="106"/>
      <c r="C33" s="34"/>
      <c r="D33" s="132"/>
      <c r="E33" s="36"/>
      <c r="F33" s="36"/>
      <c r="G33" s="36"/>
      <c r="H33" s="136"/>
      <c r="I33" s="134"/>
      <c r="J33" s="36"/>
      <c r="K33" s="132"/>
      <c r="L33" s="36"/>
      <c r="M33" s="136"/>
      <c r="N33" s="133"/>
    </row>
    <row r="34" spans="2:14" ht="13.5" hidden="1" customHeight="1">
      <c r="B34" s="106" t="s">
        <v>10</v>
      </c>
      <c r="C34" s="34"/>
      <c r="D34" s="132">
        <v>0</v>
      </c>
      <c r="E34" s="138">
        <v>0</v>
      </c>
      <c r="F34" s="138">
        <v>0</v>
      </c>
      <c r="G34" s="138">
        <v>0</v>
      </c>
      <c r="H34" s="136">
        <v>0</v>
      </c>
      <c r="I34" s="134">
        <f>SUM(D34:H34)</f>
        <v>0</v>
      </c>
      <c r="J34" s="36"/>
      <c r="K34" s="132">
        <v>0</v>
      </c>
      <c r="L34" s="36">
        <f>SUM(I34:K34)</f>
        <v>0</v>
      </c>
      <c r="M34" s="136">
        <v>0</v>
      </c>
      <c r="N34" s="133">
        <f>L34-M34</f>
        <v>0</v>
      </c>
    </row>
    <row r="35" spans="2:14" ht="3" hidden="1" customHeight="1">
      <c r="B35" s="106"/>
      <c r="C35" s="34"/>
      <c r="D35" s="275"/>
      <c r="E35" s="288"/>
      <c r="F35" s="288"/>
      <c r="G35" s="288"/>
      <c r="H35" s="288"/>
      <c r="I35" s="290"/>
      <c r="J35" s="288"/>
      <c r="K35" s="288"/>
      <c r="L35" s="288"/>
      <c r="M35" s="288"/>
      <c r="N35" s="290"/>
    </row>
    <row r="36" spans="2:14" ht="12" hidden="1" customHeight="1">
      <c r="B36" s="38" t="s">
        <v>75</v>
      </c>
      <c r="C36" s="34"/>
      <c r="D36" s="39">
        <f t="shared" ref="D36:N36" si="8">SUM(D10:D15)+SUM(D22:D30)</f>
        <v>-40377</v>
      </c>
      <c r="E36" s="40">
        <f t="shared" si="8"/>
        <v>1915.0480000000002</v>
      </c>
      <c r="F36" s="40">
        <f t="shared" si="8"/>
        <v>0</v>
      </c>
      <c r="G36" s="40">
        <f t="shared" si="8"/>
        <v>1.3410000000000011</v>
      </c>
      <c r="H36" s="40">
        <f t="shared" si="8"/>
        <v>0</v>
      </c>
      <c r="I36" s="42">
        <f t="shared" si="8"/>
        <v>-38460.610999999997</v>
      </c>
      <c r="J36" s="40">
        <f t="shared" si="8"/>
        <v>0</v>
      </c>
      <c r="K36" s="40">
        <f t="shared" si="8"/>
        <v>0</v>
      </c>
      <c r="L36" s="40">
        <f t="shared" si="8"/>
        <v>-38460.610999999997</v>
      </c>
      <c r="M36" s="40">
        <f t="shared" si="8"/>
        <v>175311.47200000001</v>
      </c>
      <c r="N36" s="42">
        <f t="shared" si="8"/>
        <v>-213772.08300000004</v>
      </c>
    </row>
    <row r="37" spans="2:14" ht="3" customHeight="1">
      <c r="B37" s="24"/>
      <c r="D37" s="25"/>
      <c r="E37" s="26"/>
      <c r="F37" s="26"/>
      <c r="G37" s="26"/>
      <c r="H37" s="26"/>
      <c r="I37" s="168"/>
      <c r="J37" s="26"/>
      <c r="K37" s="26"/>
      <c r="L37" s="26"/>
      <c r="M37" s="26"/>
      <c r="N37" s="168"/>
    </row>
    <row r="38" spans="2:14">
      <c r="B38" s="161" t="s">
        <v>59</v>
      </c>
      <c r="C38" s="59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B39" s="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 t="s">
        <v>61</v>
      </c>
      <c r="M43" s="23"/>
      <c r="N43" s="23"/>
    </row>
    <row r="44" spans="2:14">
      <c r="D44" s="23"/>
    </row>
    <row r="45" spans="2:14">
      <c r="D45" s="23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D28" sqref="D28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Q2" t="s">
        <v>58</v>
      </c>
    </row>
    <row r="3" spans="1:37" ht="15">
      <c r="A3" s="11">
        <v>36861</v>
      </c>
      <c r="B3" s="348" t="s">
        <v>97</v>
      </c>
      <c r="C3" s="348"/>
      <c r="D3" s="348"/>
      <c r="E3" s="348"/>
      <c r="F3" s="348"/>
      <c r="G3" s="348"/>
      <c r="H3" s="348"/>
      <c r="I3" s="348"/>
      <c r="J3" s="348"/>
      <c r="K3" s="348"/>
    </row>
    <row r="4" spans="1:37">
      <c r="A4" s="10" t="s">
        <v>21</v>
      </c>
      <c r="B4" s="349" t="str">
        <f>+GrossMargin!B4</f>
        <v>Results based on activity through November 16, 2001</v>
      </c>
      <c r="C4" s="349"/>
      <c r="D4" s="349"/>
      <c r="E4" s="349"/>
      <c r="F4" s="349"/>
      <c r="G4" s="349"/>
      <c r="H4" s="349"/>
      <c r="I4" s="349"/>
      <c r="J4" s="349"/>
      <c r="K4" s="349"/>
    </row>
    <row r="5" spans="1:37" ht="3" customHeight="1"/>
    <row r="6" spans="1:37" s="50" customFormat="1" ht="12">
      <c r="A6" s="10" t="s">
        <v>46</v>
      </c>
      <c r="B6" s="123"/>
      <c r="D6" s="341" t="s">
        <v>25</v>
      </c>
      <c r="E6" s="342"/>
      <c r="F6" s="343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44" t="s">
        <v>38</v>
      </c>
      <c r="I7" s="345"/>
      <c r="J7" s="345"/>
      <c r="K7" s="34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104</v>
      </c>
      <c r="C9" s="170"/>
      <c r="D9" s="157">
        <f>+E9</f>
        <v>6903.1189999999997</v>
      </c>
      <c r="E9" s="171">
        <v>6903.1189999999997</v>
      </c>
      <c r="F9" s="175">
        <f t="shared" ref="F9:F16" si="0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116</v>
      </c>
      <c r="C10" s="50"/>
      <c r="D10" s="157">
        <f>+E10</f>
        <v>5110.5330000000004</v>
      </c>
      <c r="E10" s="171">
        <f>4140.841+237.191+1080.71-E11</f>
        <v>5110.5330000000004</v>
      </c>
      <c r="F10" s="141">
        <f t="shared" si="0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108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>+E12</f>
        <v>0</v>
      </c>
      <c r="E12" s="171">
        <v>0</v>
      </c>
      <c r="F12" s="141">
        <f t="shared" si="0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62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0"/>
        <v>-300</v>
      </c>
      <c r="G13" s="52"/>
      <c r="H13" s="247" t="s">
        <v>122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305" t="s">
        <v>123</v>
      </c>
      <c r="C14" s="50"/>
      <c r="D14" s="157">
        <f>+E14</f>
        <v>2517.0659999999998</v>
      </c>
      <c r="E14" s="171">
        <v>2517.0659999999998</v>
      </c>
      <c r="F14" s="141">
        <f t="shared" si="0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>+E15</f>
        <v>1849.1360000000002</v>
      </c>
      <c r="E15" s="171">
        <f>3320.445-1471.309</f>
        <v>1849.1360000000002</v>
      </c>
      <c r="F15" s="175">
        <f t="shared" si="0"/>
        <v>0</v>
      </c>
      <c r="G15" s="52"/>
      <c r="H15" s="328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105</v>
      </c>
      <c r="C16" s="170"/>
      <c r="D16" s="157">
        <f>+E16</f>
        <v>7322.1759999999995</v>
      </c>
      <c r="E16" s="171">
        <f>578.553+6743.623</f>
        <v>7322.1759999999995</v>
      </c>
      <c r="F16" s="175">
        <f t="shared" si="0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85</v>
      </c>
      <c r="C17" s="170"/>
      <c r="D17" s="157">
        <f>+E17+1840</f>
        <v>3270.25</v>
      </c>
      <c r="E17" s="171">
        <v>1430.25</v>
      </c>
      <c r="F17" s="175">
        <f t="shared" ref="F17:F22" si="1">E17-D17</f>
        <v>-1840</v>
      </c>
      <c r="G17" s="52"/>
      <c r="H17" s="247" t="s">
        <v>121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87</v>
      </c>
      <c r="C18" s="170"/>
      <c r="D18" s="157">
        <f>+E18</f>
        <v>0</v>
      </c>
      <c r="E18" s="171">
        <f>(439.884-250+100+50)*0+280.346-280.346</f>
        <v>0</v>
      </c>
      <c r="F18" s="175">
        <f t="shared" si="1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117</v>
      </c>
      <c r="C19" s="170"/>
      <c r="D19" s="157">
        <f>+E19</f>
        <v>1542.4860000000001</v>
      </c>
      <c r="E19" s="171">
        <v>1542.4860000000001</v>
      </c>
      <c r="F19" s="175">
        <f t="shared" si="1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118</v>
      </c>
      <c r="C20" s="170"/>
      <c r="D20" s="157">
        <f>+E20</f>
        <v>138.44999999999999</v>
      </c>
      <c r="E20" s="171">
        <v>138.44999999999999</v>
      </c>
      <c r="F20" s="175">
        <f t="shared" si="1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103</v>
      </c>
      <c r="C21" s="170"/>
      <c r="D21" s="157">
        <f>+E21</f>
        <v>695.86699999999996</v>
      </c>
      <c r="E21" s="171">
        <v>695.86699999999996</v>
      </c>
      <c r="F21" s="175">
        <f t="shared" si="1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>+E22</f>
        <v>537.20399999999995</v>
      </c>
      <c r="E22" s="140">
        <v>537.20399999999995</v>
      </c>
      <c r="F22" s="141">
        <f t="shared" si="1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90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328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50" t="s">
        <v>48</v>
      </c>
      <c r="E32" s="351"/>
      <c r="F32" s="352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38" t="s">
        <v>38</v>
      </c>
      <c r="I33" s="339"/>
      <c r="J33" s="339"/>
      <c r="K33" s="34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47" t="s">
        <v>68</v>
      </c>
      <c r="B2" s="347"/>
      <c r="C2" s="347"/>
      <c r="D2" s="347"/>
      <c r="E2" s="347"/>
      <c r="F2" s="347"/>
      <c r="G2" s="347"/>
      <c r="H2" s="347"/>
      <c r="I2" s="347"/>
      <c r="J2" s="347"/>
    </row>
    <row r="3" spans="1:33" ht="15">
      <c r="A3" s="348" t="s">
        <v>102</v>
      </c>
      <c r="B3" s="348"/>
      <c r="C3" s="348"/>
      <c r="D3" s="348"/>
      <c r="E3" s="348"/>
      <c r="F3" s="348"/>
      <c r="G3" s="348"/>
      <c r="H3" s="348"/>
      <c r="I3" s="348"/>
      <c r="J3" s="348"/>
    </row>
    <row r="4" spans="1:33">
      <c r="A4" s="349" t="str">
        <f>+Expenses!B4</f>
        <v>Results based on activity through November 16, 2001</v>
      </c>
      <c r="B4" s="349"/>
      <c r="C4" s="349"/>
      <c r="D4" s="349"/>
      <c r="E4" s="349"/>
      <c r="F4" s="349"/>
      <c r="G4" s="349"/>
      <c r="H4" s="349"/>
      <c r="I4" s="349"/>
      <c r="J4" s="349"/>
    </row>
    <row r="5" spans="1:33" ht="3" customHeight="1"/>
    <row r="6" spans="1:33" s="31" customFormat="1">
      <c r="A6" s="123"/>
      <c r="B6" s="50"/>
      <c r="C6" s="341" t="s">
        <v>25</v>
      </c>
      <c r="D6" s="342"/>
      <c r="E6" s="343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44" t="s">
        <v>38</v>
      </c>
      <c r="H7" s="345"/>
      <c r="I7" s="345"/>
      <c r="J7" s="34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104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108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62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69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105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85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86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87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103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90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41" t="s">
        <v>48</v>
      </c>
      <c r="D31" s="342"/>
      <c r="E31" s="343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44" t="s">
        <v>38</v>
      </c>
      <c r="H32" s="345"/>
      <c r="I32" s="345"/>
      <c r="J32" s="346"/>
    </row>
    <row r="33" spans="1:33" s="50" customFormat="1" ht="12" hidden="1">
      <c r="A33" s="123"/>
      <c r="C33" s="139">
        <f>[5]Expenses!D33-[5]Expenses!D29</f>
        <v>0</v>
      </c>
      <c r="D33" s="140">
        <f>[5]Expenses!E33-[5]Expenses!E29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[5]Expenses!D34-[5]Expenses!D30</f>
        <v>0</v>
      </c>
      <c r="D34" s="140">
        <f>[5]Expenses!E34-[5]Expenses!E30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[5]Expenses!D35-[5]Expenses!D31</f>
        <v>#VALUE!</v>
      </c>
      <c r="D35" s="153">
        <f>[5]Expenses!E35-[5]Expenses!E31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B18" sqref="B18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0.28515625" customWidth="1"/>
    <col min="11" max="13" width="8.7109375" customWidth="1"/>
    <col min="14" max="16" width="14.85546875" customWidth="1"/>
  </cols>
  <sheetData>
    <row r="1" spans="1:16" hidden="1">
      <c r="A1" s="10" t="s">
        <v>42</v>
      </c>
    </row>
    <row r="2" spans="1:16" ht="15.75">
      <c r="A2" s="10" t="s">
        <v>29</v>
      </c>
      <c r="B2" s="347" t="s">
        <v>68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16" ht="15">
      <c r="A3" s="10" t="s">
        <v>30</v>
      </c>
      <c r="B3" s="348" t="s">
        <v>106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16">
      <c r="A4" s="11">
        <v>36861</v>
      </c>
      <c r="B4" s="349" t="str">
        <f>'Mgmt Summary'!A3</f>
        <v>Results based on activity through November 16, 2001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44" t="s">
        <v>31</v>
      </c>
      <c r="E7" s="345"/>
      <c r="F7" s="345"/>
      <c r="G7" s="345"/>
      <c r="H7" s="345"/>
      <c r="I7" s="346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53" t="s">
        <v>32</v>
      </c>
      <c r="H8" s="354"/>
      <c r="I8" s="355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104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116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108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62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305" t="s">
        <v>123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105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85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87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117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118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103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90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67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88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61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YTD</vt:lpstr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YTD!nr_Mgmt_Summary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YTD!Print_Area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2001-11-19T13:38:21Z</cp:lastPrinted>
  <dcterms:created xsi:type="dcterms:W3CDTF">1999-10-18T12:36:30Z</dcterms:created>
  <dcterms:modified xsi:type="dcterms:W3CDTF">2023-09-10T15:06:05Z</dcterms:modified>
</cp:coreProperties>
</file>