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ml.chartshapes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drawings/drawing20.xml" ContentType="application/vnd.openxmlformats-officedocument.drawingml.chartshape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6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7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32D8B4-8EDA-42A6-8B0A-2DFABF522858}" xr6:coauthVersionLast="47" xr6:coauthVersionMax="47" xr10:uidLastSave="{00000000-0000-0000-0000-000000000000}"/>
  <bookViews>
    <workbookView xWindow="-120" yWindow="-120" windowWidth="38640" windowHeight="15720" tabRatio="929" firstSheet="4" activeTab="4"/>
  </bookViews>
  <sheets>
    <sheet name="IS Input" sheetId="1" state="hidden" r:id="rId1"/>
    <sheet name="volumes Input" sheetId="2" state="hidden" r:id="rId2"/>
    <sheet name="Funds Flow-Cap Employed" sheetId="3" state="hidden" r:id="rId3"/>
    <sheet name="Cash Flow by Team" sheetId="4" state="hidden" r:id="rId4"/>
    <sheet name="EGM Summary" sheetId="5" r:id="rId5"/>
    <sheet name="EGM Summary (2)" sheetId="6" r:id="rId6"/>
    <sheet name="Crude &amp; Products" sheetId="7" r:id="rId7"/>
    <sheet name="Crude &amp; Products volumes " sheetId="8" r:id="rId8"/>
    <sheet name="Coal" sheetId="9" r:id="rId9"/>
    <sheet name="Emissions" sheetId="10" state="hidden" r:id="rId10"/>
    <sheet name="Coal volumes" sheetId="11" r:id="rId11"/>
    <sheet name="Weather" sheetId="12" r:id="rId12"/>
    <sheet name="Weather volumes" sheetId="13" r:id="rId13"/>
    <sheet name="Insurance Risk Mkts" sheetId="14" r:id="rId14"/>
    <sheet name="Financial Trading" sheetId="15" r:id="rId15"/>
    <sheet name="PR" sheetId="16" state="hidden" r:id="rId16"/>
    <sheet name="Freight" sheetId="17" r:id="rId17"/>
    <sheet name="Freight volumes" sheetId="18" r:id="rId18"/>
    <sheet name="LNG" sheetId="19" r:id="rId19"/>
    <sheet name="Japan" sheetId="20" r:id="rId20"/>
    <sheet name="Middle East" sheetId="21" state="hidden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xlnm.Print_Area" localSheetId="3">'Cash Flow by Team'!$A$1:$P$104</definedName>
    <definedName name="_xlnm.Print_Area" localSheetId="8">Coal!$A$1:$O$43</definedName>
    <definedName name="_xlnm.Print_Area" localSheetId="10">'Coal volumes'!$A$1:$O$42</definedName>
    <definedName name="_xlnm.Print_Area" localSheetId="6">'Crude &amp; Products'!$A$1:$O$43</definedName>
    <definedName name="_xlnm.Print_Area" localSheetId="7">'Crude &amp; Products volumes '!$A$1:$O$43</definedName>
    <definedName name="_xlnm.Print_Area" localSheetId="4">'EGM Summary'!$A$1:$O$42</definedName>
    <definedName name="_xlnm.Print_Area" localSheetId="5">'EGM Summary (2)'!$A$1:$O$42</definedName>
    <definedName name="_xlnm.Print_Area" localSheetId="14">'Financial Trading'!$A$1:$O$43</definedName>
    <definedName name="_xlnm.Print_Area" localSheetId="16">Freight!$A$1:$O$43</definedName>
    <definedName name="_xlnm.Print_Area" localSheetId="17">'Freight volumes'!$A$1:$O$43</definedName>
    <definedName name="_xlnm.Print_Area" localSheetId="2">'Funds Flow-Cap Employed'!$A$1:$P$65</definedName>
    <definedName name="_xlnm.Print_Area" localSheetId="13">'Insurance Risk Mkts'!$A$1:$O$43</definedName>
    <definedName name="_xlnm.Print_Area" localSheetId="0">'IS Input'!$AK$16:$AV$31</definedName>
    <definedName name="_xlnm.Print_Area" localSheetId="19">Japan!$A$1:$O$44</definedName>
    <definedName name="_xlnm.Print_Area" localSheetId="18">LNG!$A$1:$O$43</definedName>
    <definedName name="_xlnm.Print_Area" localSheetId="1">'volumes Input'!$AK$9:$AX$15</definedName>
    <definedName name="_xlnm.Print_Area" localSheetId="11">Weather!$A$1:$O$43</definedName>
    <definedName name="_xlnm.Print_Area" localSheetId="12">'Weather volumes'!$A$1:$O$42</definedName>
    <definedName name="_xlnm.Print_Titles" localSheetId="1">'volumes Input'!$A:$A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4" l="1"/>
  <c r="J2" i="4"/>
  <c r="J3" i="4"/>
  <c r="D10" i="4"/>
  <c r="E10" i="4"/>
  <c r="F10" i="4"/>
  <c r="G10" i="4"/>
  <c r="H10" i="4"/>
  <c r="I10" i="4"/>
  <c r="J10" i="4"/>
  <c r="K10" i="4"/>
  <c r="L10" i="4"/>
  <c r="D14" i="4"/>
  <c r="E14" i="4"/>
  <c r="F14" i="4"/>
  <c r="G14" i="4"/>
  <c r="H14" i="4"/>
  <c r="I14" i="4"/>
  <c r="J14" i="4"/>
  <c r="K14" i="4"/>
  <c r="L14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2" i="4"/>
  <c r="E22" i="4"/>
  <c r="F22" i="4"/>
  <c r="G22" i="4"/>
  <c r="H22" i="4"/>
  <c r="I22" i="4"/>
  <c r="J22" i="4"/>
  <c r="K22" i="4"/>
  <c r="L22" i="4"/>
  <c r="M22" i="4"/>
  <c r="N22" i="4"/>
  <c r="O22" i="4"/>
  <c r="D23" i="4"/>
  <c r="E23" i="4"/>
  <c r="F23" i="4"/>
  <c r="G23" i="4"/>
  <c r="H23" i="4"/>
  <c r="I23" i="4"/>
  <c r="J23" i="4"/>
  <c r="K23" i="4"/>
  <c r="L23" i="4"/>
  <c r="M23" i="4"/>
  <c r="N23" i="4"/>
  <c r="O23" i="4"/>
  <c r="D28" i="4"/>
  <c r="E28" i="4"/>
  <c r="F28" i="4"/>
  <c r="G28" i="4"/>
  <c r="H28" i="4"/>
  <c r="I28" i="4"/>
  <c r="J28" i="4"/>
  <c r="K28" i="4"/>
  <c r="L28" i="4"/>
  <c r="D32" i="4"/>
  <c r="E32" i="4"/>
  <c r="F32" i="4"/>
  <c r="G32" i="4"/>
  <c r="H32" i="4"/>
  <c r="I32" i="4"/>
  <c r="J32" i="4"/>
  <c r="K32" i="4"/>
  <c r="L32" i="4"/>
  <c r="D37" i="4"/>
  <c r="E37" i="4"/>
  <c r="F37" i="4"/>
  <c r="G37" i="4"/>
  <c r="H37" i="4"/>
  <c r="I37" i="4"/>
  <c r="J37" i="4"/>
  <c r="K37" i="4"/>
  <c r="L37" i="4"/>
  <c r="D41" i="4"/>
  <c r="E41" i="4"/>
  <c r="F41" i="4"/>
  <c r="G41" i="4"/>
  <c r="H41" i="4"/>
  <c r="I41" i="4"/>
  <c r="J41" i="4"/>
  <c r="K41" i="4"/>
  <c r="L41" i="4"/>
  <c r="D46" i="4"/>
  <c r="E46" i="4"/>
  <c r="F46" i="4"/>
  <c r="G46" i="4"/>
  <c r="H46" i="4"/>
  <c r="I46" i="4"/>
  <c r="J46" i="4"/>
  <c r="K46" i="4"/>
  <c r="L46" i="4"/>
  <c r="D50" i="4"/>
  <c r="E50" i="4"/>
  <c r="F50" i="4"/>
  <c r="G50" i="4"/>
  <c r="H50" i="4"/>
  <c r="I50" i="4"/>
  <c r="J50" i="4"/>
  <c r="K50" i="4"/>
  <c r="L50" i="4"/>
  <c r="D55" i="4"/>
  <c r="E55" i="4"/>
  <c r="F55" i="4"/>
  <c r="G55" i="4"/>
  <c r="H55" i="4"/>
  <c r="I55" i="4"/>
  <c r="J55" i="4"/>
  <c r="K55" i="4"/>
  <c r="L55" i="4"/>
  <c r="D59" i="4"/>
  <c r="E59" i="4"/>
  <c r="F59" i="4"/>
  <c r="G59" i="4"/>
  <c r="H59" i="4"/>
  <c r="I59" i="4"/>
  <c r="J59" i="4"/>
  <c r="K59" i="4"/>
  <c r="L59" i="4"/>
  <c r="D64" i="4"/>
  <c r="E64" i="4"/>
  <c r="F64" i="4"/>
  <c r="G64" i="4"/>
  <c r="H64" i="4"/>
  <c r="I64" i="4"/>
  <c r="J64" i="4"/>
  <c r="K64" i="4"/>
  <c r="L64" i="4"/>
  <c r="D68" i="4"/>
  <c r="E68" i="4"/>
  <c r="F68" i="4"/>
  <c r="G68" i="4"/>
  <c r="H68" i="4"/>
  <c r="I68" i="4"/>
  <c r="J68" i="4"/>
  <c r="K68" i="4"/>
  <c r="L68" i="4"/>
  <c r="D73" i="4"/>
  <c r="E73" i="4"/>
  <c r="F73" i="4"/>
  <c r="G73" i="4"/>
  <c r="H73" i="4"/>
  <c r="I73" i="4"/>
  <c r="J73" i="4"/>
  <c r="K73" i="4"/>
  <c r="L73" i="4"/>
  <c r="D77" i="4"/>
  <c r="E77" i="4"/>
  <c r="F77" i="4"/>
  <c r="G77" i="4"/>
  <c r="H77" i="4"/>
  <c r="I77" i="4"/>
  <c r="J77" i="4"/>
  <c r="K77" i="4"/>
  <c r="L77" i="4"/>
  <c r="D82" i="4"/>
  <c r="E82" i="4"/>
  <c r="F82" i="4"/>
  <c r="G82" i="4"/>
  <c r="H82" i="4"/>
  <c r="I82" i="4"/>
  <c r="J82" i="4"/>
  <c r="K82" i="4"/>
  <c r="L82" i="4"/>
  <c r="D86" i="4"/>
  <c r="E86" i="4"/>
  <c r="F86" i="4"/>
  <c r="G86" i="4"/>
  <c r="H86" i="4"/>
  <c r="I86" i="4"/>
  <c r="J86" i="4"/>
  <c r="K86" i="4"/>
  <c r="L86" i="4"/>
  <c r="D91" i="4"/>
  <c r="E91" i="4"/>
  <c r="F91" i="4"/>
  <c r="G91" i="4"/>
  <c r="H91" i="4"/>
  <c r="I91" i="4"/>
  <c r="J91" i="4"/>
  <c r="K91" i="4"/>
  <c r="L91" i="4"/>
  <c r="D95" i="4"/>
  <c r="E95" i="4"/>
  <c r="F95" i="4"/>
  <c r="G95" i="4"/>
  <c r="H95" i="4"/>
  <c r="I95" i="4"/>
  <c r="J95" i="4"/>
  <c r="K95" i="4"/>
  <c r="L95" i="4"/>
  <c r="J100" i="4"/>
  <c r="K100" i="4"/>
  <c r="L100" i="4"/>
  <c r="J104" i="4"/>
  <c r="K104" i="4"/>
  <c r="L104" i="4"/>
  <c r="J1" i="3"/>
  <c r="J2" i="3"/>
  <c r="J3" i="3"/>
  <c r="E10" i="3"/>
  <c r="G10" i="3"/>
  <c r="K10" i="3"/>
  <c r="L10" i="3"/>
  <c r="D11" i="3"/>
  <c r="E11" i="3"/>
  <c r="F11" i="3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L21" i="3"/>
  <c r="D22" i="3"/>
  <c r="E22" i="3"/>
  <c r="F22" i="3"/>
  <c r="F23" i="3"/>
  <c r="L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L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40" i="3"/>
  <c r="E40" i="3"/>
  <c r="F40" i="3"/>
  <c r="D41" i="3"/>
  <c r="E41" i="3"/>
  <c r="F41" i="3"/>
  <c r="G41" i="3"/>
  <c r="H41" i="3"/>
  <c r="I41" i="3"/>
  <c r="J41" i="3"/>
  <c r="K41" i="3"/>
  <c r="L41" i="3"/>
  <c r="M41" i="3"/>
  <c r="N41" i="3"/>
  <c r="O41" i="3"/>
  <c r="D43" i="3"/>
  <c r="E43" i="3"/>
  <c r="F43" i="3"/>
  <c r="G43" i="3"/>
  <c r="H43" i="3"/>
  <c r="I43" i="3"/>
  <c r="J43" i="3"/>
  <c r="K43" i="3"/>
  <c r="L43" i="3"/>
  <c r="M43" i="3"/>
  <c r="N43" i="3"/>
  <c r="O43" i="3"/>
  <c r="B3" i="1"/>
  <c r="C3" i="1"/>
  <c r="D3" i="1"/>
  <c r="E3" i="1"/>
  <c r="F3" i="1"/>
  <c r="G3" i="1"/>
  <c r="I3" i="1"/>
  <c r="J3" i="1"/>
  <c r="K3" i="1"/>
  <c r="L3" i="1"/>
  <c r="M3" i="1"/>
  <c r="N3" i="1"/>
  <c r="P3" i="1"/>
  <c r="Q3" i="1"/>
  <c r="R3" i="1"/>
  <c r="S3" i="1"/>
  <c r="T3" i="1"/>
  <c r="U3" i="1"/>
  <c r="W3" i="1"/>
  <c r="X3" i="1"/>
  <c r="Y3" i="1"/>
  <c r="Z3" i="1"/>
  <c r="AA3" i="1"/>
  <c r="AB3" i="1"/>
  <c r="AD3" i="1"/>
  <c r="AE3" i="1"/>
  <c r="AF3" i="1"/>
  <c r="AG3" i="1"/>
  <c r="AH3" i="1"/>
  <c r="AI3" i="1"/>
  <c r="B4" i="1"/>
  <c r="C4" i="1"/>
  <c r="D4" i="1"/>
  <c r="E4" i="1"/>
  <c r="F4" i="1"/>
  <c r="G4" i="1"/>
  <c r="I4" i="1"/>
  <c r="J4" i="1"/>
  <c r="K4" i="1"/>
  <c r="L4" i="1"/>
  <c r="M4" i="1"/>
  <c r="N4" i="1"/>
  <c r="P4" i="1"/>
  <c r="Q4" i="1"/>
  <c r="R4" i="1"/>
  <c r="S4" i="1"/>
  <c r="T4" i="1"/>
  <c r="U4" i="1"/>
  <c r="W4" i="1"/>
  <c r="X4" i="1"/>
  <c r="Y4" i="1"/>
  <c r="Z4" i="1"/>
  <c r="AA4" i="1"/>
  <c r="AB4" i="1"/>
  <c r="AD4" i="1"/>
  <c r="AE4" i="1"/>
  <c r="AF4" i="1"/>
  <c r="AG4" i="1"/>
  <c r="AH4" i="1"/>
  <c r="AI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G4" i="1"/>
  <c r="BI4" i="1"/>
  <c r="B5" i="1"/>
  <c r="C5" i="1"/>
  <c r="D5" i="1"/>
  <c r="E5" i="1"/>
  <c r="F5" i="1"/>
  <c r="G5" i="1"/>
  <c r="I5" i="1"/>
  <c r="J5" i="1"/>
  <c r="K5" i="1"/>
  <c r="L5" i="1"/>
  <c r="M5" i="1"/>
  <c r="N5" i="1"/>
  <c r="P5" i="1"/>
  <c r="Q5" i="1"/>
  <c r="R5" i="1"/>
  <c r="S5" i="1"/>
  <c r="T5" i="1"/>
  <c r="U5" i="1"/>
  <c r="W5" i="1"/>
  <c r="X5" i="1"/>
  <c r="Y5" i="1"/>
  <c r="Z5" i="1"/>
  <c r="AA5" i="1"/>
  <c r="AB5" i="1"/>
  <c r="AD5" i="1"/>
  <c r="AE5" i="1"/>
  <c r="AF5" i="1"/>
  <c r="AG5" i="1"/>
  <c r="AH5" i="1"/>
  <c r="AI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G5" i="1"/>
  <c r="BI5" i="1"/>
  <c r="B6" i="1"/>
  <c r="C6" i="1"/>
  <c r="D6" i="1"/>
  <c r="E6" i="1"/>
  <c r="F6" i="1"/>
  <c r="G6" i="1"/>
  <c r="I6" i="1"/>
  <c r="J6" i="1"/>
  <c r="K6" i="1"/>
  <c r="L6" i="1"/>
  <c r="M6" i="1"/>
  <c r="N6" i="1"/>
  <c r="P6" i="1"/>
  <c r="Q6" i="1"/>
  <c r="R6" i="1"/>
  <c r="S6" i="1"/>
  <c r="T6" i="1"/>
  <c r="U6" i="1"/>
  <c r="W6" i="1"/>
  <c r="X6" i="1"/>
  <c r="Y6" i="1"/>
  <c r="Z6" i="1"/>
  <c r="AA6" i="1"/>
  <c r="AB6" i="1"/>
  <c r="AD6" i="1"/>
  <c r="AE6" i="1"/>
  <c r="AF6" i="1"/>
  <c r="AG6" i="1"/>
  <c r="AH6" i="1"/>
  <c r="AI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G6" i="1"/>
  <c r="BI6" i="1"/>
  <c r="B7" i="1"/>
  <c r="C7" i="1"/>
  <c r="D7" i="1"/>
  <c r="E7" i="1"/>
  <c r="F7" i="1"/>
  <c r="G7" i="1"/>
  <c r="I7" i="1"/>
  <c r="J7" i="1"/>
  <c r="K7" i="1"/>
  <c r="L7" i="1"/>
  <c r="M7" i="1"/>
  <c r="N7" i="1"/>
  <c r="P7" i="1"/>
  <c r="Q7" i="1"/>
  <c r="R7" i="1"/>
  <c r="S7" i="1"/>
  <c r="T7" i="1"/>
  <c r="U7" i="1"/>
  <c r="W7" i="1"/>
  <c r="X7" i="1"/>
  <c r="Y7" i="1"/>
  <c r="Z7" i="1"/>
  <c r="AA7" i="1"/>
  <c r="AB7" i="1"/>
  <c r="AD7" i="1"/>
  <c r="AE7" i="1"/>
  <c r="AF7" i="1"/>
  <c r="AG7" i="1"/>
  <c r="AH7" i="1"/>
  <c r="AI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G7" i="1"/>
  <c r="BI7" i="1"/>
  <c r="B8" i="1"/>
  <c r="C8" i="1"/>
  <c r="D8" i="1"/>
  <c r="E8" i="1"/>
  <c r="F8" i="1"/>
  <c r="G8" i="1"/>
  <c r="I8" i="1"/>
  <c r="J8" i="1"/>
  <c r="K8" i="1"/>
  <c r="L8" i="1"/>
  <c r="M8" i="1"/>
  <c r="N8" i="1"/>
  <c r="P8" i="1"/>
  <c r="Q8" i="1"/>
  <c r="R8" i="1"/>
  <c r="S8" i="1"/>
  <c r="T8" i="1"/>
  <c r="U8" i="1"/>
  <c r="W8" i="1"/>
  <c r="X8" i="1"/>
  <c r="Y8" i="1"/>
  <c r="Z8" i="1"/>
  <c r="AA8" i="1"/>
  <c r="AB8" i="1"/>
  <c r="AD8" i="1"/>
  <c r="AE8" i="1"/>
  <c r="AF8" i="1"/>
  <c r="AG8" i="1"/>
  <c r="AH8" i="1"/>
  <c r="AI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G8" i="1"/>
  <c r="BI8" i="1"/>
  <c r="B9" i="1"/>
  <c r="C9" i="1"/>
  <c r="D9" i="1"/>
  <c r="E9" i="1"/>
  <c r="F9" i="1"/>
  <c r="G9" i="1"/>
  <c r="I9" i="1"/>
  <c r="J9" i="1"/>
  <c r="K9" i="1"/>
  <c r="L9" i="1"/>
  <c r="M9" i="1"/>
  <c r="N9" i="1"/>
  <c r="P9" i="1"/>
  <c r="Q9" i="1"/>
  <c r="R9" i="1"/>
  <c r="S9" i="1"/>
  <c r="T9" i="1"/>
  <c r="U9" i="1"/>
  <c r="W9" i="1"/>
  <c r="X9" i="1"/>
  <c r="Y9" i="1"/>
  <c r="Z9" i="1"/>
  <c r="AA9" i="1"/>
  <c r="AB9" i="1"/>
  <c r="AD9" i="1"/>
  <c r="AE9" i="1"/>
  <c r="AF9" i="1"/>
  <c r="AG9" i="1"/>
  <c r="AH9" i="1"/>
  <c r="AI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G9" i="1"/>
  <c r="BI9" i="1"/>
  <c r="P10" i="1"/>
  <c r="Q10" i="1"/>
  <c r="R10" i="1"/>
  <c r="S10" i="1"/>
  <c r="T10" i="1"/>
  <c r="U10" i="1"/>
  <c r="W10" i="1"/>
  <c r="X10" i="1"/>
  <c r="Y10" i="1"/>
  <c r="Z10" i="1"/>
  <c r="AA10" i="1"/>
  <c r="AB10" i="1"/>
  <c r="AD10" i="1"/>
  <c r="AE10" i="1"/>
  <c r="AF10" i="1"/>
  <c r="AG10" i="1"/>
  <c r="AH10" i="1"/>
  <c r="AI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G10" i="1"/>
  <c r="BI10" i="1"/>
  <c r="B11" i="1"/>
  <c r="C11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T11" i="1"/>
  <c r="U11" i="1"/>
  <c r="W11" i="1"/>
  <c r="X11" i="1"/>
  <c r="Y11" i="1"/>
  <c r="Z11" i="1"/>
  <c r="AA11" i="1"/>
  <c r="AB11" i="1"/>
  <c r="AD11" i="1"/>
  <c r="AE11" i="1"/>
  <c r="AF11" i="1"/>
  <c r="AG11" i="1"/>
  <c r="AH11" i="1"/>
  <c r="AI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G11" i="1"/>
  <c r="BI11" i="1"/>
  <c r="B12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G12" i="1"/>
  <c r="BI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G13" i="1"/>
  <c r="BI13" i="1"/>
  <c r="B16" i="1"/>
  <c r="C16" i="1"/>
  <c r="D16" i="1"/>
  <c r="E16" i="1"/>
  <c r="F16" i="1"/>
  <c r="G16" i="1"/>
  <c r="I16" i="1"/>
  <c r="J16" i="1"/>
  <c r="K16" i="1"/>
  <c r="L16" i="1"/>
  <c r="M16" i="1"/>
  <c r="N16" i="1"/>
  <c r="P16" i="1"/>
  <c r="Q16" i="1"/>
  <c r="R16" i="1"/>
  <c r="S16" i="1"/>
  <c r="T16" i="1"/>
  <c r="U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B17" i="1"/>
  <c r="C17" i="1"/>
  <c r="D17" i="1"/>
  <c r="E17" i="1"/>
  <c r="F17" i="1"/>
  <c r="G17" i="1"/>
  <c r="I17" i="1"/>
  <c r="J17" i="1"/>
  <c r="K17" i="1"/>
  <c r="L17" i="1"/>
  <c r="M17" i="1"/>
  <c r="N17" i="1"/>
  <c r="P17" i="1"/>
  <c r="Q17" i="1"/>
  <c r="R17" i="1"/>
  <c r="S17" i="1"/>
  <c r="T17" i="1"/>
  <c r="U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B18" i="1"/>
  <c r="C18" i="1"/>
  <c r="D18" i="1"/>
  <c r="E18" i="1"/>
  <c r="F18" i="1"/>
  <c r="G18" i="1"/>
  <c r="I18" i="1"/>
  <c r="J18" i="1"/>
  <c r="K18" i="1"/>
  <c r="L18" i="1"/>
  <c r="M18" i="1"/>
  <c r="N18" i="1"/>
  <c r="S18" i="1"/>
  <c r="T18" i="1"/>
  <c r="U18" i="1"/>
  <c r="Z18" i="1"/>
  <c r="AA18" i="1"/>
  <c r="AB18" i="1"/>
  <c r="AD18" i="1"/>
  <c r="AE18" i="1"/>
  <c r="AF18" i="1"/>
  <c r="AG18" i="1"/>
  <c r="AH18" i="1"/>
  <c r="AI18" i="1"/>
  <c r="B19" i="1"/>
  <c r="C19" i="1"/>
  <c r="D19" i="1"/>
  <c r="E19" i="1"/>
  <c r="F19" i="1"/>
  <c r="G19" i="1"/>
  <c r="I19" i="1"/>
  <c r="J19" i="1"/>
  <c r="K19" i="1"/>
  <c r="L19" i="1"/>
  <c r="M19" i="1"/>
  <c r="N19" i="1"/>
  <c r="P19" i="1"/>
  <c r="Q19" i="1"/>
  <c r="R19" i="1"/>
  <c r="S19" i="1"/>
  <c r="T19" i="1"/>
  <c r="U19" i="1"/>
  <c r="W19" i="1"/>
  <c r="X19" i="1"/>
  <c r="Y19" i="1"/>
  <c r="Z19" i="1"/>
  <c r="AA19" i="1"/>
  <c r="AB19" i="1"/>
  <c r="AD19" i="1"/>
  <c r="AE19" i="1"/>
  <c r="AF19" i="1"/>
  <c r="AG19" i="1"/>
  <c r="AH19" i="1"/>
  <c r="AI19" i="1"/>
  <c r="AX19" i="1"/>
  <c r="AZ19" i="1"/>
  <c r="BB19" i="1"/>
  <c r="BD19" i="1"/>
  <c r="B20" i="1"/>
  <c r="C20" i="1"/>
  <c r="D20" i="1"/>
  <c r="E20" i="1"/>
  <c r="F20" i="1"/>
  <c r="G20" i="1"/>
  <c r="I20" i="1"/>
  <c r="J20" i="1"/>
  <c r="K20" i="1"/>
  <c r="L20" i="1"/>
  <c r="M20" i="1"/>
  <c r="N20" i="1"/>
  <c r="P20" i="1"/>
  <c r="Q20" i="1"/>
  <c r="R20" i="1"/>
  <c r="S20" i="1"/>
  <c r="T20" i="1"/>
  <c r="U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X20" i="1"/>
  <c r="AZ20" i="1"/>
  <c r="BB20" i="1"/>
  <c r="BD20" i="1"/>
  <c r="B21" i="1"/>
  <c r="C21" i="1"/>
  <c r="D21" i="1"/>
  <c r="E21" i="1"/>
  <c r="F21" i="1"/>
  <c r="G21" i="1"/>
  <c r="I21" i="1"/>
  <c r="J21" i="1"/>
  <c r="K21" i="1"/>
  <c r="L21" i="1"/>
  <c r="M21" i="1"/>
  <c r="N21" i="1"/>
  <c r="P21" i="1"/>
  <c r="Q21" i="1"/>
  <c r="R21" i="1"/>
  <c r="S21" i="1"/>
  <c r="T21" i="1"/>
  <c r="U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X21" i="1"/>
  <c r="AZ21" i="1"/>
  <c r="BB21" i="1"/>
  <c r="BD21" i="1"/>
  <c r="B22" i="1"/>
  <c r="C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S22" i="1"/>
  <c r="T22" i="1"/>
  <c r="U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X22" i="1"/>
  <c r="AZ22" i="1"/>
  <c r="BB22" i="1"/>
  <c r="BD22" i="1"/>
  <c r="B23" i="1"/>
  <c r="C23" i="1"/>
  <c r="D23" i="1"/>
  <c r="E23" i="1"/>
  <c r="F23" i="1"/>
  <c r="G23" i="1"/>
  <c r="I23" i="1"/>
  <c r="J23" i="1"/>
  <c r="K23" i="1"/>
  <c r="L23" i="1"/>
  <c r="M23" i="1"/>
  <c r="N23" i="1"/>
  <c r="P23" i="1"/>
  <c r="Q23" i="1"/>
  <c r="R23" i="1"/>
  <c r="S23" i="1"/>
  <c r="T23" i="1"/>
  <c r="U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B24" i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Z24" i="1"/>
  <c r="AA24" i="1"/>
  <c r="AB24" i="1"/>
  <c r="AD24" i="1"/>
  <c r="AE24" i="1"/>
  <c r="AF24" i="1"/>
  <c r="AG24" i="1"/>
  <c r="AH24" i="1"/>
  <c r="AI24" i="1"/>
  <c r="P25" i="1"/>
  <c r="Q25" i="1"/>
  <c r="R25" i="1"/>
  <c r="S25" i="1"/>
  <c r="T25" i="1"/>
  <c r="U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B26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AX26" i="1"/>
  <c r="B27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X29" i="1"/>
  <c r="AZ29" i="1"/>
  <c r="BB29" i="1"/>
  <c r="BD29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D30" i="1"/>
  <c r="BE30" i="1"/>
  <c r="BG30" i="1"/>
  <c r="BI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G31" i="1"/>
  <c r="BI31" i="1"/>
  <c r="B35" i="1"/>
  <c r="C35" i="1"/>
  <c r="D35" i="1"/>
  <c r="E35" i="1"/>
  <c r="I35" i="1"/>
  <c r="J35" i="1"/>
  <c r="K35" i="1"/>
  <c r="L35" i="1"/>
  <c r="B36" i="1"/>
  <c r="C36" i="1"/>
  <c r="D36" i="1"/>
  <c r="E36" i="1"/>
  <c r="I36" i="1"/>
  <c r="J36" i="1"/>
  <c r="K36" i="1"/>
  <c r="L36" i="1"/>
  <c r="B37" i="1"/>
  <c r="C37" i="1"/>
  <c r="D37" i="1"/>
  <c r="E37" i="1"/>
  <c r="I37" i="1"/>
  <c r="J37" i="1"/>
  <c r="K37" i="1"/>
  <c r="L37" i="1"/>
  <c r="B38" i="1"/>
  <c r="C38" i="1"/>
  <c r="D38" i="1"/>
  <c r="E38" i="1"/>
  <c r="I38" i="1"/>
  <c r="J38" i="1"/>
  <c r="K38" i="1"/>
  <c r="L38" i="1"/>
  <c r="B39" i="1"/>
  <c r="C39" i="1"/>
  <c r="D39" i="1"/>
  <c r="E39" i="1"/>
  <c r="I39" i="1"/>
  <c r="J39" i="1"/>
  <c r="K39" i="1"/>
  <c r="L39" i="1"/>
  <c r="B40" i="1"/>
  <c r="C40" i="1"/>
  <c r="D40" i="1"/>
  <c r="E40" i="1"/>
  <c r="I40" i="1"/>
  <c r="J40" i="1"/>
  <c r="K40" i="1"/>
  <c r="L40" i="1"/>
  <c r="B41" i="1"/>
  <c r="C41" i="1"/>
  <c r="D41" i="1"/>
  <c r="E41" i="1"/>
  <c r="I41" i="1"/>
  <c r="J41" i="1"/>
  <c r="K41" i="1"/>
  <c r="L41" i="1"/>
  <c r="B42" i="1"/>
  <c r="C42" i="1"/>
  <c r="D42" i="1"/>
  <c r="E42" i="1"/>
  <c r="I42" i="1"/>
  <c r="J42" i="1"/>
  <c r="K42" i="1"/>
  <c r="L42" i="1"/>
  <c r="B43" i="1"/>
  <c r="C43" i="1"/>
  <c r="D43" i="1"/>
  <c r="E43" i="1"/>
  <c r="I43" i="1"/>
  <c r="J43" i="1"/>
  <c r="K43" i="1"/>
  <c r="L43" i="1"/>
  <c r="B44" i="1"/>
  <c r="C44" i="1"/>
  <c r="D44" i="1"/>
  <c r="E44" i="1"/>
  <c r="I44" i="1"/>
  <c r="J44" i="1"/>
  <c r="K44" i="1"/>
  <c r="L44" i="1"/>
  <c r="B47" i="1"/>
  <c r="C47" i="1"/>
  <c r="D47" i="1"/>
  <c r="E47" i="1"/>
  <c r="F47" i="1"/>
  <c r="I47" i="1"/>
  <c r="J47" i="1"/>
  <c r="K47" i="1"/>
  <c r="L47" i="1"/>
  <c r="M47" i="1"/>
  <c r="B53" i="1"/>
  <c r="C53" i="1"/>
  <c r="D53" i="1"/>
  <c r="E53" i="1"/>
  <c r="I53" i="1"/>
  <c r="J53" i="1"/>
  <c r="K53" i="1"/>
  <c r="L53" i="1"/>
  <c r="B54" i="1"/>
  <c r="C54" i="1"/>
  <c r="D54" i="1"/>
  <c r="E54" i="1"/>
  <c r="I54" i="1"/>
  <c r="J54" i="1"/>
  <c r="K54" i="1"/>
  <c r="L54" i="1"/>
  <c r="B55" i="1"/>
  <c r="C55" i="1"/>
  <c r="D55" i="1"/>
  <c r="E55" i="1"/>
  <c r="I55" i="1"/>
  <c r="J55" i="1"/>
  <c r="K55" i="1"/>
  <c r="L55" i="1"/>
  <c r="B56" i="1"/>
  <c r="C56" i="1"/>
  <c r="D56" i="1"/>
  <c r="E56" i="1"/>
  <c r="I56" i="1"/>
  <c r="J56" i="1"/>
  <c r="K56" i="1"/>
  <c r="L56" i="1"/>
  <c r="B57" i="1"/>
  <c r="C57" i="1"/>
  <c r="D57" i="1"/>
  <c r="E57" i="1"/>
  <c r="I57" i="1"/>
  <c r="J57" i="1"/>
  <c r="K57" i="1"/>
  <c r="L57" i="1"/>
  <c r="B58" i="1"/>
  <c r="C58" i="1"/>
  <c r="D58" i="1"/>
  <c r="E58" i="1"/>
  <c r="I58" i="1"/>
  <c r="J58" i="1"/>
  <c r="K58" i="1"/>
  <c r="L58" i="1"/>
  <c r="B59" i="1"/>
  <c r="C59" i="1"/>
  <c r="D59" i="1"/>
  <c r="E59" i="1"/>
  <c r="I59" i="1"/>
  <c r="J59" i="1"/>
  <c r="K59" i="1"/>
  <c r="L59" i="1"/>
  <c r="B60" i="1"/>
  <c r="C60" i="1"/>
  <c r="D60" i="1"/>
  <c r="E60" i="1"/>
  <c r="I60" i="1"/>
  <c r="J60" i="1"/>
  <c r="K60" i="1"/>
  <c r="L60" i="1"/>
  <c r="B61" i="1"/>
  <c r="C61" i="1"/>
  <c r="D61" i="1"/>
  <c r="E61" i="1"/>
  <c r="I61" i="1"/>
  <c r="J61" i="1"/>
  <c r="K61" i="1"/>
  <c r="L61" i="1"/>
  <c r="B62" i="1"/>
  <c r="C62" i="1"/>
  <c r="D62" i="1"/>
  <c r="E62" i="1"/>
  <c r="I62" i="1"/>
  <c r="J62" i="1"/>
  <c r="K62" i="1"/>
  <c r="L62" i="1"/>
  <c r="B66" i="1"/>
  <c r="C66" i="1"/>
  <c r="D66" i="1"/>
  <c r="E66" i="1"/>
  <c r="F66" i="1"/>
  <c r="I66" i="1"/>
  <c r="J66" i="1"/>
  <c r="K66" i="1"/>
  <c r="L66" i="1"/>
  <c r="M66" i="1"/>
  <c r="F71" i="1"/>
  <c r="B72" i="1"/>
  <c r="C72" i="1"/>
  <c r="D72" i="1"/>
  <c r="E72" i="1"/>
  <c r="F72" i="1"/>
  <c r="F73" i="1"/>
  <c r="F74" i="1"/>
  <c r="F75" i="1"/>
  <c r="F76" i="1"/>
  <c r="F77" i="1"/>
  <c r="E78" i="1"/>
  <c r="F78" i="1"/>
  <c r="F79" i="1"/>
  <c r="F80" i="1"/>
  <c r="F81" i="1"/>
  <c r="B82" i="1"/>
  <c r="C82" i="1"/>
  <c r="D82" i="1"/>
  <c r="E82" i="1"/>
  <c r="F82" i="1"/>
  <c r="F89" i="1"/>
  <c r="B90" i="1"/>
  <c r="C90" i="1"/>
  <c r="D90" i="1"/>
  <c r="E90" i="1"/>
  <c r="F90" i="1"/>
  <c r="F91" i="1"/>
  <c r="F92" i="1"/>
  <c r="F93" i="1"/>
  <c r="F94" i="1"/>
  <c r="F95" i="1"/>
  <c r="E96" i="1"/>
  <c r="F96" i="1"/>
  <c r="F97" i="1"/>
  <c r="F98" i="1"/>
  <c r="F99" i="1"/>
  <c r="B100" i="1"/>
  <c r="C100" i="1"/>
  <c r="D100" i="1"/>
  <c r="E100" i="1"/>
  <c r="F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/>
  <c r="B3" i="2"/>
  <c r="C3" i="2"/>
  <c r="D3" i="2"/>
  <c r="E3" i="2"/>
  <c r="G3" i="2"/>
  <c r="H3" i="2"/>
  <c r="I3" i="2"/>
  <c r="J3" i="2"/>
  <c r="L3" i="2"/>
  <c r="M3" i="2"/>
  <c r="N3" i="2"/>
  <c r="O3" i="2"/>
  <c r="Q3" i="2"/>
  <c r="R3" i="2"/>
  <c r="S3" i="2"/>
  <c r="T3" i="2"/>
  <c r="V3" i="2"/>
  <c r="W3" i="2"/>
  <c r="X3" i="2"/>
  <c r="Y3" i="2"/>
  <c r="B4" i="2"/>
  <c r="C4" i="2"/>
  <c r="D4" i="2"/>
  <c r="E4" i="2"/>
  <c r="G4" i="2"/>
  <c r="H4" i="2"/>
  <c r="I4" i="2"/>
  <c r="J4" i="2"/>
  <c r="L4" i="2"/>
  <c r="M4" i="2"/>
  <c r="N4" i="2"/>
  <c r="O4" i="2"/>
  <c r="Q4" i="2"/>
  <c r="R4" i="2"/>
  <c r="S4" i="2"/>
  <c r="T4" i="2"/>
  <c r="V4" i="2"/>
  <c r="W4" i="2"/>
  <c r="X4" i="2"/>
  <c r="Y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S5" i="2"/>
  <c r="T5" i="2"/>
  <c r="V5" i="2"/>
  <c r="W5" i="2"/>
  <c r="X5" i="2"/>
  <c r="Y5" i="2"/>
  <c r="B6" i="2"/>
  <c r="C6" i="2"/>
  <c r="D6" i="2"/>
  <c r="E6" i="2"/>
  <c r="G6" i="2"/>
  <c r="H6" i="2"/>
  <c r="I6" i="2"/>
  <c r="J6" i="2"/>
  <c r="L6" i="2"/>
  <c r="M6" i="2"/>
  <c r="N6" i="2"/>
  <c r="O6" i="2"/>
  <c r="Q6" i="2"/>
  <c r="R6" i="2"/>
  <c r="S6" i="2"/>
  <c r="T6" i="2"/>
  <c r="V6" i="2"/>
  <c r="W6" i="2"/>
  <c r="X6" i="2"/>
  <c r="Y6" i="2"/>
  <c r="B7" i="2"/>
  <c r="C7" i="2"/>
  <c r="D7" i="2"/>
  <c r="E7" i="2"/>
  <c r="G7" i="2"/>
  <c r="H7" i="2"/>
  <c r="I7" i="2"/>
  <c r="J7" i="2"/>
  <c r="L7" i="2"/>
  <c r="M7" i="2"/>
  <c r="N7" i="2"/>
  <c r="O7" i="2"/>
  <c r="Q7" i="2"/>
  <c r="R7" i="2"/>
  <c r="S7" i="2"/>
  <c r="T7" i="2"/>
  <c r="V7" i="2"/>
  <c r="W7" i="2"/>
  <c r="X7" i="2"/>
  <c r="Y7" i="2"/>
  <c r="AG11" i="2"/>
  <c r="AL11" i="2"/>
  <c r="AQ11" i="2"/>
  <c r="AC12" i="2"/>
  <c r="AH12" i="2"/>
  <c r="AM12" i="2"/>
  <c r="AR12" i="2"/>
</calcChain>
</file>

<file path=xl/comments1.xml><?xml version="1.0" encoding="utf-8"?>
<comments xmlns="http://schemas.openxmlformats.org/spreadsheetml/2006/main">
  <authors>
    <author>Sayed Khoja</author>
    <author>agreen3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P1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total (51.1) - show (45) on Crude</t>
        </r>
      </text>
    </comment>
    <comment ref="P26" authorId="1" shapeId="0">
      <text>
        <r>
          <rPr>
            <b/>
            <sz val="8"/>
            <color indexed="81"/>
            <rFont val="Tahoma"/>
          </rPr>
          <t>agreen3:</t>
        </r>
        <r>
          <rPr>
            <sz val="8"/>
            <color indexed="81"/>
            <rFont val="Tahoma"/>
          </rPr>
          <t xml:space="preserve">
credit reserve of (51.1) - show (45) on Crude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<sst xmlns="http://schemas.openxmlformats.org/spreadsheetml/2006/main" count="896" uniqueCount="110">
  <si>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</si>
  <si>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</si>
  <si>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</si>
  <si>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</si>
  <si>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</si>
  <si>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</si>
  <si>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</si>
  <si>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</si>
  <si>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</si>
  <si>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</si>
  <si>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</si>
  <si>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</si>
  <si>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</si>
  <si>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</si>
  <si>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</si>
  <si>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</si>
  <si>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</si>
  <si>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</si>
  <si>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</si>
  <si>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</si>
  <si>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</si>
  <si>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</si>
  <si>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</si>
  <si>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</si>
  <si>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</si>
  <si>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</si>
  <si>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</si>
  <si>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</si>
  <si>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</si>
  <si>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</si>
  <si>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</si>
  <si>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</si>
  <si>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</si>
  <si>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</si>
  <si>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</si>
  <si>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</si>
  <si>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</si>
  <si>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</si>
  <si>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</si>
  <si>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</si>
  <si>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</si>
  <si>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</si>
  <si>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</si>
  <si>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</si>
  <si>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</si>
  <si>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</si>
  <si>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</si>
  <si>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</si>
  <si>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</si>
  <si>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</si>
  <si>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</si>
  <si>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</si>
  <si>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</si>
  <si>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</si>
  <si>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</si>
  <si>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</si>
  <si>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</si>
  <si>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</si>
  <si>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</si>
  <si>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</si>
  <si>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</si>
  <si>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</si>
  <si>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</si>
  <si>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</si>
  <si>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</si>
  <si>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</si>
  <si>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</si>
  <si>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</si>
  <si>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</si>
  <si>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</si>
  <si>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</si>
  <si>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</si>
  <si>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</si>
  <si>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</si>
  <si>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</si>
  <si>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</si>
  <si>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</si>
  <si>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</si>
  <si>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</si>
  <si>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</si>
  <si>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</si>
  <si>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</si>
  <si>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</si>
  <si>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</si>
  <si>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</si>
  <si>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</si>
  <si>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</si>
  <si>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</si>
  <si>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</si>
  <si>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</si>
  <si>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</si>
  <si>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</si>
  <si>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</si>
  <si>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</si>
  <si>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</si>
  <si>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</si>
  <si>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</si>
  <si>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</si>
  <si>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</si>
  <si>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</si>
  <si>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</si>
  <si>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</si>
  <si>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</si>
  <si>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Coal / Vessel</t>
  </si>
  <si>
    <t>Insurance Risk Markets</t>
  </si>
  <si>
    <t>Net Cash Flow</t>
  </si>
  <si>
    <t>Coal Domestic</t>
  </si>
  <si>
    <t>Coal Int'l (includes Vessel)</t>
  </si>
  <si>
    <t>Sum of Coal &amp; Emissions</t>
  </si>
  <si>
    <t>as of November 16,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</si>
</sst>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  <xf numFmtId="164" fontId="3" fillId="2" borderId="6" xfId="1" applyNumberFormat="1" applyFont="1" applyFill="1" applyBorder="1"/>
    <xf numFmtId="164" fontId="4" fillId="2" borderId="9" xfId="1" applyNumberFormat="1" applyFont="1" applyFill="1" applyBorder="1"/>
    <xf numFmtId="164" fontId="4" fillId="2" borderId="10" xfId="1" applyNumberFormat="1" applyFont="1" applyFill="1" applyBorder="1"/>
    <xf numFmtId="0" fontId="7" fillId="0" borderId="0" xfId="0" applyFont="1" applyBorder="1" applyAlignment="1">
      <alignment horizontal="center"/>
    </xf>
    <xf numFmtId="10" fontId="0" fillId="0" borderId="26" xfId="3" applyNumberFormat="1" applyFont="1" applyBorder="1"/>
    <xf numFmtId="0" fontId="21" fillId="0" borderId="4" xfId="2" quotePrefix="1" applyFont="1" applyBorder="1" applyAlignment="1">
      <alignment horizontal="left"/>
    </xf>
    <xf numFmtId="0" fontId="21" fillId="0" borderId="17" xfId="2" applyFont="1" applyBorder="1"/>
    <xf numFmtId="164" fontId="1" fillId="0" borderId="0" xfId="1" applyNumberFormat="1" applyBorder="1"/>
    <xf numFmtId="164" fontId="1" fillId="0" borderId="18" xfId="1" applyNumberFormat="1" applyBorder="1"/>
    <xf numFmtId="0" fontId="20" fillId="0" borderId="0" xfId="2" applyFill="1"/>
    <xf numFmtId="0" fontId="20" fillId="0" borderId="17" xfId="2" applyFill="1" applyBorder="1"/>
    <xf numFmtId="0" fontId="25" fillId="0" borderId="0" xfId="2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1" fillId="0" borderId="4" xfId="2" applyFont="1" applyBorder="1" applyAlignment="1">
      <alignment horizontal="left"/>
    </xf>
    <xf numFmtId="164" fontId="1" fillId="0" borderId="0" xfId="1" applyNumberFormat="1" applyFill="1" applyBorder="1"/>
    <xf numFmtId="0" fontId="0" fillId="0" borderId="0" xfId="0" applyFill="1" applyBorder="1"/>
    <xf numFmtId="10" fontId="1" fillId="0" borderId="0" xfId="3" applyNumberFormat="1" applyFill="1" applyBorder="1"/>
    <xf numFmtId="10" fontId="1" fillId="0" borderId="18" xfId="3" applyNumberFormat="1" applyFill="1" applyBorder="1"/>
    <xf numFmtId="0" fontId="23" fillId="0" borderId="13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0" fillId="0" borderId="16" xfId="2" applyBorder="1"/>
    <xf numFmtId="0" fontId="21" fillId="0" borderId="17" xfId="2" applyFont="1" applyFill="1" applyBorder="1"/>
    <xf numFmtId="0" fontId="20" fillId="0" borderId="5" xfId="2" applyFill="1" applyBorder="1"/>
    <xf numFmtId="0" fontId="25" fillId="0" borderId="15" xfId="2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18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3027742524552036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549668874172186"/>
          <c:w val="0.85927594790689543"/>
          <c:h val="0.5231788079470198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006410129608095"/>
                  <c:y val="0.5331125827814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EC-47DB-870F-0228364A080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8344370860927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EC-47DB-870F-0228364A080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277217023022118"/>
                  <c:y val="0.54635761589403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EC-47DB-870F-0228364A080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445670065204874"/>
                  <c:y val="0.53973509933774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EC-47DB-870F-0228364A080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695144563674962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EC-47DB-870F-0228364A080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6290037282238303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EC-47DB-870F-0228364A080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392391133469584"/>
                  <c:y val="0.53973509933774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EC-47DB-870F-0228364A080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134404499271743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EC-47DB-870F-0228364A080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810318674122417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EC-47DB-870F-0228364A080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273013010782797"/>
                  <c:y val="0.417218543046357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EC-47DB-870F-0228364A080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Input'!$E$35:$E$44</c:f>
              <c:numCache>
                <c:formatCode>_(* #,##0.0_);_(* \(#,##0.0\);_(* "-"??_);_(@_)</c:formatCode>
                <c:ptCount val="10"/>
                <c:pt idx="0">
                  <c:v>31.673782000000003</c:v>
                </c:pt>
                <c:pt idx="1">
                  <c:v>80.135158849999996</c:v>
                </c:pt>
                <c:pt idx="2">
                  <c:v>21.617000000000001</c:v>
                </c:pt>
                <c:pt idx="3">
                  <c:v>6.0778972799999993</c:v>
                </c:pt>
                <c:pt idx="4">
                  <c:v>38.015206999999997</c:v>
                </c:pt>
                <c:pt idx="5">
                  <c:v>2.8631720000000001</c:v>
                </c:pt>
                <c:pt idx="6">
                  <c:v>7.3517340000000004</c:v>
                </c:pt>
                <c:pt idx="7">
                  <c:v>2.264E-3</c:v>
                </c:pt>
                <c:pt idx="8">
                  <c:v>-30.281074999999998</c:v>
                </c:pt>
                <c:pt idx="9">
                  <c:v>157.45514012999999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EC-47DB-870F-0228364A0803}"/>
            </c:ext>
          </c:extLst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0EC-47DB-870F-0228364A080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799600421025892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EC-47DB-870F-0228364A080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467002460148818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EC-47DB-870F-0228364A080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221836085167168"/>
                  <c:y val="0.52980132450331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EC-47DB-870F-0228364A080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1897750260017841"/>
                  <c:y val="0.158940397350993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0EC-47DB-870F-0228364A080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Input'!$L$35:$L$44</c:f>
              <c:numCache>
                <c:formatCode>_(* #,##0.0_);_(* \(#,##0.0\);_(* "-"??_);_(@_)</c:formatCode>
                <c:ptCount val="10"/>
                <c:pt idx="0">
                  <c:v>150</c:v>
                </c:pt>
                <c:pt idx="1">
                  <c:v>75</c:v>
                </c:pt>
                <c:pt idx="2">
                  <c:v>33.000002000000002</c:v>
                </c:pt>
                <c:pt idx="3">
                  <c:v>37.5</c:v>
                </c:pt>
                <c:pt idx="4">
                  <c:v>104.41500000000001</c:v>
                </c:pt>
                <c:pt idx="5">
                  <c:v>20.8215</c:v>
                </c:pt>
                <c:pt idx="6">
                  <c:v>60.513998000000001</c:v>
                </c:pt>
                <c:pt idx="7">
                  <c:v>7.5</c:v>
                </c:pt>
                <c:pt idx="8">
                  <c:v>19.276197</c:v>
                </c:pt>
                <c:pt idx="9">
                  <c:v>508.02669700000007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EC-47DB-870F-0228364A08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0000959"/>
        <c:axId val="1"/>
      </c:barChart>
      <c:catAx>
        <c:axId val="2120000959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0009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394493139589239"/>
          <c:y val="0.88741721854304634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8506493506493507"/>
          <c:w val="0.79317779806790345"/>
          <c:h val="0.52597402597402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AA-4AD1-9981-B43191A3693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14522686361738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AA-4AD1-9981-B43191A3693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784678155690047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AA-4AD1-9981-B43191A3693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2093281596983"/>
                  <c:y val="0.30519480519480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AA-4AD1-9981-B43191A3693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643967638059327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AA-4AD1-9981-B43191A3693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301948051948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AA-4AD1-9981-B43191A3693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8181818181818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AA-4AD1-9981-B43191A3693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275115016902458"/>
                  <c:y val="0.17532467532467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AA-4AD1-9981-B43191A3693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884930000801656"/>
                  <c:y val="0.16558441558441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AA-4AD1-9981-B43191A36932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2068305308320257"/>
                  <c:y val="0.16558441558441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AA-4AD1-9981-B43191A369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AA-4AD1-9981-B43191A3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33327"/>
        <c:axId val="1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63597605857718"/>
                  <c:y val="0.32467532467532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AA-4AD1-9981-B43191A3693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2046972913376319"/>
                  <c:y val="0.32467532467532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AA-4AD1-9981-B43191A3693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656787897275517"/>
                  <c:y val="0.32142857142857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AA-4AD1-9981-B43191A36932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5266602881174705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AA-4AD1-9981-B43191A36932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023538512312721"/>
                  <c:y val="0.31818181818181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AA-4AD1-9981-B43191A36932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633353496211908"/>
                  <c:y val="0.32142857142857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AA-4AD1-9981-B43191A3693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AA-4AD1-9981-B43191A3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33327"/>
        <c:axId val="1"/>
      </c:lineChart>
      <c:catAx>
        <c:axId val="37333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25974025974026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333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90436861212417"/>
          <c:y val="0.89610389610389607"/>
          <c:w val="0.37739911359682504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159193214631"/>
          <c:y val="0.1490066225165563"/>
          <c:w val="0.80210608769129077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6105310552334039"/>
                  <c:y val="0.35761589403973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65-4ADF-B6D1-268855B5FD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-63.880157999999994</c:v>
                </c:pt>
                <c:pt idx="4">
                  <c:v>14.073559500000002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5-4ADF-B6D1-268855B5FD59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5-4ADF-B6D1-268855B5FD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33425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947383786373136"/>
                  <c:y val="0.42384105960264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65-4ADF-B6D1-268855B5FD5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789510474414549"/>
                  <c:y val="0.51324503311258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65-4ADF-B6D1-268855B5FD5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57947325192565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65-4ADF-B6D1-268855B5FD5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000065789541316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65-4ADF-B6D1-268855B5FD5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263245541987609"/>
                  <c:y val="0.52649006622516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65-4ADF-B6D1-268855B5FD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65-4ADF-B6D1-268855B5FD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334255"/>
        <c:axId val="1"/>
      </c:lineChart>
      <c:catAx>
        <c:axId val="3733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3973509933774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34255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684232816851168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93169923100864"/>
          <c:y val="3.5598818007995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5032477024037"/>
          <c:y val="0.1326865034843481"/>
          <c:w val="0.8497862981431672"/>
          <c:h val="0.67314128596937561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Team'!$D$13:$O$13</c:f>
              <c:numCache>
                <c:formatCode>_(* #,##0.0_);_(* \(#,##0.0\);_(* "-"??_);_(@_)</c:formatCode>
                <c:ptCount val="12"/>
                <c:pt idx="0">
                  <c:v>-95.409000000000006</c:v>
                </c:pt>
                <c:pt idx="1">
                  <c:v>40.747999999999998</c:v>
                </c:pt>
                <c:pt idx="2">
                  <c:v>-136.43799999999999</c:v>
                </c:pt>
                <c:pt idx="3">
                  <c:v>23.298999999999999</c:v>
                </c:pt>
                <c:pt idx="4">
                  <c:v>-37.631</c:v>
                </c:pt>
                <c:pt idx="5">
                  <c:v>10.903</c:v>
                </c:pt>
                <c:pt idx="6">
                  <c:v>-25.443000000000001</c:v>
                </c:pt>
                <c:pt idx="7">
                  <c:v>-39.478000000000002</c:v>
                </c:pt>
                <c:pt idx="8">
                  <c:v>19.797000000000001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7-4455-AE59-EC4BFBB12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34719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Team'!$D$14:$L$14</c:f>
              <c:numCache>
                <c:formatCode>_(* #,##0.0_);_(* \(#,##0.0\);_(* "-"??_);_(@_)</c:formatCode>
                <c:ptCount val="9"/>
                <c:pt idx="0">
                  <c:v>-95.409000000000006</c:v>
                </c:pt>
                <c:pt idx="1">
                  <c:v>-54.661000000000008</c:v>
                </c:pt>
                <c:pt idx="2">
                  <c:v>-191.09899999999999</c:v>
                </c:pt>
                <c:pt idx="3">
                  <c:v>-167.79999999999998</c:v>
                </c:pt>
                <c:pt idx="4">
                  <c:v>-205.43099999999998</c:v>
                </c:pt>
                <c:pt idx="5">
                  <c:v>-194.52799999999999</c:v>
                </c:pt>
                <c:pt idx="6">
                  <c:v>-219.971</c:v>
                </c:pt>
                <c:pt idx="7">
                  <c:v>-259.44900000000001</c:v>
                </c:pt>
                <c:pt idx="8">
                  <c:v>-239.65200000000002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7-4455-AE59-EC4BFBB12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34719"/>
        <c:axId val="1"/>
      </c:lineChart>
      <c:catAx>
        <c:axId val="37334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29624976555141E-2"/>
              <c:y val="0.407768279000679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347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63104969052787"/>
          <c:y val="0.90938798729516612"/>
          <c:w val="0.79613817326039149"/>
          <c:h val="7.76701483810818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91487864272247"/>
          <c:y val="0.1490066225165563"/>
          <c:w val="0.78038460777648566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1487864272247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DC-4416-9B65-99A33A10116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34437086092715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DC-4416-9B65-99A33A10116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71458317499748"/>
                  <c:y val="0.39072847682119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DC-4416-9B65-99A33A10116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2814569536423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DC-4416-9B65-99A33A10116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004308123488437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DC-4416-9B65-99A33A10116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  <c:pt idx="9">
                  <c:v>69486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DC-4416-9B65-99A33A1011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328687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DC-4416-9B65-99A33A1011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328687"/>
        <c:axId val="1"/>
      </c:lineChart>
      <c:catAx>
        <c:axId val="37328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2868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373160744645296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1596043992644"/>
          <c:y val="0.17161771483638497"/>
          <c:w val="0.78526396511509566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596043992644"/>
                  <c:y val="0.2178224842154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C0-4A7D-8801-D62DA8371B1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157918542268238"/>
                  <c:y val="0.2640272535944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C0-4A7D-8801-D62DA8371B1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4213491173408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C0-4A7D-8801-D62DA8371B1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000037006616986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C0-4A7D-8801-D62DA8371B1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105306440487705"/>
                  <c:y val="0.17491805550631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C0-4A7D-8801-D62DA8371B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  <c:pt idx="9">
                  <c:v>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C0-4A7D-8801-D62DA8371B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999103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C0-4A7D-8801-D62DA8371B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999103"/>
        <c:axId val="1"/>
      </c:lineChart>
      <c:catAx>
        <c:axId val="2119999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9991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52657332090184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2849805988686"/>
          <c:y val="0.17549668874172186"/>
          <c:w val="0.77612021101267969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72509320559576"/>
                  <c:y val="0.19205298013245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EF-4C4F-A168-6F4F6B45689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61622511350729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EF-4C4F-A168-6F4F6B45689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012820259216191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EF-4C4F-A168-6F4F6B45689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EF-4C4F-A168-6F4F6B45689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92790712443686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EF-4C4F-A168-6F4F6B45689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629045372723476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EF-4C4F-A168-6F4F6B45689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3576158940397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EF-4C4F-A168-6F4F6B45689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848675340521872"/>
                  <c:y val="0.14569536423841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EF-4C4F-A168-6F4F6B45689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605610971659877"/>
                  <c:y val="0.3046357615894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EF-4C4F-A168-6F4F6B456897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1428645793749368"/>
                  <c:y val="0.3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EF-4C4F-A168-6F4F6B45689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  <c:pt idx="9">
                  <c:v>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EF-4C4F-A168-6F4F6B45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999567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EF-4C4F-A168-6F4F6B45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99567"/>
        <c:axId val="1"/>
      </c:lineChart>
      <c:catAx>
        <c:axId val="211999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9995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9735099337748347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568423692869750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542979587766"/>
          <c:y val="0.14569536423841059"/>
          <c:w val="0.74526392399663244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106951179020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78-40CD-B401-7E24ECE5039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23509933774834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78-40CD-B401-7E24ECE5039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684236928697501"/>
                  <c:y val="0.16225165562913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78-40CD-B401-7E24ECE5039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1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78-40CD-B401-7E24ECE5039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157934989653564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78-40CD-B401-7E24ECE5039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57943213346232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78-40CD-B401-7E24ECE5039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73739179419388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78-40CD-B401-7E24ECE5039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105322887873034"/>
                  <c:y val="0.149006622516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78-40CD-B401-7E24ECE5039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842171918351066"/>
                  <c:y val="0.18543046357615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78-40CD-B401-7E24ECE5039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  <c:pt idx="9">
                  <c:v>294215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78-40CD-B401-7E24ECE503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998175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78-40CD-B401-7E24ECE503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998175"/>
        <c:axId val="1"/>
      </c:lineChart>
      <c:catAx>
        <c:axId val="211999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24503311258278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99817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263183864292621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2168835130468"/>
          <c:y val="0.14569536423841059"/>
          <c:w val="0.8102353851231272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147378843136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B4-4E97-8CC9-301B0E7CF60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75514595876571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B4-4E97-8CC9-301B0E7CF6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7.4156859999999991</c:v>
                </c:pt>
                <c:pt idx="4">
                  <c:v>80.135158849999996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4-4E97-8CC9-301B0E7CF604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4-4E97-8CC9-301B0E7CF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50001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2814522686361738"/>
                  <c:y val="0.54966887417218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B4-4E97-8CC9-301B0E7CF60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791088285298139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B4-4E97-8CC9-301B0E7CF6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650377767667414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B4-4E97-8CC9-301B0E7CF60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22887088226992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B4-4E97-8CC9-301B0E7CF6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27301301078279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B4-4E97-8CC9-301B0E7CF6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B4-4E97-8CC9-301B0E7CF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500015"/>
        <c:axId val="1"/>
      </c:lineChart>
      <c:catAx>
        <c:axId val="2119500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0728476821192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500015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01282025921619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5112540192926044"/>
          <c:w val="0.81876417865073903"/>
          <c:h val="0.62700964630225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28617363344051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AC-48AD-A7D2-96DD9C30115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35203657219959"/>
                  <c:y val="0.28295819935691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AC-48AD-A7D2-96DD9C30115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27652733118971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AC-48AD-A7D2-96DD9C30115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68053463208648"/>
                  <c:y val="0.27974276527331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AC-48AD-A7D2-96DD9C30115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21752796167873"/>
                  <c:y val="0.26366559485530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AC-48AD-A7D2-96DD9C30115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7652733118971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AC-48AD-A7D2-96DD9C30115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650377767667414"/>
                  <c:y val="0.2604501607717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AC-48AD-A7D2-96DD9C30115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554434046044237"/>
                  <c:y val="0.215434083601286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AC-48AD-A7D2-96DD9C30115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311369677182253"/>
                  <c:y val="0.22186495176848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AC-48AD-A7D2-96DD9C30115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119482233935898"/>
                  <c:y val="8.681672025723473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AC-48AD-A7D2-96DD9C30115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AC-48AD-A7D2-96DD9C3011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9497695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9"/>
              <c:layout>
                <c:manualLayout>
                  <c:xMode val="edge"/>
                  <c:yMode val="edge"/>
                  <c:x val="0.79744219483170942"/>
                  <c:y val="0.23151125401929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5AC-48AD-A7D2-96DD9C30115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507471543792835"/>
                  <c:y val="0.23151125401929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5AC-48AD-A7D2-96DD9C30115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90405211392685769"/>
                  <c:y val="0.22508038585209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AC-48AD-A7D2-96DD9C30115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AC-48AD-A7D2-96DD9C3011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497695"/>
        <c:axId val="1"/>
      </c:lineChart>
      <c:catAx>
        <c:axId val="2119497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2793190291417797E-2"/>
              <c:y val="0.418006430868167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97695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353697749196138"/>
          <c:w val="0.3667381216873101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4238410596026491"/>
          <c:w val="0.82315874091153463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78963382980451"/>
                  <c:y val="0.44370860927152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5F-46DB-B54C-3C94C4EE5C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-2.207075000000001</c:v>
                </c:pt>
                <c:pt idx="4">
                  <c:v>43.56358784999999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F-46DB-B54C-3C94C4EE5CF2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F-46DB-B54C-3C94C4EE5C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49815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5F-46DB-B54C-3C94C4EE5CF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421090071021867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5F-46DB-B54C-3C94C4EE5CF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894792243824263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5F-46DB-B54C-3C94C4EE5CF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894808691209587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5F-46DB-B54C-3C94C4EE5CF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47457799607109"/>
                  <c:y val="0.31788079470198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5F-46DB-B54C-3C94C4EE5C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5F-46DB-B54C-3C94C4EE5C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498159"/>
        <c:axId val="1"/>
      </c:lineChart>
      <c:catAx>
        <c:axId val="211949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3684245152390165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98159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68449186317007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7906206729241"/>
          <c:y val="0.16831737416645448"/>
          <c:w val="0.86947457799607109"/>
          <c:h val="0.580859957907764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36845329816334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F1-45FB-AFA7-EB21417CDF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842155470965737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F1-45FB-AFA7-EB21417CDFD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105331111565702"/>
                  <c:y val="0.69967222202526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F1-45FB-AFA7-EB21417CDFD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57980219963223"/>
                  <c:y val="0.53135484785880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F1-45FB-AFA7-EB21417CDF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31.038480000000007</c:v>
                </c:pt>
                <c:pt idx="3">
                  <c:v>-68.460611</c:v>
                </c:pt>
                <c:pt idx="4">
                  <c:v>157.45514012999999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F1-45FB-AFA7-EB21417CDFDA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175.31147199999998</c:v>
                </c:pt>
                <c:pt idx="4" formatCode="0.0">
                  <c:v>508.02669700000001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F1-45FB-AFA7-EB21417CDF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000235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590760979917555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F1-45FB-AFA7-EB21417CDFD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210559426973095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F1-45FB-AFA7-EB21417CDF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42110651840719"/>
                  <c:y val="0.6468667713063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F1-45FB-AFA7-EB21417CDFD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894804579363264"/>
                  <c:y val="0.528054507188876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F1-45FB-AFA7-EB21417CDFD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579033284368098"/>
                  <c:y val="0.43234462776089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F1-45FB-AFA7-EB21417CDF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F1-45FB-AFA7-EB21417CDF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0002351"/>
        <c:axId val="1"/>
      </c:lineChart>
      <c:catAx>
        <c:axId val="212000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002351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78979830365778"/>
          <c:y val="0.85148789284206383"/>
          <c:w val="0.46105310552334039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331905781584583"/>
          <c:y val="3.5483926858503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92505353319058"/>
          <c:y val="0.13225827283624123"/>
          <c:w val="0.8501070663811563"/>
          <c:h val="0.6709687987789799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Team'!$D$22:$O$22</c:f>
              <c:numCache>
                <c:formatCode>_(* #,##0.0_);_(* \(#,##0.0\);_(* "-"??_);_(@_)</c:formatCode>
                <c:ptCount val="12"/>
                <c:pt idx="0">
                  <c:v>12.599</c:v>
                </c:pt>
                <c:pt idx="1">
                  <c:v>-6.7300000000000013</c:v>
                </c:pt>
                <c:pt idx="2">
                  <c:v>-16.241</c:v>
                </c:pt>
                <c:pt idx="3">
                  <c:v>-31.310000000000002</c:v>
                </c:pt>
                <c:pt idx="4">
                  <c:v>-73.048000000000002</c:v>
                </c:pt>
                <c:pt idx="5">
                  <c:v>7.5369999999999999</c:v>
                </c:pt>
                <c:pt idx="6">
                  <c:v>2.3749999999999991</c:v>
                </c:pt>
                <c:pt idx="7">
                  <c:v>7.3559999999999999</c:v>
                </c:pt>
                <c:pt idx="8">
                  <c:v>-14.707000000000001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A-4E1A-8085-783120EC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5839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Team'!$D$23:$L$23</c:f>
              <c:numCache>
                <c:formatCode>_(* #,##0.0_);_(* \(#,##0.0\);_(* "-"??_);_(@_)</c:formatCode>
                <c:ptCount val="9"/>
                <c:pt idx="0">
                  <c:v>12.599</c:v>
                </c:pt>
                <c:pt idx="1">
                  <c:v>5.8689999999999998</c:v>
                </c:pt>
                <c:pt idx="2">
                  <c:v>-10.372</c:v>
                </c:pt>
                <c:pt idx="3">
                  <c:v>-41.682000000000009</c:v>
                </c:pt>
                <c:pt idx="4">
                  <c:v>-114.73</c:v>
                </c:pt>
                <c:pt idx="5">
                  <c:v>-107.19300000000001</c:v>
                </c:pt>
                <c:pt idx="6">
                  <c:v>-104.81800000000001</c:v>
                </c:pt>
                <c:pt idx="7">
                  <c:v>-97.462000000000018</c:v>
                </c:pt>
                <c:pt idx="8">
                  <c:v>-112.169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4E1A-8085-783120EC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5839"/>
        <c:axId val="1"/>
      </c:lineChart>
      <c:catAx>
        <c:axId val="36655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06638115631691E-2"/>
              <c:y val="0.406452253106497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665583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32762312633834"/>
          <c:y val="0.90967885219073241"/>
          <c:w val="0.79443254817987152"/>
          <c:h val="7.7419476782189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9158749874"/>
          <c:y val="0.1490066225165563"/>
          <c:w val="0.80383878997741831"/>
          <c:h val="0.6158940397350993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4">
                  <c:v>-6.2381530000000005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7-4BF8-92C0-D22FB7F5D3A2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7-4BF8-92C0-D22FB7F5D3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46927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52649006622516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A7-4BF8-92C0-D22FB7F5D3A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00903269197332"/>
                  <c:y val="0.51655629139072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A7-4BF8-92C0-D22FB7F5D3A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A7-4BF8-92C0-D22FB7F5D3A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89637703264196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A7-4BF8-92C0-D22FB7F5D3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A7-4BF8-92C0-D22FB7F5D3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469279"/>
        <c:axId val="1"/>
      </c:lineChart>
      <c:catAx>
        <c:axId val="2119469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69279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63997184831825"/>
          <c:y val="0.89072847682119205"/>
          <c:w val="0.434968469908205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65017033496524"/>
          <c:w val="0.81052714897938838"/>
          <c:h val="0.521453825849015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4">
                  <c:v>0.57050299999999998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2-4ED6-9899-221F0C7A29B7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2-4ED6-9899-221F0C7A2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47020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052644996551188"/>
                  <c:y val="0.68317051867560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12-4ED6-9899-221F0C7A29B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736873701556028"/>
                  <c:y val="0.61386336460706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12-4ED6-9899-221F0C7A29B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89522809953544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12-4ED6-9899-221F0C7A29B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579012725136441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12-4ED6-9899-221F0C7A29B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84219658942905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12-4ED6-9899-221F0C7A29B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12-4ED6-9899-221F0C7A29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470207"/>
        <c:axId val="1"/>
      </c:lineChart>
      <c:catAx>
        <c:axId val="211947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86139858381866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70207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736873701556028"/>
          <c:y val="0.86468925552178577"/>
          <c:w val="0.43789518698107216"/>
          <c:h val="0.10561090143777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2913907284768211"/>
          <c:w val="0.80597098835932124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A-462C-907F-D3A35F9EA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464175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A-462C-907F-D3A35F9EA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64175"/>
        <c:axId val="1"/>
      </c:lineChart>
      <c:catAx>
        <c:axId val="211946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64175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411517411044746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7616601996229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0991909514832"/>
          <c:y val="0.11920529801324503"/>
          <c:w val="0.83795396408786571"/>
          <c:h val="0.596026490066225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4">
                  <c:v>-7.5603530000000001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1-4B1A-AEBF-8167356F8DF3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16225113507291"/>
                  <c:y val="0.29801324503311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11-4B1A-AEBF-8167356F8DF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87000773546581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11-4B1A-AEBF-8167356F8D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1-4B1A-AEBF-8167356F8D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46649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432849805988686"/>
                  <c:y val="0.3377483443708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11-4B1A-AEBF-8167356F8DF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187683431007039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11-4B1A-AEBF-8167356F8DF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327814569536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11-4B1A-AEBF-8167356F8DF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66319802688361"/>
                  <c:y val="0.341059602649006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11-4B1A-AEBF-8167356F8D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11-4B1A-AEBF-8167356F8D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466495"/>
        <c:axId val="1"/>
      </c:lineChart>
      <c:catAx>
        <c:axId val="2119466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4925388673320763E-2"/>
              <c:y val="0.364238410596026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66495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84678155690047"/>
          <c:y val="0.8741721854304636"/>
          <c:w val="0.44989385858152586"/>
          <c:h val="9.9337748344370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601282025921619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44367217033432"/>
          <c:y val="0.14569536423841059"/>
          <c:w val="0.78891340130409748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44367217033432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8A-4373-B0A3-D6840B8303E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24096236274233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8A-4373-B0A3-D6840B8303E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63997184831825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8A-4373-B0A3-D6840B8303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460592330540725"/>
                  <c:y val="0.1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8A-4373-B0A3-D6840B8303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  <c:pt idx="9">
                  <c:v>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A-4373-B0A3-D6840B8303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657231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8A-4373-B0A3-D6840B8303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57231"/>
        <c:axId val="1"/>
      </c:lineChart>
      <c:catAx>
        <c:axId val="3665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17880794701986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6657231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07891945016767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6171669282659354"/>
          <c:w val="0.79579029172521765"/>
          <c:h val="0.60726268326720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84224593158503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DC-4F44-938A-A1D8E2EB5D8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DC-4F44-938A-A1D8E2EB5D8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36869589709694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DC-4F44-938A-A1D8E2EB5D8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DC-4F44-938A-A1D8E2EB5D8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10567650665757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DC-4F44-938A-A1D8E2EB5D8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63212647216951"/>
                  <c:y val="0.46864837513012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DC-4F44-938A-A1D8E2EB5D8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  <c:pt idx="9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DC-4F44-938A-A1D8E2EB5D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654911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6.7368490304780329E-2"/>
                  <c:y val="0.88449129954136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DC-4F44-938A-A1D8E2EB5D8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000016447385329"/>
                  <c:y val="0.82508516748262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DC-4F44-938A-A1D8E2EB5D8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631604267685309"/>
                  <c:y val="0.67987017800567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DC-4F44-938A-A1D8E2EB5D8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789506362568221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DC-4F44-938A-A1D8E2EB5D8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842143135426741"/>
                  <c:y val="0.67326949666581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DC-4F44-938A-A1D8E2EB5D8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DC-4F44-938A-A1D8E2EB5D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54911"/>
        <c:axId val="1"/>
      </c:lineChart>
      <c:catAx>
        <c:axId val="36654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665491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5263183864292621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46069644178985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91-4110-9E7B-502EB5B537C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91-4110-9E7B-502EB5B537C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31798802928859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91-4110-9E7B-502EB5B537C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91-4110-9E7B-502EB5B537C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577868447107841"/>
                  <c:y val="0.6887417218543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91-4110-9E7B-502EB5B537C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68543046357615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91-4110-9E7B-502EB5B537C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091739709383856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91-4110-9E7B-502EB5B537C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40731339880543"/>
                  <c:y val="0.55629139072847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91-4110-9E7B-502EB5B537C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230348220894921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91-4110-9E7B-502EB5B537C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840163204794119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91-4110-9E7B-502EB5B537C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91-4110-9E7B-502EB5B537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656303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91-4110-9E7B-502EB5B537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56303"/>
        <c:axId val="1"/>
      </c:lineChart>
      <c:catAx>
        <c:axId val="36656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66563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6857254170696"/>
          <c:y val="0.18211920529801323"/>
          <c:w val="0.80421135301331514"/>
          <c:h val="0.569536423841059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5791031857557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14-492A-89BE-D13B295F3D8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14-492A-89BE-D13B295F3D8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578983942212111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14-492A-89BE-D13B295F3D8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26320031167795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14-492A-89BE-D13B295F3D8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4-492A-89BE-D13B295F3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660015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4-492A-89BE-D13B295F3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660015"/>
        <c:axId val="1"/>
      </c:lineChart>
      <c:catAx>
        <c:axId val="36660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8947387898219467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6660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31608379531642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0310938656611"/>
          <c:y val="0.15666717665096566"/>
          <c:w val="0.84008616246976875"/>
          <c:h val="0.570001855474789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769755890354195"/>
                  <c:y val="0.44666812066445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56-40E4-9D7E-29015333FDF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605610971659877"/>
                  <c:y val="0.670002180996682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56-40E4-9D7E-29015333FDF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-4.8920000000000003</c:v>
                </c:pt>
                <c:pt idx="4">
                  <c:v>21.617000000000001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6-40E4-9D7E-29015333FDF9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56-40E4-9D7E-29015333FD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190364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4666844618634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56-40E4-9D7E-29015333FDF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739911359682504"/>
                  <c:y val="0.55000179037041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56-40E4-9D7E-29015333FDF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731399223954746"/>
                  <c:y val="0.54333510200228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56-40E4-9D7E-29015333FDF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71710162611363"/>
                  <c:y val="0.4766682183210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56-40E4-9D7E-29015333FDF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699452687163394"/>
                  <c:y val="0.36333451606287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56-40E4-9D7E-29015333FDF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56-40E4-9D7E-29015333FD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1903647"/>
        <c:axId val="1"/>
      </c:lineChart>
      <c:catAx>
        <c:axId val="2121903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6667892799130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1903647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56536052163903"/>
          <c:y val="0.83333604601577482"/>
          <c:w val="0.4285718747624962"/>
          <c:h val="8.33336046015774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- 4Q</a:t>
            </a:r>
          </a:p>
        </c:rich>
      </c:tx>
      <c:layout>
        <c:manualLayout>
          <c:xMode val="edge"/>
          <c:yMode val="edge"/>
          <c:x val="0.3178950636256822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5894039735099338"/>
          <c:w val="0.86736931267404671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263179752446293"/>
                  <c:y val="0.42384105960264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21-4A4E-9B85-D4CC56B7A25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84241040543835"/>
                  <c:y val="0.52317880794701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21-4A4E-9B85-D4CC56B7A25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73688192524869"/>
                  <c:y val="0.440397350993377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21-4A4E-9B85-D4CC56B7A25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000049342155987"/>
                  <c:y val="0.437086092715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21-4A4E-9B85-D4CC56B7A25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368477969241336"/>
                  <c:y val="0.440397350993377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21-4A4E-9B85-D4CC56B7A25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842171918351066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21-4A4E-9B85-D4CC56B7A25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684286270853483"/>
                  <c:y val="0.437086092715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21-4A4E-9B85-D4CC56B7A25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421135301331514"/>
                  <c:y val="0.57615894039735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21-4A4E-9B85-D4CC56B7A25E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9263249653833932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21-4A4E-9B85-D4CC56B7A2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Input'!$W$3:$W$12</c:f>
              <c:numCache>
                <c:formatCode>_(* #,##0.0_);_(* \(#,##0.0\);_(* "-"??_);_(@_)</c:formatCode>
                <c:ptCount val="10"/>
                <c:pt idx="0">
                  <c:v>-46.958415000000002</c:v>
                </c:pt>
                <c:pt idx="1">
                  <c:v>7.4156859999999991</c:v>
                </c:pt>
                <c:pt idx="2">
                  <c:v>-4.8920000000000003</c:v>
                </c:pt>
                <c:pt idx="3">
                  <c:v>0.85842700000000005</c:v>
                </c:pt>
                <c:pt idx="4">
                  <c:v>1.8360000000000001</c:v>
                </c:pt>
                <c:pt idx="5">
                  <c:v>-9.2724000000000001E-2</c:v>
                </c:pt>
                <c:pt idx="6">
                  <c:v>2.2240000000000002</c:v>
                </c:pt>
                <c:pt idx="7">
                  <c:v>1.415E-3</c:v>
                </c:pt>
                <c:pt idx="8">
                  <c:v>-28.853000000000002</c:v>
                </c:pt>
                <c:pt idx="9">
                  <c:v>-68.460611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21-4A4E-9B85-D4CC56B7A25E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37748344370860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21-4A4E-9B85-D4CC56B7A25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789498138875553"/>
                  <c:y val="0.41390728476821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21-4A4E-9B85-D4CC56B7A2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Input'!$Z$3:$Z$12</c:f>
              <c:numCache>
                <c:formatCode>_(* #,##0.0_);_(* \(#,##0.0\);_(* "-"??_);_(@_)</c:formatCode>
                <c:ptCount val="10"/>
                <c:pt idx="0">
                  <c:v>45</c:v>
                </c:pt>
                <c:pt idx="1">
                  <c:v>18.75</c:v>
                </c:pt>
                <c:pt idx="2">
                  <c:v>8.75258</c:v>
                </c:pt>
                <c:pt idx="3">
                  <c:v>8.875</c:v>
                </c:pt>
                <c:pt idx="4">
                  <c:v>29.545000000000002</c:v>
                </c:pt>
                <c:pt idx="5">
                  <c:v>13.3055</c:v>
                </c:pt>
                <c:pt idx="6">
                  <c:v>44</c:v>
                </c:pt>
                <c:pt idx="7">
                  <c:v>3.75</c:v>
                </c:pt>
                <c:pt idx="8">
                  <c:v>3.3333919999999999</c:v>
                </c:pt>
                <c:pt idx="9">
                  <c:v>175.31147199999998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21-4A4E-9B85-D4CC56B7A2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0277471"/>
        <c:axId val="1"/>
      </c:barChart>
      <c:catAx>
        <c:axId val="2120277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277471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789514586260882"/>
          <c:y val="0.88079470198675491"/>
          <c:w val="0.2800002878292432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755627009646303"/>
          <c:w val="0.78464900454029163"/>
          <c:h val="0.6302250803858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4437299035369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4-4E18-A178-C717AFC8A4A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673812168731018"/>
                  <c:y val="0.51768488745980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4-4E18-A178-C717AFC8A4A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57838900335342"/>
                  <c:y val="0.3987138263665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4-4E18-A178-C717AFC8A4A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127994369663651"/>
                  <c:y val="0.36655948553054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4-4E18-A178-C717AFC8A4A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737809353562838"/>
                  <c:y val="0.25723472668810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4-4E18-A178-C717AFC8A4A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44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4-4E18-A178-C717AFC8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04575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3688734434066864"/>
                  <c:y val="0.4437299035369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C4-4E18-A178-C717AFC8A4A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136506505391399"/>
                  <c:y val="0.50803858520900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C4-4E18-A178-C717AFC8A4A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319881812910006"/>
                  <c:y val="0.514469453376205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C4-4E18-A178-C717AFC8A4A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142916634999497"/>
                  <c:y val="0.52733118971061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C4-4E18-A178-C717AFC8A4A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113072104327805"/>
                  <c:y val="0.42765273311897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C4-4E18-A178-C717AFC8A4A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722887088226992"/>
                  <c:y val="0.43086816720257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4-4E18-A178-C717AFC8A4A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545921910316483"/>
                  <c:y val="0.43086816720257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4-4E18-A178-C717AFC8A4AB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66319802688361"/>
                  <c:y val="0.4372990353697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4-4E18-A178-C717AFC8A4AB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486232848973101"/>
                  <c:y val="0.43729903536977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C4-4E18-A178-C717AFC8A4A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C4-4E18-A178-C717AFC8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04575"/>
        <c:axId val="1"/>
      </c:lineChart>
      <c:catAx>
        <c:axId val="2121904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1321983819029663E-2"/>
              <c:y val="0.427652733118971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1904575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91318327974276525"/>
          <c:w val="0.3667381216873101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5281769409715"/>
          <c:y val="0.16225165562913907"/>
          <c:w val="0.7473691893186568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5789510474414549"/>
                  <c:y val="0.46357615894039733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EF-4285-8A24-22DE5401819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00008223692664"/>
                  <c:y val="0.41721854304635764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EF-4285-8A24-22DE54018190}"/>
                </c:ext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-8.5288330000000006</c:v>
                </c:pt>
                <c:pt idx="4">
                  <c:v>9.1189030000000013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F-4285-8A24-22DE54018190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F-4285-8A24-22DE540181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190921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684232816851168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EF-4285-8A24-22DE5401819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157930877807236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EF-4285-8A24-22DE5401819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684261599775492"/>
                  <c:y val="0.63907284768211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EF-4285-8A24-22DE5401819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526384175970577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EF-4285-8A24-22DE5401819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736935379251005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EF-4285-8A24-22DE540181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EF-4285-8A24-22DE540181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1909215"/>
        <c:axId val="1"/>
      </c:lineChart>
      <c:catAx>
        <c:axId val="2121909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30463576158940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1909215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1085959175533"/>
          <c:y val="0.90397350993377479"/>
          <c:w val="0.448421513591194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25648382512817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017290200341802E-2"/>
          <c:y val="0.13183279742765272"/>
          <c:w val="0.86111290797131235"/>
          <c:h val="0.67202572347266876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Team'!$D$58:$O$58</c:f>
              <c:numCache>
                <c:formatCode>_(* #,##0.0_);_(* \(#,##0.0\);_(* "-"??_);_(@_)</c:formatCode>
                <c:ptCount val="12"/>
                <c:pt idx="0">
                  <c:v>-18.495999999999999</c:v>
                </c:pt>
                <c:pt idx="1">
                  <c:v>-30.257999999999999</c:v>
                </c:pt>
                <c:pt idx="2">
                  <c:v>19.824999999999999</c:v>
                </c:pt>
                <c:pt idx="3">
                  <c:v>-1.018</c:v>
                </c:pt>
                <c:pt idx="4">
                  <c:v>0.28399999999999997</c:v>
                </c:pt>
                <c:pt idx="5">
                  <c:v>-12.212</c:v>
                </c:pt>
                <c:pt idx="6">
                  <c:v>-7.532</c:v>
                </c:pt>
                <c:pt idx="7">
                  <c:v>-3.2250000000000001</c:v>
                </c:pt>
                <c:pt idx="8">
                  <c:v>15.262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0-4C03-8CBC-41974564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05967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Team'!$D$59:$L$59</c:f>
              <c:numCache>
                <c:formatCode>_(* #,##0.0_);_(* \(#,##0.0\);_(* "-"??_);_(@_)</c:formatCode>
                <c:ptCount val="9"/>
                <c:pt idx="0">
                  <c:v>-18.495999999999999</c:v>
                </c:pt>
                <c:pt idx="1">
                  <c:v>-48.753999999999998</c:v>
                </c:pt>
                <c:pt idx="2">
                  <c:v>-28.928999999999998</c:v>
                </c:pt>
                <c:pt idx="3">
                  <c:v>-29.946999999999999</c:v>
                </c:pt>
                <c:pt idx="4">
                  <c:v>-29.663</c:v>
                </c:pt>
                <c:pt idx="5">
                  <c:v>-41.875</c:v>
                </c:pt>
                <c:pt idx="6">
                  <c:v>-49.406999999999996</c:v>
                </c:pt>
                <c:pt idx="7">
                  <c:v>-52.631999999999998</c:v>
                </c:pt>
                <c:pt idx="8">
                  <c:v>-37.369999999999997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0-4C03-8CBC-41974564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05967"/>
        <c:axId val="1"/>
      </c:lineChart>
      <c:catAx>
        <c:axId val="2121905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83782977311568E-2"/>
              <c:y val="0.405144694533762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190596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75242210958807"/>
          <c:y val="0.909967845659164"/>
          <c:w val="0.79273669691651838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789506362568221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5841635215666305"/>
          <c:w val="0.81894821026748588"/>
          <c:h val="0.577559617237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63171528753628"/>
                  <c:y val="0.38613985838186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FC-4947-BD9E-E04E4188043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FC-4947-BD9E-E04E4188043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57897571851945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FC-4947-BD9E-E04E4188043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15824748997481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FC-4947-BD9E-E04E4188043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94779908285268"/>
                  <c:y val="0.4257439464210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FC-4947-BD9E-E04E4188043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89522809953544"/>
                  <c:y val="0.3828395177119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C-4947-BD9E-E04E4188043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263220870909607"/>
                  <c:y val="0.41254258374131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C-4947-BD9E-E04E418804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FC-4947-BD9E-E04E41880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1902719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FC-4947-BD9E-E04E41880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1902719"/>
        <c:axId val="1"/>
      </c:lineChart>
      <c:catAx>
        <c:axId val="2121902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19027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7431585895424"/>
          <c:y val="0.13907284768211919"/>
          <c:w val="0.79957439321361234"/>
          <c:h val="0.6390728476821192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66750615037204"/>
                  <c:y val="0.57284768211920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12-4947-8807-4B6CC11D3C6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976565598936398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12-4947-8807-4B6CC11D3C6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86380582835594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12-4947-8807-4B6CC11D3C6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982975728544494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12-4947-8807-4B6CC11D3C6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06010550633985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12-4947-8807-4B6CC11D3C6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12-4947-8807-4B6CC11D3C6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17917129527928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12-4947-8807-4B6CC11D3C6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  <c:pt idx="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12-4947-8807-4B6CC11D3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600015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12-4947-8807-4B6CC11D3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00015"/>
        <c:axId val="1"/>
      </c:lineChart>
      <c:catAx>
        <c:axId val="2123600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36000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0096375783306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736869589709694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89489915182889"/>
          <c:y val="0.16721311475409836"/>
          <c:w val="0.76631657721687629"/>
          <c:h val="0.61967213114754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68436850778014"/>
                  <c:y val="0.58032786885245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25-459C-9574-56192D88FAF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21073623636538"/>
                  <c:y val="0.36721311475409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25-459C-9574-56192D88FAF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57922654114569"/>
                  <c:y val="0.547540983606557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25-459C-9574-56192D88FAF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47404345604793"/>
                  <c:y val="0.659016393442622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25-459C-9574-56192D88FAF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25-459C-9574-56192D88FAF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05318776026701"/>
                  <c:y val="0.462295081967213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25-459C-9574-56192D88FA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  <c:pt idx="9">
                  <c:v>259335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25-459C-9574-56192D88FA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3596767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25-459C-9574-56192D88FA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3596767"/>
        <c:axId val="1"/>
      </c:lineChart>
      <c:catAx>
        <c:axId val="2123596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262295081967213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35967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90163934426229508"/>
          <c:w val="0.44842151359119409"/>
          <c:h val="8.52459016393442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549668874172186"/>
          <c:w val="0.79317779806790345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22635243115383"/>
                  <c:y val="0.59933774834437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D7-4EE8-A511-31BF363F94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0.85842700000000005</c:v>
                </c:pt>
                <c:pt idx="4">
                  <c:v>6.0778972799999993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7-4EE8-A511-31BF363F948D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7-4EE8-A511-31BF363F94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57119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872109741585471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D7-4EE8-A511-31BF363F948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978771716305173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D7-4EE8-A511-31BF363F94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D7-4EE8-A511-31BF363F94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571199"/>
        <c:axId val="1"/>
      </c:lineChart>
      <c:catAx>
        <c:axId val="42571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2571199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86423841059602646"/>
          <c:w val="0.43710066829010807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891401712575056"/>
          <c:w val="0.79957439321361234"/>
          <c:h val="0.58147055565868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B-4C00-B8EA-C2AB3D9C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75839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974463592816741"/>
                  <c:y val="0.214057841918308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1B-4C00-B8EA-C2AB3D9CBC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B-4C00-B8EA-C2AB3D9C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5839"/>
        <c:axId val="1"/>
      </c:lineChart>
      <c:catAx>
        <c:axId val="42575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24920790673657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2575839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776497879171258"/>
          <c:w val="0.42643967638059327"/>
          <c:h val="7.66774359110359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7880794701986755"/>
          <c:w val="0.77473763850497379"/>
          <c:h val="0.5662251655629139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579033284368098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FB-48DC-B5C2-316B1C6732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-2.6119809999999997</c:v>
                </c:pt>
                <c:pt idx="4">
                  <c:v>-3.3528377199999997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B-48DC-B5C2-316B1C673236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B-48DC-B5C2-316B1C6732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57073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631604267685309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FB-48DC-B5C2-316B1C67323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526355393046252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FB-48DC-B5C2-316B1C67323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526371840431576"/>
                  <c:y val="0.625827814569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FB-48DC-B5C2-316B1C67323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315861755614473"/>
                  <c:y val="0.6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FB-48DC-B5C2-316B1C67323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210612880975411"/>
                  <c:y val="0.70198675496688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FB-48DC-B5C2-316B1C6732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FB-48DC-B5C2-316B1C6732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570735"/>
        <c:axId val="1"/>
      </c:lineChart>
      <c:catAx>
        <c:axId val="42570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3157918542268237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2570735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15820637151147"/>
          <c:y val="0.8741721854304636"/>
          <c:w val="0.4378951869810721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68053463208648"/>
          <c:y val="3.52565206096022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55736894215682E-2"/>
          <c:y val="0.1378209442011725"/>
          <c:w val="0.87206913819831322"/>
          <c:h val="0.6698738915824431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Team'!$D$67:$O$67</c:f>
              <c:numCache>
                <c:formatCode>_(* #,##0.0_);_(* \(#,##0.0\);_(* "-"??_);_(@_)</c:formatCode>
                <c:ptCount val="12"/>
                <c:pt idx="0">
                  <c:v>0.311</c:v>
                </c:pt>
                <c:pt idx="1">
                  <c:v>-0.70499999999999996</c:v>
                </c:pt>
                <c:pt idx="2">
                  <c:v>0.122</c:v>
                </c:pt>
                <c:pt idx="3">
                  <c:v>-0.72399999999999998</c:v>
                </c:pt>
                <c:pt idx="4">
                  <c:v>-0.876</c:v>
                </c:pt>
                <c:pt idx="5">
                  <c:v>3.5150000000000001</c:v>
                </c:pt>
                <c:pt idx="6">
                  <c:v>-1.008</c:v>
                </c:pt>
                <c:pt idx="7">
                  <c:v>0.33700000000000002</c:v>
                </c:pt>
                <c:pt idx="8">
                  <c:v>-1.292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A-477B-AA5F-FB901EBE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73055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Team'!$D$68:$L$68</c:f>
              <c:numCache>
                <c:formatCode>_(* #,##0.0_);_(* \(#,##0.0\);_(* "-"??_);_(@_)</c:formatCode>
                <c:ptCount val="9"/>
                <c:pt idx="0">
                  <c:v>0.311</c:v>
                </c:pt>
                <c:pt idx="1">
                  <c:v>-0.39399999999999996</c:v>
                </c:pt>
                <c:pt idx="2">
                  <c:v>-0.27199999999999996</c:v>
                </c:pt>
                <c:pt idx="3">
                  <c:v>-0.996</c:v>
                </c:pt>
                <c:pt idx="4">
                  <c:v>-1.8719999999999999</c:v>
                </c:pt>
                <c:pt idx="5">
                  <c:v>1.6430000000000002</c:v>
                </c:pt>
                <c:pt idx="6">
                  <c:v>0.63500000000000023</c:v>
                </c:pt>
                <c:pt idx="7">
                  <c:v>0.9720000000000002</c:v>
                </c:pt>
                <c:pt idx="8">
                  <c:v>-0.31999999999999984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A-477B-AA5F-FB901EBE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3055"/>
        <c:axId val="1"/>
      </c:lineChart>
      <c:catAx>
        <c:axId val="42573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0257694366280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257305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46069644178985"/>
          <c:y val="0.91025925937518581"/>
          <c:w val="0.79104559968600052"/>
          <c:h val="7.6923317693677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736877813402356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7906206729241"/>
          <c:y val="0.16831737416645448"/>
          <c:w val="0.86947457799607109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277657563381"/>
                  <c:y val="0.37953917704200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F-4305-9705-83EB5E13F32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6845329816334"/>
                  <c:y val="0.38944019905179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F-4305-9705-83EB5E13F32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31628938763299"/>
                  <c:y val="0.54455621053852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F-4305-9705-83EB5E13F32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947453687760786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F-4305-9705-83EB5E13F3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-31.105953999999983</c:v>
                </c:pt>
                <c:pt idx="3">
                  <c:v>-143.19717299999999</c:v>
                </c:pt>
                <c:pt idx="4">
                  <c:v>-93.857499869999984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F-4305-9705-83EB5E13F321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578967494826782"/>
                  <c:y val="0.3828395177119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F-4305-9705-83EB5E13F3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F-4305-9705-83EB5E13F3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028257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421065399943873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F-4305-9705-83EB5E13F32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473722732034059"/>
                  <c:y val="0.50165178182943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F-4305-9705-83EB5E13F32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84265711621826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F-4305-9705-83EB5E13F32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105331111565702"/>
                  <c:y val="0.38944019905179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F-4305-9705-83EB5E13F32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579033284368098"/>
                  <c:y val="0.419143265081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F-4305-9705-83EB5E13F32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9F-4305-9705-83EB5E13F3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0282575"/>
        <c:axId val="1"/>
      </c:lineChart>
      <c:catAx>
        <c:axId val="2120282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2825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712899368616468"/>
          <c:w val="0.45263204423524284"/>
          <c:h val="9.24095387580534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81876417865073903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A3-4B0A-9FD5-10E768F98A9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556536052163903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A3-4B0A-9FD5-10E768F98A9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40562783768221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A3-4B0A-9FD5-10E768F98A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1.8360000000000001</c:v>
                </c:pt>
                <c:pt idx="4">
                  <c:v>38.015206999999997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A3-4B0A-9FD5-10E768F98A9E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25588462807818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A3-4B0A-9FD5-10E768F98A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A3-4B0A-9FD5-10E768F98A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002811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189785437126697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A3-4B0A-9FD5-10E768F98A9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26691521492206"/>
                  <c:y val="0.58278145695364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A3-4B0A-9FD5-10E768F98A9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893442136529409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8A3-4B0A-9FD5-10E768F98A9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149326764607589"/>
                  <c:y val="0.60596026490066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8A3-4B0A-9FD5-10E768F98A9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170659159551527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8A3-4B0A-9FD5-10E768F98A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A3-4B0A-9FD5-10E768F98A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0028111"/>
        <c:axId val="1"/>
      </c:lineChart>
      <c:catAx>
        <c:axId val="2120028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028111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6092715231788075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369774919614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8327974276527331"/>
          <c:w val="0.80810318674122417"/>
          <c:h val="0.58842443729903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791088285298139"/>
                  <c:y val="0.25080385852090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23-4E61-9381-85099A1AB19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23794212218649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23-4E61-9381-85099A1AB19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010718253096524"/>
                  <c:y val="0.25723472668810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23-4E61-9381-85099A1AB1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23-4E61-9381-85099A1AB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0030431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A23-4E61-9381-85099A1AB192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A23-4E61-9381-85099A1AB19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A23-4E61-9381-85099A1AB192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A23-4E61-9381-85099A1AB19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3A23-4E61-9381-85099A1AB192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A23-4E61-9381-85099A1AB192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3A23-4E61-9381-85099A1AB192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A23-4E61-9381-85099A1AB192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A23-4E61-9381-85099A1AB192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A23-4E61-9381-85099A1AB1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23-4E61-9381-85099A1AB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0030431"/>
        <c:axId val="1"/>
      </c:lineChart>
      <c:catAx>
        <c:axId val="212003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30868167202572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030431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710610932475887"/>
          <c:w val="0.35181273301398941"/>
          <c:h val="7.7170418006430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3907284768211919"/>
          <c:w val="0.81052714897938838"/>
          <c:h val="0.6192052980132450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-1.2945470000000003</c:v>
                </c:pt>
                <c:pt idx="4">
                  <c:v>22.771759999999997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3-43EA-8497-2CF57460E5EF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26.414453000000002</c:v>
                </c:pt>
                <c:pt idx="4">
                  <c:v>84.192996999999991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3-43EA-8497-2CF57460E5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003182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10542979587766"/>
                  <c:y val="0.42052980132450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43-43EA-8497-2CF57460E5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105302328641372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43-43EA-8497-2CF57460E5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210575874358425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43-43EA-8497-2CF57460E5E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421122965792525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43-43EA-8497-2CF57460E5E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36850264031932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43-43EA-8497-2CF57460E5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43-43EA-8497-2CF57460E5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0031823"/>
        <c:axId val="1"/>
      </c:lineChart>
      <c:catAx>
        <c:axId val="2120031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031823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84245152390163"/>
          <c:y val="0.87748344370860931"/>
          <c:w val="0.42947412569297461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893617021276596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5531914893617"/>
          <c:y val="0.13738040600727275"/>
          <c:w val="0.85106382978723405"/>
          <c:h val="0.67092756422156463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Team'!$D$76:$O$76</c:f>
              <c:numCache>
                <c:formatCode>_(* #,##0.0_);_(* \(#,##0.0\);_(* "-"??_);_(@_)</c:formatCode>
                <c:ptCount val="12"/>
                <c:pt idx="0">
                  <c:v>2.5299999999999998</c:v>
                </c:pt>
                <c:pt idx="1">
                  <c:v>-20.100999999999999</c:v>
                </c:pt>
                <c:pt idx="2">
                  <c:v>-2.1040000000000001</c:v>
                </c:pt>
                <c:pt idx="3">
                  <c:v>12.176</c:v>
                </c:pt>
                <c:pt idx="4">
                  <c:v>-82.956000000000003</c:v>
                </c:pt>
                <c:pt idx="5">
                  <c:v>39.329000000000001</c:v>
                </c:pt>
                <c:pt idx="6">
                  <c:v>-47.298999999999999</c:v>
                </c:pt>
                <c:pt idx="7">
                  <c:v>-3.9849999999999999</c:v>
                </c:pt>
                <c:pt idx="8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7-4690-B360-591BD452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029039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Team'!$D$77:$L$77</c:f>
              <c:numCache>
                <c:formatCode>_(* #,##0.0_);_(* \(#,##0.0\);_(* "-"??_);_(@_)</c:formatCode>
                <c:ptCount val="9"/>
                <c:pt idx="0">
                  <c:v>2.5299999999999998</c:v>
                </c:pt>
                <c:pt idx="1">
                  <c:v>-17.570999999999998</c:v>
                </c:pt>
                <c:pt idx="2">
                  <c:v>-19.674999999999997</c:v>
                </c:pt>
                <c:pt idx="3">
                  <c:v>-7.498999999999997</c:v>
                </c:pt>
                <c:pt idx="4">
                  <c:v>-90.454999999999998</c:v>
                </c:pt>
                <c:pt idx="5">
                  <c:v>-51.125999999999998</c:v>
                </c:pt>
                <c:pt idx="6">
                  <c:v>-98.424999999999997</c:v>
                </c:pt>
                <c:pt idx="7">
                  <c:v>-102.41</c:v>
                </c:pt>
                <c:pt idx="8">
                  <c:v>-101.961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7-4690-B360-591BD452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29039"/>
        <c:axId val="1"/>
      </c:lineChart>
      <c:catAx>
        <c:axId val="2120029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412141218021818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02903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68085106382977"/>
          <c:y val="0.91054455144355195"/>
          <c:w val="0.78936170212765955"/>
          <c:h val="7.66774359110359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4552233134238"/>
          <c:y val="0.15562913907284767"/>
          <c:w val="0.8486149559973805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4">
                  <c:v>1.1081749999999997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F-41B3-9818-C3AE5FF786B4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722887088226992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9F-41B3-9818-C3AE5FF786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F-41B3-9818-C3AE5FF786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3297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539511780708391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9F-41B3-9818-C3AE5FF786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F-41B3-9818-C3AE5FF786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32975"/>
        <c:axId val="1"/>
      </c:lineChart>
      <c:catAx>
        <c:axId val="43732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732975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799600421025892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4">
                  <c:v>0.65853799999999996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7-4046-9955-B486F5EC1306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7-4046-9955-B486F5EC13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3390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3263233206448608"/>
                  <c:y val="0.58416029857769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57-4046-9955-B486F5EC130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00009457246564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57-4046-9955-B486F5EC13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7-4046-9955-B486F5EC13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33903"/>
        <c:axId val="1"/>
      </c:lineChart>
      <c:catAx>
        <c:axId val="4373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733903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989489969401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61-4A35-925F-BBA01D6F45B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61-4A35-925F-BBA01D6F45B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718578964738561"/>
                  <c:y val="0.39403973509933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61-4A35-925F-BBA01D6F45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1-4A35-925F-BBA01D6F45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20911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F61-4A35-925F-BBA01D6F45B8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F61-4A35-925F-BBA01D6F45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61-4A35-925F-BBA01D6F45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20911"/>
        <c:axId val="1"/>
      </c:lineChart>
      <c:catAx>
        <c:axId val="4372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720911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4">
                  <c:v>-0.52497600000000011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7-44AF-96FD-17FC37CAAE83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7-44AF-96FD-17FC37CAA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2230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5331125827814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F7-44AF-96FD-17FC37CAAE8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7-44AF-96FD-17FC37CAA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22303"/>
        <c:axId val="1"/>
      </c:lineChart>
      <c:catAx>
        <c:axId val="43722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722303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4211747705127"/>
          <c:y val="0.17549668874172186"/>
          <c:w val="0.78464900454029163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127994369663651"/>
                  <c:y val="0.745033112582781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DF-47A1-9B60-DAB1A04AA8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-9.2724000000000001E-2</c:v>
                </c:pt>
                <c:pt idx="4">
                  <c:v>2.8631720000000001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F-47A1-9B60-DAB1A04AA84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DF-47A1-9B60-DAB1A04AA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002579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EBDF-47A1-9B60-DAB1A04AA84A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BDF-47A1-9B60-DAB1A04AA84A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BDF-47A1-9B60-DAB1A04AA84A}"/>
              </c:ext>
            </c:extLst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DF-47A1-9B60-DAB1A04AA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0025791"/>
        <c:axId val="1"/>
      </c:lineChart>
      <c:catAx>
        <c:axId val="2120025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025791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0651424085721"/>
          <c:y val="0.17197452229299362"/>
          <c:w val="0.82302857541454499"/>
          <c:h val="0.54140127388535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5928948236928"/>
                  <c:y val="0.5923566878980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3A-4DD5-94AF-1DD4A50A72A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5923566878980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3A-4DD5-94AF-1DD4A50A72A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88734434066864"/>
                  <c:y val="0.53184713375796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3A-4DD5-94AF-1DD4A50A72A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51176925615636"/>
                  <c:y val="0.33757961783439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3A-4DD5-94AF-1DD4A50A72A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34804078245851"/>
                  <c:y val="0.4140127388535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3A-4DD5-94AF-1DD4A50A72A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290037282238303"/>
                  <c:y val="0.388535031847133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3A-4DD5-94AF-1DD4A50A72A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539511780708391"/>
                  <c:y val="0.378980891719745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3A-4DD5-94AF-1DD4A50A72A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1002206117368771"/>
                  <c:y val="0.40127388535031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3A-4DD5-94AF-1DD4A50A72A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8464900454029163"/>
                  <c:y val="0.41082802547770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3A-4DD5-94AF-1DD4A50A72A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3A-4DD5-94AF-1DD4A50A72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426639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417927540652841"/>
                  <c:y val="0.662420382165605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3A-4DD5-94AF-1DD4A50A72A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454182200932627"/>
                  <c:y val="0.64649681528662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83A-4DD5-94AF-1DD4A50A72A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850777346641527"/>
                  <c:y val="0.56369426751592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83A-4DD5-94AF-1DD4A50A72A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43949044585987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83A-4DD5-94AF-1DD4A50A72A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349726343581697"/>
                  <c:y val="0.50955414012738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83A-4DD5-94AF-1DD4A50A72A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533101651100298"/>
                  <c:y val="0.48726114649681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83A-4DD5-94AF-1DD4A50A72A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590688706324031"/>
                  <c:y val="0.27070063694267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3A-4DD5-94AF-1DD4A50A72A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83A-4DD5-94AF-1DD4A50A72AC}"/>
            </c:ext>
          </c:extLst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788986279178479"/>
                  <c:y val="0.32802547770700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83A-4DD5-94AF-1DD4A50A72A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759141748506787"/>
                  <c:y val="0.2929936305732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83A-4DD5-94AF-1DD4A50A72AC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3155736894215682"/>
                  <c:y val="0.28025477707006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83A-4DD5-94AF-1DD4A50A72A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912672525353686"/>
                  <c:y val="0.27070063694267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83A-4DD5-94AF-1DD4A50A72A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83A-4DD5-94AF-1DD4A50A72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426639"/>
        <c:axId val="1"/>
      </c:lineChart>
      <c:catAx>
        <c:axId val="2119426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1719745222929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26639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961643333600553"/>
          <c:y val="0.85350318471337583"/>
          <c:w val="0.65458490324421059"/>
          <c:h val="0.105095541401273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Headcount</a:t>
            </a:r>
          </a:p>
        </c:rich>
      </c:tx>
      <c:layout>
        <c:manualLayout>
          <c:xMode val="edge"/>
          <c:yMode val="edge"/>
          <c:x val="0.3021276595744680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02127659574468"/>
          <c:y val="0.17821839617624594"/>
          <c:w val="0.85531914893617023"/>
          <c:h val="0.4983514411595024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14893617021277"/>
                  <c:y val="0.5049521224993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00-4689-BEEC-EA189FA65C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808510638297873"/>
                  <c:y val="0.577559617237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00-4689-BEEC-EA189FA65CE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04255319148936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00-4689-BEEC-EA189FA65CE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765957446808516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00-4689-BEEC-EA189FA65CE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638297872340425"/>
                  <c:y val="0.49505110048957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00-4689-BEEC-EA189FA65CEE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936170212765953"/>
                  <c:y val="0.18481907751610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00-4689-BEEC-EA189FA65C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Input'!$BD$4:$BD$13</c:f>
              <c:numCache>
                <c:formatCode>General</c:formatCode>
                <c:ptCount val="10"/>
                <c:pt idx="0">
                  <c:v>143</c:v>
                </c:pt>
                <c:pt idx="1">
                  <c:v>96</c:v>
                </c:pt>
                <c:pt idx="2">
                  <c:v>48</c:v>
                </c:pt>
                <c:pt idx="3">
                  <c:v>30</c:v>
                </c:pt>
                <c:pt idx="4">
                  <c:v>34</c:v>
                </c:pt>
                <c:pt idx="5">
                  <c:v>62</c:v>
                </c:pt>
                <c:pt idx="6">
                  <c:v>39</c:v>
                </c:pt>
                <c:pt idx="7">
                  <c:v>18</c:v>
                </c:pt>
                <c:pt idx="8">
                  <c:v>165</c:v>
                </c:pt>
                <c:pt idx="9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00-4689-BEEC-EA189FA65CEE}"/>
            </c:ext>
          </c:extLst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57446808510639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300-4689-BEEC-EA189FA65CE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468085106382984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300-4689-BEEC-EA189FA65C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Input'!$BE$4:$BE$13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92</c:v>
                </c:pt>
                <c:pt idx="6">
                  <c:v>44</c:v>
                </c:pt>
                <c:pt idx="7">
                  <c:v>27</c:v>
                </c:pt>
                <c:pt idx="8">
                  <c:v>118</c:v>
                </c:pt>
                <c:pt idx="9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00-4689-BEEC-EA189FA65C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0281183"/>
        <c:axId val="1"/>
      </c:barChart>
      <c:catAx>
        <c:axId val="212028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379539177042005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281183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"/>
          <c:y val="0.9108940249008125"/>
          <c:w val="0.2404255319148936"/>
          <c:h val="7.9208176078331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5804189765821"/>
          <c:y val="0.1490066225165563"/>
          <c:w val="0.80631661833533952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473767962343713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77-465E-83F1-A5CE46C715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-8.8559339999999995</c:v>
                </c:pt>
                <c:pt idx="4">
                  <c:v>-18.624738999999998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7-465E-83F1-A5CE46C715D4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6736931267404671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77-465E-83F1-A5CE46C715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7-465E-83F1-A5CE46C715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43174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7477-465E-83F1-A5CE46C715D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477-465E-83F1-A5CE46C715D4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7477-465E-83F1-A5CE46C715D4}"/>
              </c:ext>
            </c:extLst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477-465E-83F1-A5CE46C715D4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7052638828781691"/>
                  <c:y val="0.354304635761589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77-465E-83F1-A5CE46C715D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736931267404671"/>
                  <c:y val="0.3509933774834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77-465E-83F1-A5CE46C715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77-465E-83F1-A5CE46C715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431743"/>
        <c:axId val="1"/>
      </c:lineChart>
      <c:catAx>
        <c:axId val="2119431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2631633050609632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31743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00032894770658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31919768278447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18452715409189E-2"/>
          <c:y val="0.13694267515923567"/>
          <c:w val="0.8619975409649121"/>
          <c:h val="0.67197452229299359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Team'!$D$85:$O$85</c:f>
              <c:numCache>
                <c:formatCode>_(* #,##0.0_);_(* \(#,##0.0\);_(* "-"??_);_(@_)</c:formatCode>
                <c:ptCount val="12"/>
                <c:pt idx="0">
                  <c:v>-0.10299999999999999</c:v>
                </c:pt>
                <c:pt idx="1">
                  <c:v>-0.186</c:v>
                </c:pt>
                <c:pt idx="2">
                  <c:v>-14.026999999999999</c:v>
                </c:pt>
                <c:pt idx="3">
                  <c:v>-1.9930000000000001</c:v>
                </c:pt>
                <c:pt idx="4">
                  <c:v>-1.925</c:v>
                </c:pt>
                <c:pt idx="5">
                  <c:v>-1.925</c:v>
                </c:pt>
                <c:pt idx="6">
                  <c:v>-1.143</c:v>
                </c:pt>
                <c:pt idx="7">
                  <c:v>-1.9219999999999999</c:v>
                </c:pt>
                <c:pt idx="8">
                  <c:v>-1.968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4344-BE67-1C988CB0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430815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Team'!$D$86:$L$86</c:f>
              <c:numCache>
                <c:formatCode>_(* #,##0.0_);_(* \(#,##0.0\);_(* "-"??_);_(@_)</c:formatCode>
                <c:ptCount val="9"/>
                <c:pt idx="0">
                  <c:v>-0.10299999999999999</c:v>
                </c:pt>
                <c:pt idx="1">
                  <c:v>-0.28899999999999998</c:v>
                </c:pt>
                <c:pt idx="2">
                  <c:v>-14.315999999999999</c:v>
                </c:pt>
                <c:pt idx="3">
                  <c:v>-16.308999999999997</c:v>
                </c:pt>
                <c:pt idx="4">
                  <c:v>-18.233999999999998</c:v>
                </c:pt>
                <c:pt idx="5">
                  <c:v>-20.158999999999999</c:v>
                </c:pt>
                <c:pt idx="6">
                  <c:v>-21.302</c:v>
                </c:pt>
                <c:pt idx="7">
                  <c:v>-23.224</c:v>
                </c:pt>
                <c:pt idx="8">
                  <c:v>-25.192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B-4344-BE67-1C988CB0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30815"/>
        <c:axId val="1"/>
      </c:lineChart>
      <c:catAx>
        <c:axId val="2119430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15733263114682E-2"/>
              <c:y val="0.410828025477707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3081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225082572573672"/>
          <c:y val="0.91082802547770703"/>
          <c:w val="0.78768740812310933"/>
          <c:h val="7.6433121019108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218543046357615"/>
          <c:w val="0.75693042557555301"/>
          <c:h val="0.5794701986754966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439259935596782"/>
                  <c:y val="0.49668874172185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15-4905-A694-38BF29753A4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049074919495974"/>
                  <c:y val="0.49006622516556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15-4905-A694-38BF29753A4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32450227014581"/>
                  <c:y val="0.48013245033112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15-4905-A694-38BF29753A4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3539511780708391"/>
                  <c:y val="0.3509933774834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15-4905-A694-38BF29753A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1447</c:v>
                </c:pt>
                <c:pt idx="9">
                  <c:v>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5-4905-A694-38BF29753A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430351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15-4905-A694-38BF29753A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430351"/>
        <c:axId val="1"/>
      </c:lineChart>
      <c:catAx>
        <c:axId val="2119430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0794701986754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303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901954272257162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3861430813708017"/>
          <c:w val="0.8231587409115346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526343057507257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E7-44CC-A295-E1D7F1EA016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84245152390163"/>
                  <c:y val="0.30363134163360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E7-44CC-A295-E1D7F1EA016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E7-44CC-A295-E1D7F1EA016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2101</c:v>
                </c:pt>
                <c:pt idx="9">
                  <c:v>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7-44CC-A295-E1D7F1EA01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9426175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E7-44CC-A295-E1D7F1EA01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426175"/>
        <c:axId val="1"/>
      </c:lineChart>
      <c:catAx>
        <c:axId val="2119426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261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36845329816334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6556291390728478"/>
          <c:w val="0.83155736894215682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4-4925-A31B-CB3DCEE5D7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563775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4-4925-A31B-CB3DCEE5D7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563775"/>
        <c:axId val="1"/>
      </c:lineChart>
      <c:catAx>
        <c:axId val="42563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2563775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7313471683301908"/>
          <c:y val="0.89735099337748347"/>
          <c:w val="0.3603415265416012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490066225165563"/>
          <c:w val="0.8000008223692664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2-4995-AD9D-B3BA9415C4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561919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2000032894770658"/>
                  <c:y val="0.7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92-4995-AD9D-B3BA9415C4B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8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92-4995-AD9D-B3BA9415C4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2-4995-AD9D-B3BA9415C4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561919"/>
        <c:axId val="1"/>
      </c:lineChart>
      <c:catAx>
        <c:axId val="42561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25619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2210559426973095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2649108397522"/>
          <c:y val="0.15231788079470199"/>
          <c:w val="0.72631653609841296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263237318294942"/>
                  <c:y val="0.69205298013245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2C-48CC-8621-14EFAEF2E7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-2.2354279999999997</c:v>
                </c:pt>
                <c:pt idx="4">
                  <c:v>-16.042884999999998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C-48CC-8621-14EFAEF2E7A4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C-48CC-8621-14EFAEF2E7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56748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368490304780326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2C-48CC-8621-14EFAEF2E7A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526396511509566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2C-48CC-8621-14EFAEF2E7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2C-48CC-8621-14EFAEF2E7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567487"/>
        <c:axId val="1"/>
      </c:lineChart>
      <c:catAx>
        <c:axId val="4256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2567487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78979830365778"/>
          <c:y val="0.88079470198675491"/>
          <c:w val="0.45263204423524284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7549668874172186"/>
          <c:w val="0.78038460777648566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341214207853944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ED-490E-9A15-06EB4052751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810318674122417"/>
                  <c:y val="0.60596026490066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ED-490E-9A15-06EB4052751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2.2240000000000002</c:v>
                </c:pt>
                <c:pt idx="4">
                  <c:v>6.2435590000000003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D-490E-9A15-06EB40527510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ED-490E-9A15-06EB405275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2369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914774531473347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ED-490E-9A15-06EB4052751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906262395745594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ED-490E-9A15-06EB4052751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ED-490E-9A15-06EB405275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23695"/>
        <c:axId val="1"/>
      </c:lineChart>
      <c:catAx>
        <c:axId val="4372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723695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78919450167671"/>
          <c:y val="0.8741721854304636"/>
          <c:w val="0.45202605696342885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6878980891719744"/>
          <c:w val="0.77612021101267969"/>
          <c:h val="0.61146496815286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9"/>
              <c:layout>
                <c:manualLayout>
                  <c:xMode val="edge"/>
                  <c:yMode val="edge"/>
                  <c:x val="0.7228152514651055"/>
                  <c:y val="0.2356687898089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F0-4AAF-8C89-3DC38C84A3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0-4AAF-8C89-3DC38C84A3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26479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7F0-4AAF-8C89-3DC38C84A3D0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7F0-4AAF-8C89-3DC38C84A3D0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7F0-4AAF-8C89-3DC38C84A3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0-4AAF-8C89-3DC38C84A3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26479"/>
        <c:axId val="1"/>
      </c:lineChart>
      <c:catAx>
        <c:axId val="43726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29936305732484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726479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808917197452232"/>
          <c:w val="0.3475483362501835"/>
          <c:h val="7.6433121019108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4957663282143059"/>
          <c:y val="3.4920743181867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435419048162E-2"/>
          <c:y val="0.13650835971093661"/>
          <c:w val="0.86228902762619553"/>
          <c:h val="0.66984334648854937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Team'!$D$94:$O$94</c:f>
              <c:numCache>
                <c:formatCode>_(* #,##0.0_);_(* \(#,##0.0\);_(* "-"??_);_(@_)</c:formatCode>
                <c:ptCount val="12"/>
                <c:pt idx="0">
                  <c:v>0.129</c:v>
                </c:pt>
                <c:pt idx="1">
                  <c:v>-24.236000000000001</c:v>
                </c:pt>
                <c:pt idx="2">
                  <c:v>11.356999999999999</c:v>
                </c:pt>
                <c:pt idx="3">
                  <c:v>-1.88</c:v>
                </c:pt>
                <c:pt idx="4">
                  <c:v>-11.257</c:v>
                </c:pt>
                <c:pt idx="5">
                  <c:v>6.45</c:v>
                </c:pt>
                <c:pt idx="6">
                  <c:v>-0.56699999999999995</c:v>
                </c:pt>
                <c:pt idx="7">
                  <c:v>-15.481</c:v>
                </c:pt>
                <c:pt idx="8">
                  <c:v>14.911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1-4EFE-8437-A277ED32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28335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Team'!$D$95:$L$95</c:f>
              <c:numCache>
                <c:formatCode>_(* #,##0.0_);_(* \(#,##0.0\);_(* "-"??_);_(@_)</c:formatCode>
                <c:ptCount val="9"/>
                <c:pt idx="0">
                  <c:v>0.129</c:v>
                </c:pt>
                <c:pt idx="1">
                  <c:v>-24.106999999999999</c:v>
                </c:pt>
                <c:pt idx="2">
                  <c:v>-12.75</c:v>
                </c:pt>
                <c:pt idx="3">
                  <c:v>-14.629999999999999</c:v>
                </c:pt>
                <c:pt idx="4">
                  <c:v>-25.887</c:v>
                </c:pt>
                <c:pt idx="5">
                  <c:v>-19.437000000000001</c:v>
                </c:pt>
                <c:pt idx="6">
                  <c:v>-20.004000000000001</c:v>
                </c:pt>
                <c:pt idx="7">
                  <c:v>-35.484999999999999</c:v>
                </c:pt>
                <c:pt idx="8">
                  <c:v>-20.573999999999998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1-4EFE-8437-A277ED32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8335"/>
        <c:axId val="1"/>
      </c:lineChart>
      <c:catAx>
        <c:axId val="43728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9323129761911E-2"/>
              <c:y val="0.4095250791328098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7283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406794564761988"/>
          <c:y val="0.91111393574508848"/>
          <c:w val="0.78601776228333786"/>
          <c:h val="7.61907123968018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577586206896552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931034482758"/>
          <c:y val="0.13531396746714969"/>
          <c:w val="0.78448275862068961"/>
          <c:h val="0.66666881532595701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  <c:pt idx="8">
                  <c:v>1113.4469999999999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6-4705-96A8-949D9ADD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83503"/>
        <c:axId val="1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2.0266631997022267E-2</c:v>
                </c:pt>
                <c:pt idx="1">
                  <c:v>2.0266631997022267E-2</c:v>
                </c:pt>
                <c:pt idx="2">
                  <c:v>2.0266631997022267E-2</c:v>
                </c:pt>
                <c:pt idx="3">
                  <c:v>2.0266631997022267E-2</c:v>
                </c:pt>
                <c:pt idx="4">
                  <c:v>2.0266631997022267E-2</c:v>
                </c:pt>
                <c:pt idx="5">
                  <c:v>2.0266631997022267E-2</c:v>
                </c:pt>
                <c:pt idx="6">
                  <c:v>2.0266631997022267E-2</c:v>
                </c:pt>
                <c:pt idx="7">
                  <c:v>2.0266631997022267E-2</c:v>
                </c:pt>
                <c:pt idx="8">
                  <c:v>2.0266631997022267E-2</c:v>
                </c:pt>
                <c:pt idx="9">
                  <c:v>2.0266631997022267E-2</c:v>
                </c:pt>
                <c:pt idx="10">
                  <c:v>2.0266631997022267E-2</c:v>
                </c:pt>
                <c:pt idx="11">
                  <c:v>2.0266631997022267E-2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6-4705-96A8-949D9ADD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12028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75862068965518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28350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560344827586207"/>
          <c:y val="0.89769266222109056"/>
          <c:w val="0.80387931034482762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48927185633484E-2"/>
          <c:y val="0.15562913907284767"/>
          <c:w val="0.8550115511430894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6E2-42B9-BABD-C93D3386CB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3">
                  <c:v>1.415E-3</c:v>
                </c:pt>
                <c:pt idx="4">
                  <c:v>2.264E-3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2-42B9-BABD-C93D3386CB00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509667250036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E2-42B9-BABD-C93D3386CB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2-42B9-BABD-C93D3386CB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563311"/>
        <c:axId val="1"/>
      </c:barChart>
      <c:catAx>
        <c:axId val="42563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2563311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373160744645296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592790712443686"/>
          <c:y val="3.4810180370754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2974703592735723"/>
          <c:w val="0.77398801263077677"/>
          <c:h val="0.661393427044333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734178349637728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B0-42EC-BAFA-F9370C51893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961643333600553"/>
                  <c:y val="0.74050747334150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B0-42EC-BAFA-F9370C51893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731013787785842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B0-42EC-BAFA-F9370C5189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0-42EC-BAFA-F9370C5189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576303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2B0-42EC-BAFA-F9370C51893F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2B0-42EC-BAFA-F9370C5189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B0-42EC-BAFA-F9370C5189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576303"/>
        <c:axId val="1"/>
      </c:lineChart>
      <c:catAx>
        <c:axId val="42576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1393040745279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257630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873556593584036"/>
          <c:w val="0.31343316213973604"/>
          <c:h val="7.5949484445282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05347558951025"/>
                  <c:y val="0.64569536423841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A1-4A9D-9D11-AABC17BEB8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3">
                  <c:v>-3.3649630000000004</c:v>
                </c:pt>
                <c:pt idx="4">
                  <c:v>-5.8958729999999999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1-4A9D-9D11-AABC17BEB820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A1-4A9D-9D11-AABC17BEB8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56516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9A1-4A9D-9D11-AABC17BEB820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C9A1-4A9D-9D11-AABC17BEB820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C9A1-4A9D-9D11-AABC17BEB820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C9A1-4A9D-9D11-AABC17BEB820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C9A1-4A9D-9D11-AABC17BEB820}"/>
              </c:ext>
            </c:extLst>
          </c:dPt>
          <c:dLbls>
            <c:delete val="1"/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A1-4A9D-9D11-AABC17BEB8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565167"/>
        <c:axId val="1"/>
      </c:lineChart>
      <c:catAx>
        <c:axId val="42565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2565167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095137420718814"/>
          <c:y val="3.4810180370754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52431289640596E-2"/>
          <c:y val="0.13607615963113076"/>
          <c:w val="0.87315010570824525"/>
          <c:h val="0.67088711259999356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'Cash Flow by Team'!$D$8:$O$8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Flow by Team'!$D$103:$O$103</c:f>
              <c:numCache>
                <c:formatCode>_(* #,##0.0_);_(* \(#,##0.0\);_(* "-"??_);_(@_)</c:formatCode>
                <c:ptCount val="12"/>
                <c:pt idx="6">
                  <c:v>-1.573</c:v>
                </c:pt>
                <c:pt idx="7">
                  <c:v>-0.99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2-468D-AD99-A0BFF9A1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68415"/>
        <c:axId val="1"/>
      </c:barChart>
      <c:lineChart>
        <c:grouping val="standard"/>
        <c:varyColors val="0"/>
        <c:ser>
          <c:idx val="2"/>
          <c:order val="1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'Cash Flow by Team'!$D$104:$L$104</c:f>
              <c:numCache>
                <c:formatCode>_(* #,##0.0_);_(* \(#,##0.0\);_(* "-"??_);_(@_)</c:formatCode>
                <c:ptCount val="9"/>
                <c:pt idx="6">
                  <c:v>-1.573</c:v>
                </c:pt>
                <c:pt idx="7">
                  <c:v>-2.5629999999999997</c:v>
                </c:pt>
                <c:pt idx="8">
                  <c:v>-2.4379999999999997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2-468D-AD99-A0BFF9A1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68415"/>
        <c:axId val="1"/>
      </c:lineChart>
      <c:catAx>
        <c:axId val="42568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70824524312896E-2"/>
              <c:y val="0.411393040745279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256841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53488372093023"/>
          <c:y val="0.91139381334338743"/>
          <c:w val="0.78435517970401691"/>
          <c:h val="7.5949484445282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84530421827545E-2"/>
          <c:y val="0.17549668874172186"/>
          <c:w val="0.78891340130409748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693042557555301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25-43D0-ADA2-0CFA6880AB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3D0-ADA2-0CFA6880AB7B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3D0-ADA2-0CFA6880AB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2740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701554693283054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25-43D0-ADA2-0CFA6880AB7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053383042984412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5-43D0-ADA2-0CFA6880AB7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25-43D0-ADA2-0CFA6880AB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27407"/>
        <c:axId val="1"/>
      </c:lineChart>
      <c:catAx>
        <c:axId val="43727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727407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35203657219959"/>
          <c:y val="0.83443708609271527"/>
          <c:w val="0.505331016511002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4842192477582723"/>
          <c:h val="0.544556210538529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1-4B82-B6D5-F5BC264F1DB9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368510864011995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F1-4B82-B6D5-F5BC264F1D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1-4B82-B6D5-F5BC264F1D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3158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263229094602274"/>
                  <c:y val="0.45874735312033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F1-4B82-B6D5-F5BC264F1D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000090460619307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F1-4B82-B6D5-F5BC264F1D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1-4B82-B6D5-F5BC264F1D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31583"/>
        <c:axId val="1"/>
      </c:lineChart>
      <c:catAx>
        <c:axId val="4373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731583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6138891485185531"/>
          <c:w val="0.47157943213346232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750615037204"/>
          <c:y val="0.12913907284768211"/>
          <c:w val="0.79530999644980638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172761165671188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51-49C7-99D6-0E7B395EF6A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51-49C7-99D6-0E7B395EF6A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292139288357969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51-49C7-99D6-0E7B395EF6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1-49C7-99D6-0E7B395EF6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34831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893442136529409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51-49C7-99D6-0E7B395EF6A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1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51-49C7-99D6-0E7B395EF6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1-49C7-99D6-0E7B395EF6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34831"/>
        <c:axId val="1"/>
      </c:lineChart>
      <c:catAx>
        <c:axId val="43734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70575870552237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734831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69755890354195"/>
          <c:y val="0.89735099337748347"/>
          <c:w val="0.28784678155690047"/>
          <c:h val="7.6158940397350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5374732334047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235546038544"/>
          <c:y val="0.15231788079470199"/>
          <c:w val="0.72805139186295498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3-4BA8-9AAE-C0F14B8CB038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012847965738755"/>
                  <c:y val="0.58609271523178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43-4BA8-9AAE-C0F14B8CB0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3-4BA8-9AAE-C0F14B8CB0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2462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451820128479656"/>
                  <c:y val="0.67549668874172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43-4BA8-9AAE-C0F14B8CB03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366167023554608"/>
                  <c:y val="0.6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43-4BA8-9AAE-C0F14B8CB0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3-4BA8-9AAE-C0F14B8CB0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24623"/>
        <c:axId val="1"/>
      </c:lineChart>
      <c:catAx>
        <c:axId val="43724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9957173447537475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3724623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19914346895073"/>
          <c:y val="0.86092715231788075"/>
          <c:w val="0.46038543897216272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849541854716595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7656539097234"/>
          <c:y val="0.13311688311688311"/>
          <c:w val="0.84946414958028726"/>
          <c:h val="0.6720779220779220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84.108000000000004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4-429D-8BB6-44A496E8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76543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4-429D-8BB6-44A496E8E011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Employed'!$D$11:$L$11</c:f>
              <c:numCache>
                <c:formatCode>_(* #,##0.0_);_(* \(#,##0.0\);_(* "-"??_);_(@_)</c:formatCode>
                <c:ptCount val="9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  <c:pt idx="8">
                  <c:v>-261.14999999999998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4-429D-8BB6-44A496E8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76543"/>
        <c:axId val="1"/>
      </c:lineChart>
      <c:catAx>
        <c:axId val="2120276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52710754180852E-2"/>
              <c:y val="0.405844155844155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2027654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78523980435106"/>
          <c:y val="0.90909090909090906"/>
          <c:w val="0.79785113796021923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Net Cash Flow</a:t>
            </a:r>
          </a:p>
        </c:rich>
      </c:tx>
      <c:layout>
        <c:manualLayout>
          <c:xMode val="edge"/>
          <c:yMode val="edge"/>
          <c:x val="0.35193169923100864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5032477024037"/>
          <c:y val="0.13442622950819672"/>
          <c:w val="0.8497862981431672"/>
          <c:h val="0.6688524590163934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Employed'!$D$40:$O$40</c:f>
              <c:numCache>
                <c:formatCode>General</c:formatCode>
                <c:ptCount val="12"/>
                <c:pt idx="0">
                  <c:v>4.6000000000000227</c:v>
                </c:pt>
                <c:pt idx="1">
                  <c:v>-111.7</c:v>
                </c:pt>
                <c:pt idx="2">
                  <c:v>-51.199999999999989</c:v>
                </c:pt>
                <c:pt idx="3">
                  <c:v>-48.2</c:v>
                </c:pt>
                <c:pt idx="4">
                  <c:v>-113.3</c:v>
                </c:pt>
                <c:pt idx="5">
                  <c:v>11.5</c:v>
                </c:pt>
                <c:pt idx="6">
                  <c:v>104.3</c:v>
                </c:pt>
                <c:pt idx="7">
                  <c:v>-49.5</c:v>
                </c:pt>
                <c:pt idx="8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D-4A0F-861B-66F3474C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467887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Employed'!$D$43:$O$43</c:f>
              <c:numCache>
                <c:formatCode>General</c:formatCode>
                <c:ptCount val="12"/>
                <c:pt idx="0">
                  <c:v>0.5</c:v>
                </c:pt>
                <c:pt idx="1">
                  <c:v>-12.2</c:v>
                </c:pt>
                <c:pt idx="2">
                  <c:v>-32.299999999999997</c:v>
                </c:pt>
                <c:pt idx="3">
                  <c:v>-21.599999999999998</c:v>
                </c:pt>
                <c:pt idx="4">
                  <c:v>-22.2</c:v>
                </c:pt>
                <c:pt idx="5">
                  <c:v>-11.399999999999999</c:v>
                </c:pt>
                <c:pt idx="6">
                  <c:v>-10.7</c:v>
                </c:pt>
                <c:pt idx="7">
                  <c:v>-10</c:v>
                </c:pt>
                <c:pt idx="8">
                  <c:v>1.0999999999999996</c:v>
                </c:pt>
                <c:pt idx="9">
                  <c:v>17</c:v>
                </c:pt>
                <c:pt idx="10">
                  <c:v>21</c:v>
                </c:pt>
                <c:pt idx="11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D-4A0F-861B-66F3474CC265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Employed'!$D$41:$L$41</c:f>
              <c:numCache>
                <c:formatCode>General</c:formatCode>
                <c:ptCount val="9"/>
                <c:pt idx="0">
                  <c:v>4.6000000000000227</c:v>
                </c:pt>
                <c:pt idx="1">
                  <c:v>-107.09999999999998</c:v>
                </c:pt>
                <c:pt idx="2">
                  <c:v>-158.29999999999995</c:v>
                </c:pt>
                <c:pt idx="3">
                  <c:v>-206.49999999999994</c:v>
                </c:pt>
                <c:pt idx="4">
                  <c:v>-319.79999999999995</c:v>
                </c:pt>
                <c:pt idx="5">
                  <c:v>-308.29999999999995</c:v>
                </c:pt>
                <c:pt idx="6">
                  <c:v>-203.99999999999994</c:v>
                </c:pt>
                <c:pt idx="7">
                  <c:v>-253.49999999999994</c:v>
                </c:pt>
                <c:pt idx="8">
                  <c:v>-240.99999999999994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D-4A0F-861B-66F3474C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67887"/>
        <c:axId val="1"/>
      </c:lineChart>
      <c:catAx>
        <c:axId val="2119467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29624976555141E-2"/>
              <c:y val="0.406557377049180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1946788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63104969052787"/>
          <c:y val="0.90819672131147544"/>
          <c:w val="0.79613817326039149"/>
          <c:h val="7.86885245901639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9629967798391"/>
          <c:y val="0.1490066225165563"/>
          <c:w val="0.80810318674122417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3752731618898695"/>
                  <c:y val="0.73178807947019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B-4130-B4BF-014F2FBF86D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744219483170942"/>
                  <c:y val="0.48344370860927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9B-4130-B4BF-014F2FBF86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-16.135788999999999</c:v>
                </c:pt>
                <c:pt idx="3">
                  <c:v>-46.958415000000002</c:v>
                </c:pt>
                <c:pt idx="4">
                  <c:v>31.673782000000003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B-4130-B4BF-014F2FBF86D7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B-4130-B4BF-014F2FBF86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733193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9B-4130-B4BF-014F2FBF86D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313471683301908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9B-4130-B4BF-014F2FBF86D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23938091286828"/>
                  <c:y val="0.62251655629139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9B-4130-B4BF-014F2FBF86D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831651069066366"/>
                  <c:y val="0.40397350993377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9B-4130-B4BF-014F2FBF86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9B-4130-B4BF-014F2FBF86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331935"/>
        <c:axId val="1"/>
      </c:lineChart>
      <c:catAx>
        <c:axId val="3733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7331935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174863171790848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9525</xdr:colOff>
      <xdr:row>22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94A830F0-B439-A417-EFBA-964728C31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257175</xdr:colOff>
      <xdr:row>41</xdr:row>
      <xdr:rowOff>9525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4FD7C704-B43B-799F-979E-C53CA29D7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257175</xdr:colOff>
      <xdr:row>21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A14C5A48-17D7-D77E-761D-ED9E2E0B9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>
          <a:extLst>
            <a:ext uri="{FF2B5EF4-FFF2-40B4-BE49-F238E27FC236}">
              <a16:creationId xmlns:a16="http://schemas.microsoft.com/office/drawing/2014/main" id="{FD9EF7D5-C9C8-714B-F9D6-13648A46082C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1C5CDA9B-49D8-089B-D17E-4E2C189EFD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95250</xdr:colOff>
      <xdr:row>41</xdr:row>
      <xdr:rowOff>19050</xdr:rowOff>
    </xdr:to>
    <xdr:graphicFrame macro="">
      <xdr:nvGraphicFramePr>
        <xdr:cNvPr id="11292" name="Chart 28">
          <a:extLst>
            <a:ext uri="{FF2B5EF4-FFF2-40B4-BE49-F238E27FC236}">
              <a16:creationId xmlns:a16="http://schemas.microsoft.com/office/drawing/2014/main" id="{B06BCE1B-E6D7-10E2-F9E8-0A9B9C89D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133350</xdr:rowOff>
    </xdr:from>
    <xdr:ext cx="314325" cy="361950"/>
    <xdr:sp macro="" textlink="">
      <xdr:nvSpPr>
        <xdr:cNvPr id="11293" name="Text Box 29">
          <a:extLst>
            <a:ext uri="{FF2B5EF4-FFF2-40B4-BE49-F238E27FC236}">
              <a16:creationId xmlns:a16="http://schemas.microsoft.com/office/drawing/2014/main" id="{8ADA9BBA-36E8-4A96-987B-E500F46E4C76}"/>
            </a:ext>
          </a:extLst>
        </xdr:cNvPr>
        <xdr:cNvSpPr txBox="1">
          <a:spLocks noChangeArrowheads="1"/>
        </xdr:cNvSpPr>
      </xdr:nvSpPr>
      <xdr:spPr bwMode="auto">
        <a:xfrm>
          <a:off x="7924800" y="2990850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345089" name="Chart 1025">
          <a:extLst>
            <a:ext uri="{FF2B5EF4-FFF2-40B4-BE49-F238E27FC236}">
              <a16:creationId xmlns:a16="http://schemas.microsoft.com/office/drawing/2014/main" id="{30C7DFF3-3F9A-A55A-4808-054DEACB4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345090" name="Chart 1026">
          <a:extLst>
            <a:ext uri="{FF2B5EF4-FFF2-40B4-BE49-F238E27FC236}">
              <a16:creationId xmlns:a16="http://schemas.microsoft.com/office/drawing/2014/main" id="{A0211057-E70D-9BF2-6688-777DCB5A5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345091" name="Chart 1027">
          <a:extLst>
            <a:ext uri="{FF2B5EF4-FFF2-40B4-BE49-F238E27FC236}">
              <a16:creationId xmlns:a16="http://schemas.microsoft.com/office/drawing/2014/main" id="{A618E1CE-FCD2-19BF-1A81-F3BFBB72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345092" name="Chart 1028">
          <a:extLst>
            <a:ext uri="{FF2B5EF4-FFF2-40B4-BE49-F238E27FC236}">
              <a16:creationId xmlns:a16="http://schemas.microsoft.com/office/drawing/2014/main" id="{64879FF9-CF4B-7F9F-6BEA-907A41742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1029">
          <a:extLst>
            <a:ext uri="{FF2B5EF4-FFF2-40B4-BE49-F238E27FC236}">
              <a16:creationId xmlns:a16="http://schemas.microsoft.com/office/drawing/2014/main" id="{777AED9C-2E17-7BCF-E4AF-DD6B94CDFA10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1030">
          <a:extLst>
            <a:ext uri="{FF2B5EF4-FFF2-40B4-BE49-F238E27FC236}">
              <a16:creationId xmlns:a16="http://schemas.microsoft.com/office/drawing/2014/main" id="{3D76F8E9-5DF1-59C2-8968-7DAB97301E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0.17262</cdr:x>
      <cdr:y>0.09362</cdr:y>
    </cdr:from>
    <cdr:to>
      <cdr:x>0.1939</cdr:x>
      <cdr:y>0.15962</cdr:y>
    </cdr:to>
    <cdr:sp macro="" textlink="">
      <cdr:nvSpPr>
        <cdr:cNvPr id="348161" name="Text Box 1">
          <a:extLst xmlns:a="http://schemas.openxmlformats.org/drawingml/2006/main">
            <a:ext uri="{FF2B5EF4-FFF2-40B4-BE49-F238E27FC236}">
              <a16:creationId xmlns:a16="http://schemas.microsoft.com/office/drawing/2014/main" id="{080DA6EF-3944-E1E3-DE46-CEADBAE7E4E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938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8044645D-D60B-E349-8284-9B1048387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85725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820398E2-4D8D-C85B-07BB-B0F3DADC5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8CDF6240-4FC5-0E8C-62C9-401C0FC06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C26BDA8C-93B8-F97B-4F37-DA51CEA4B73E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08C2D474-DFE7-8BD6-7801-5E13C32C16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552450</xdr:colOff>
      <xdr:row>16</xdr:row>
      <xdr:rowOff>133350</xdr:rowOff>
    </xdr:from>
    <xdr:to>
      <xdr:col>3</xdr:col>
      <xdr:colOff>57150</xdr:colOff>
      <xdr:row>17</xdr:row>
      <xdr:rowOff>57150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909C4AE0-5C2F-7BFC-9951-22FBEBC788E5}"/>
            </a:ext>
          </a:extLst>
        </xdr:cNvPr>
        <xdr:cNvSpPr>
          <a:spLocks noChangeShapeType="1"/>
        </xdr:cNvSpPr>
      </xdr:nvSpPr>
      <xdr:spPr bwMode="auto">
        <a:xfrm flipH="1" flipV="1">
          <a:off x="1771650" y="2990850"/>
          <a:ext cx="1143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9525</xdr:colOff>
      <xdr:row>24</xdr:row>
      <xdr:rowOff>47625</xdr:rowOff>
    </xdr:from>
    <xdr:to>
      <xdr:col>7</xdr:col>
      <xdr:colOff>190500</xdr:colOff>
      <xdr:row>42</xdr:row>
      <xdr:rowOff>85725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6D2C97B0-1A24-1FCD-B335-FF0C5D553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200025</xdr:colOff>
      <xdr:row>22</xdr:row>
      <xdr:rowOff>47625</xdr:rowOff>
    </xdr:to>
    <xdr:graphicFrame macro="">
      <xdr:nvGraphicFramePr>
        <xdr:cNvPr id="136193" name="Chart 1">
          <a:extLst>
            <a:ext uri="{FF2B5EF4-FFF2-40B4-BE49-F238E27FC236}">
              <a16:creationId xmlns:a16="http://schemas.microsoft.com/office/drawing/2014/main" id="{802CCBC9-44B8-BCE2-5683-124DB2350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136194" name="Chart 2">
          <a:extLst>
            <a:ext uri="{FF2B5EF4-FFF2-40B4-BE49-F238E27FC236}">
              <a16:creationId xmlns:a16="http://schemas.microsoft.com/office/drawing/2014/main" id="{CFDCABE7-42F0-984B-2D02-7B36B02EF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136195" name="Chart 3">
          <a:extLst>
            <a:ext uri="{FF2B5EF4-FFF2-40B4-BE49-F238E27FC236}">
              <a16:creationId xmlns:a16="http://schemas.microsoft.com/office/drawing/2014/main" id="{DB166B64-9351-7DBC-2F7B-78AFEC47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76200</xdr:rowOff>
    </xdr:from>
    <xdr:to>
      <xdr:col>14</xdr:col>
      <xdr:colOff>561975</xdr:colOff>
      <xdr:row>22</xdr:row>
      <xdr:rowOff>38100</xdr:rowOff>
    </xdr:to>
    <xdr:graphicFrame macro="">
      <xdr:nvGraphicFramePr>
        <xdr:cNvPr id="136196" name="Chart 4">
          <a:extLst>
            <a:ext uri="{FF2B5EF4-FFF2-40B4-BE49-F238E27FC236}">
              <a16:creationId xmlns:a16="http://schemas.microsoft.com/office/drawing/2014/main" id="{529888F9-5322-801A-7847-99AAF9BCF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>
          <a:extLst>
            <a:ext uri="{FF2B5EF4-FFF2-40B4-BE49-F238E27FC236}">
              <a16:creationId xmlns:a16="http://schemas.microsoft.com/office/drawing/2014/main" id="{5B74CDE6-4E14-B574-4973-068A337057AC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>
          <a:extLst>
            <a:ext uri="{FF2B5EF4-FFF2-40B4-BE49-F238E27FC236}">
              <a16:creationId xmlns:a16="http://schemas.microsoft.com/office/drawing/2014/main" id="{BF3F8691-E4C6-571B-D2EA-0750D16602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0.85978</cdr:x>
      <cdr:y>0.52103</cdr:y>
    </cdr:from>
    <cdr:to>
      <cdr:x>0.88964</cdr:x>
      <cdr:y>0.53143</cdr:y>
    </cdr:to>
    <cdr:sp macro="" textlink="">
      <cdr:nvSpPr>
        <cdr:cNvPr id="251905" name="Line 1">
          <a:extLst xmlns:a="http://schemas.openxmlformats.org/drawingml/2006/main">
            <a:ext uri="{FF2B5EF4-FFF2-40B4-BE49-F238E27FC236}">
              <a16:creationId xmlns:a16="http://schemas.microsoft.com/office/drawing/2014/main" id="{644447B1-ABEB-10C0-9221-09C50C2B582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01329" y="1511883"/>
          <a:ext cx="135379" cy="301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40993" name="Chart 1">
          <a:extLst>
            <a:ext uri="{FF2B5EF4-FFF2-40B4-BE49-F238E27FC236}">
              <a16:creationId xmlns:a16="http://schemas.microsoft.com/office/drawing/2014/main" id="{3CBF3F23-D41F-A872-A734-F8E91D5BB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40994" name="Chart 2">
          <a:extLst>
            <a:ext uri="{FF2B5EF4-FFF2-40B4-BE49-F238E27FC236}">
              <a16:creationId xmlns:a16="http://schemas.microsoft.com/office/drawing/2014/main" id="{86FAEF40-5BBC-FD33-FA5B-93D11D3A6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40995" name="Chart 3">
          <a:extLst>
            <a:ext uri="{FF2B5EF4-FFF2-40B4-BE49-F238E27FC236}">
              <a16:creationId xmlns:a16="http://schemas.microsoft.com/office/drawing/2014/main" id="{1ABAFEDA-1FBC-1617-6894-5F2F6D606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40996" name="Chart 4">
          <a:extLst>
            <a:ext uri="{FF2B5EF4-FFF2-40B4-BE49-F238E27FC236}">
              <a16:creationId xmlns:a16="http://schemas.microsoft.com/office/drawing/2014/main" id="{34EC3F73-D507-3712-8267-A6B92940B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>
          <a:extLst>
            <a:ext uri="{FF2B5EF4-FFF2-40B4-BE49-F238E27FC236}">
              <a16:creationId xmlns:a16="http://schemas.microsoft.com/office/drawing/2014/main" id="{877F66D5-B87E-15E7-B996-4872BEC9D730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>
          <a:extLst>
            <a:ext uri="{FF2B5EF4-FFF2-40B4-BE49-F238E27FC236}">
              <a16:creationId xmlns:a16="http://schemas.microsoft.com/office/drawing/2014/main" id="{9DA30913-3298-1D5B-8F63-FAF17E3FB8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7</xdr:col>
      <xdr:colOff>200025</xdr:colOff>
      <xdr:row>22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EAFEEF74-8A8B-EBF6-CDB8-AF6E766B5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24</xdr:row>
      <xdr:rowOff>19050</xdr:rowOff>
    </xdr:from>
    <xdr:to>
      <xdr:col>15</xdr:col>
      <xdr:colOff>9525</xdr:colOff>
      <xdr:row>42</xdr:row>
      <xdr:rowOff>66675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F6906E79-E640-598C-399E-4E10BA887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</xdr:row>
      <xdr:rowOff>9525</xdr:rowOff>
    </xdr:from>
    <xdr:to>
      <xdr:col>15</xdr:col>
      <xdr:colOff>9525</xdr:colOff>
      <xdr:row>21</xdr:row>
      <xdr:rowOff>133350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B607AFD7-FD3F-00F3-075A-620348EB0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>
          <a:extLst>
            <a:ext uri="{FF2B5EF4-FFF2-40B4-BE49-F238E27FC236}">
              <a16:creationId xmlns:a16="http://schemas.microsoft.com/office/drawing/2014/main" id="{BD7085F5-A081-12A9-B421-018526DE4D51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>
          <a:extLst>
            <a:ext uri="{FF2B5EF4-FFF2-40B4-BE49-F238E27FC236}">
              <a16:creationId xmlns:a16="http://schemas.microsoft.com/office/drawing/2014/main" id="{7CDA58C8-8D0F-6FF8-8A3D-801B1097C4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190500</xdr:colOff>
      <xdr:row>42</xdr:row>
      <xdr:rowOff>66675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F78716EB-139A-C148-D841-71DCED2E9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0.36172</cdr:x>
      <cdr:y>0.61459</cdr:y>
    </cdr:from>
    <cdr:to>
      <cdr:x>0.39451</cdr:x>
      <cdr:y>0.69026</cdr:y>
    </cdr:to>
    <cdr:sp macro="" textlink="">
      <cdr:nvSpPr>
        <cdr:cNvPr id="245762" name="Line 2">
          <a:extLst xmlns:a="http://schemas.openxmlformats.org/drawingml/2006/main">
            <a:ext uri="{FF2B5EF4-FFF2-40B4-BE49-F238E27FC236}">
              <a16:creationId xmlns:a16="http://schemas.microsoft.com/office/drawing/2014/main" id="{9469EA48-14D3-5359-3C14-70F9826C5DE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43166" y="1776925"/>
          <a:ext cx="148694" cy="2183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0.85464</cdr:x>
      <cdr:y>0.45576</cdr:y>
    </cdr:from>
    <cdr:to>
      <cdr:x>0.90481</cdr:x>
      <cdr:y>0.50967</cdr:y>
    </cdr:to>
    <cdr:sp macro="" textlink="">
      <cdr:nvSpPr>
        <cdr:cNvPr id="245763" name="Line 3">
          <a:extLst xmlns:a="http://schemas.openxmlformats.org/drawingml/2006/main">
            <a:ext uri="{FF2B5EF4-FFF2-40B4-BE49-F238E27FC236}">
              <a16:creationId xmlns:a16="http://schemas.microsoft.com/office/drawing/2014/main" id="{C9638192-99C3-0E92-077B-05DA788E0DF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913972" y="1282586"/>
          <a:ext cx="155589" cy="2274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0.51689</cdr:x>
      <cdr:y>0.61386</cdr:y>
    </cdr:from>
    <cdr:to>
      <cdr:x>0.55042</cdr:x>
      <cdr:y>0.68977</cdr:y>
    </cdr:to>
    <cdr:sp macro="" textlink="">
      <cdr:nvSpPr>
        <cdr:cNvPr id="245764" name="Line 4">
          <a:extLst xmlns:a="http://schemas.openxmlformats.org/drawingml/2006/main">
            <a:ext uri="{FF2B5EF4-FFF2-40B4-BE49-F238E27FC236}">
              <a16:creationId xmlns:a16="http://schemas.microsoft.com/office/drawing/2014/main" id="{7F93A848-61FD-93A6-D71A-9931457361E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46692" y="1774832"/>
          <a:ext cx="152023" cy="2190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0</xdr:rowOff>
    </xdr:from>
    <xdr:to>
      <xdr:col>15</xdr:col>
      <xdr:colOff>28575</xdr:colOff>
      <xdr:row>21</xdr:row>
      <xdr:rowOff>133350</xdr:rowOff>
    </xdr:to>
    <xdr:graphicFrame macro="">
      <xdr:nvGraphicFramePr>
        <xdr:cNvPr id="349185" name="Chart 1">
          <a:extLst>
            <a:ext uri="{FF2B5EF4-FFF2-40B4-BE49-F238E27FC236}">
              <a16:creationId xmlns:a16="http://schemas.microsoft.com/office/drawing/2014/main" id="{941404DE-0A90-C27B-318B-8EC598BA5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152400</xdr:rowOff>
    </xdr:from>
    <xdr:to>
      <xdr:col>7</xdr:col>
      <xdr:colOff>219075</xdr:colOff>
      <xdr:row>41</xdr:row>
      <xdr:rowOff>114300</xdr:rowOff>
    </xdr:to>
    <xdr:graphicFrame macro="">
      <xdr:nvGraphicFramePr>
        <xdr:cNvPr id="349186" name="Chart 2">
          <a:extLst>
            <a:ext uri="{FF2B5EF4-FFF2-40B4-BE49-F238E27FC236}">
              <a16:creationId xmlns:a16="http://schemas.microsoft.com/office/drawing/2014/main" id="{F7784CE3-8929-66A3-94C6-ADAF8F8DA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</xdr:row>
      <xdr:rowOff>152400</xdr:rowOff>
    </xdr:from>
    <xdr:to>
      <xdr:col>7</xdr:col>
      <xdr:colOff>285750</xdr:colOff>
      <xdr:row>21</xdr:row>
      <xdr:rowOff>142875</xdr:rowOff>
    </xdr:to>
    <xdr:graphicFrame macro="">
      <xdr:nvGraphicFramePr>
        <xdr:cNvPr id="349187" name="Chart 3">
          <a:extLst>
            <a:ext uri="{FF2B5EF4-FFF2-40B4-BE49-F238E27FC236}">
              <a16:creationId xmlns:a16="http://schemas.microsoft.com/office/drawing/2014/main" id="{D9C82BB2-1539-445D-3D50-89A10EAAA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>
          <a:extLst>
            <a:ext uri="{FF2B5EF4-FFF2-40B4-BE49-F238E27FC236}">
              <a16:creationId xmlns:a16="http://schemas.microsoft.com/office/drawing/2014/main" id="{E262F883-9647-7CE2-9138-71131CDD81CB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>
          <a:extLst>
            <a:ext uri="{FF2B5EF4-FFF2-40B4-BE49-F238E27FC236}">
              <a16:creationId xmlns:a16="http://schemas.microsoft.com/office/drawing/2014/main" id="{17306D21-E568-EF6E-3A0B-F57B3F28FD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7</xdr:col>
      <xdr:colOff>209550</xdr:colOff>
      <xdr:row>22</xdr:row>
      <xdr:rowOff>38100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11ECBA21-C415-8D6A-B049-4F83ED6F2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24</xdr:row>
      <xdr:rowOff>19050</xdr:rowOff>
    </xdr:from>
    <xdr:to>
      <xdr:col>14</xdr:col>
      <xdr:colOff>581025</xdr:colOff>
      <xdr:row>42</xdr:row>
      <xdr:rowOff>85725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E6A33967-4B05-03AC-E9D0-92186A638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47625</xdr:rowOff>
    </xdr:from>
    <xdr:to>
      <xdr:col>14</xdr:col>
      <xdr:colOff>581025</xdr:colOff>
      <xdr:row>22</xdr:row>
      <xdr:rowOff>9525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37F3C970-628A-247C-CEE3-91455C909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>
          <a:extLst>
            <a:ext uri="{FF2B5EF4-FFF2-40B4-BE49-F238E27FC236}">
              <a16:creationId xmlns:a16="http://schemas.microsoft.com/office/drawing/2014/main" id="{F29F0B8D-D4F3-1F23-B580-0FB4C17CC5C3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8092861C-5E26-1589-99F3-5B808BB08E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200025</xdr:colOff>
      <xdr:row>42</xdr:row>
      <xdr:rowOff>85725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6AE21079-D159-1DE5-3F50-807FDB193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0.12368</cdr:x>
      <cdr:y>0.71298</cdr:y>
    </cdr:from>
    <cdr:to>
      <cdr:x>0.21739</cdr:x>
      <cdr:y>0.83845</cdr:y>
    </cdr:to>
    <cdr:sp macro="" textlink="">
      <cdr:nvSpPr>
        <cdr:cNvPr id="51228" name="Text Box 28">
          <a:extLst xmlns:a="http://schemas.openxmlformats.org/drawingml/2006/main">
            <a:ext uri="{FF2B5EF4-FFF2-40B4-BE49-F238E27FC236}">
              <a16:creationId xmlns:a16="http://schemas.microsoft.com/office/drawing/2014/main" id="{E05D738C-99C5-894E-16D9-EE1E8EE17D0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863" y="2060892"/>
          <a:ext cx="419529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0.21641</cdr:x>
      <cdr:y>0.71298</cdr:y>
    </cdr:from>
    <cdr:to>
      <cdr:x>0.32701</cdr:x>
      <cdr:y>0.83506</cdr:y>
    </cdr:to>
    <cdr:sp macro="" textlink="">
      <cdr:nvSpPr>
        <cdr:cNvPr id="51229" name="Text Box 29">
          <a:extLst xmlns:a="http://schemas.openxmlformats.org/drawingml/2006/main">
            <a:ext uri="{FF2B5EF4-FFF2-40B4-BE49-F238E27FC236}">
              <a16:creationId xmlns:a16="http://schemas.microsoft.com/office/drawing/2014/main" id="{B755F2E3-5B29-3B14-18DB-7394AEF9D0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010" y="2060892"/>
          <a:ext cx="495110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0.30548</cdr:x>
      <cdr:y>0.71612</cdr:y>
    </cdr:from>
    <cdr:to>
      <cdr:x>0.39283</cdr:x>
      <cdr:y>0.78551</cdr:y>
    </cdr:to>
    <cdr:sp macro="" textlink="">
      <cdr:nvSpPr>
        <cdr:cNvPr id="51230" name="Text Box 30">
          <a:extLst xmlns:a="http://schemas.openxmlformats.org/drawingml/2006/main">
            <a:ext uri="{FF2B5EF4-FFF2-40B4-BE49-F238E27FC236}">
              <a16:creationId xmlns:a16="http://schemas.microsoft.com/office/drawing/2014/main" id="{277E1E03-E76F-1BC6-83BE-0EA91811ED1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70727" y="2069962"/>
          <a:ext cx="391049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0.38109</cdr:x>
      <cdr:y>0.70331</cdr:y>
    </cdr:from>
    <cdr:to>
      <cdr:x>0.48752</cdr:x>
      <cdr:y>0.82878</cdr:y>
    </cdr:to>
    <cdr:sp macro="" textlink="">
      <cdr:nvSpPr>
        <cdr:cNvPr id="51231" name="Text Box 31">
          <a:extLst xmlns:a="http://schemas.openxmlformats.org/drawingml/2006/main">
            <a:ext uri="{FF2B5EF4-FFF2-40B4-BE49-F238E27FC236}">
              <a16:creationId xmlns:a16="http://schemas.microsoft.com/office/drawing/2014/main" id="{753675D0-8E49-A37F-2A75-3B88D69D765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9198" y="2032983"/>
          <a:ext cx="476488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0.47357</cdr:x>
      <cdr:y>0.70645</cdr:y>
    </cdr:from>
    <cdr:to>
      <cdr:x>0.58637</cdr:x>
      <cdr:y>0.82854</cdr:y>
    </cdr:to>
    <cdr:sp macro="" textlink="">
      <cdr:nvSpPr>
        <cdr:cNvPr id="51232" name="Text Box 32">
          <a:extLst xmlns:a="http://schemas.openxmlformats.org/drawingml/2006/main">
            <a:ext uri="{FF2B5EF4-FFF2-40B4-BE49-F238E27FC236}">
              <a16:creationId xmlns:a16="http://schemas.microsoft.com/office/drawing/2014/main" id="{9515BEF4-87EC-99B4-296C-6DF9E0E6072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250" y="2042054"/>
          <a:ext cx="504967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0.57316</cdr:x>
      <cdr:y>0.71298</cdr:y>
    </cdr:from>
    <cdr:to>
      <cdr:x>0.64754</cdr:x>
      <cdr:y>0.78551</cdr:y>
    </cdr:to>
    <cdr:sp macro="" textlink="">
      <cdr:nvSpPr>
        <cdr:cNvPr id="51233" name="Text Box 33">
          <a:extLst xmlns:a="http://schemas.openxmlformats.org/drawingml/2006/main">
            <a:ext uri="{FF2B5EF4-FFF2-40B4-BE49-F238E27FC236}">
              <a16:creationId xmlns:a16="http://schemas.microsoft.com/office/drawing/2014/main" id="{D58DDE86-70E0-4C06-12D2-4DF2573CCC2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9067" y="2060892"/>
          <a:ext cx="332994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0.65953</cdr:x>
      <cdr:y>0.71298</cdr:y>
    </cdr:from>
    <cdr:to>
      <cdr:x>0.71703</cdr:x>
      <cdr:y>0.83845</cdr:y>
    </cdr:to>
    <cdr:sp macro="" textlink="">
      <cdr:nvSpPr>
        <cdr:cNvPr id="51234" name="Text Box 34">
          <a:extLst xmlns:a="http://schemas.openxmlformats.org/drawingml/2006/main">
            <a:ext uri="{FF2B5EF4-FFF2-40B4-BE49-F238E27FC236}">
              <a16:creationId xmlns:a16="http://schemas.microsoft.com/office/drawing/2014/main" id="{A38E880E-13FF-04DE-57F7-3EE36323CE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5735" y="2060892"/>
          <a:ext cx="25741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0.81393</cdr:x>
      <cdr:y>0.71346</cdr:y>
    </cdr:from>
    <cdr:to>
      <cdr:x>0.88415</cdr:x>
      <cdr:y>0.83893</cdr:y>
    </cdr:to>
    <cdr:sp macro="" textlink="">
      <cdr:nvSpPr>
        <cdr:cNvPr id="51235" name="Text Box 35">
          <a:extLst xmlns:a="http://schemas.openxmlformats.org/drawingml/2006/main">
            <a:ext uri="{FF2B5EF4-FFF2-40B4-BE49-F238E27FC236}">
              <a16:creationId xmlns:a16="http://schemas.microsoft.com/office/drawing/2014/main" id="{FB3D167C-69B8-2AD6-53B3-96C321E88E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6916" y="2062287"/>
          <a:ext cx="314373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0.91522</cdr:x>
      <cdr:y>0.73256</cdr:y>
    </cdr:from>
    <cdr:to>
      <cdr:x>0.97468</cdr:x>
      <cdr:y>0.80194</cdr:y>
    </cdr:to>
    <cdr:sp macro="" textlink="">
      <cdr:nvSpPr>
        <cdr:cNvPr id="51236" name="Text Box 36">
          <a:extLst xmlns:a="http://schemas.openxmlformats.org/drawingml/2006/main">
            <a:ext uri="{FF2B5EF4-FFF2-40B4-BE49-F238E27FC236}">
              <a16:creationId xmlns:a16="http://schemas.microsoft.com/office/drawing/2014/main" id="{3F643206-84F4-3E9B-C8D0-24581FF1E4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0401" y="2117406"/>
          <a:ext cx="266177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0.85968</cdr:x>
      <cdr:y>0.64698</cdr:y>
    </cdr:from>
    <cdr:to>
      <cdr:x>0.89834</cdr:x>
      <cdr:y>0.67914</cdr:y>
    </cdr:to>
    <cdr:sp macro="" textlink="">
      <cdr:nvSpPr>
        <cdr:cNvPr id="247809" name="Line 1">
          <a:extLst xmlns:a="http://schemas.openxmlformats.org/drawingml/2006/main">
            <a:ext uri="{FF2B5EF4-FFF2-40B4-BE49-F238E27FC236}">
              <a16:creationId xmlns:a16="http://schemas.microsoft.com/office/drawing/2014/main" id="{E589554F-C2C7-C58E-C024-3C222BF6F99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1751" y="1870418"/>
          <a:ext cx="173070" cy="927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0.37203</cdr:x>
      <cdr:y>0.6963</cdr:y>
    </cdr:from>
    <cdr:to>
      <cdr:x>0.39332</cdr:x>
      <cdr:y>0.75625</cdr:y>
    </cdr:to>
    <cdr:sp macro="" textlink="">
      <cdr:nvSpPr>
        <cdr:cNvPr id="247810" name="Line 2">
          <a:extLst xmlns:a="http://schemas.openxmlformats.org/drawingml/2006/main">
            <a:ext uri="{FF2B5EF4-FFF2-40B4-BE49-F238E27FC236}">
              <a16:creationId xmlns:a16="http://schemas.microsoft.com/office/drawing/2014/main" id="{65D77A88-FF65-2BDE-8AF2-F9730BEA06A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29802" y="2051617"/>
          <a:ext cx="173031" cy="952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123825</xdr:rowOff>
    </xdr:from>
    <xdr:to>
      <xdr:col>7</xdr:col>
      <xdr:colOff>200025</xdr:colOff>
      <xdr:row>22</xdr:row>
      <xdr:rowOff>85725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2B3719BC-C1A9-B916-8623-91100711C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85725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C961A25B-DF97-0771-570F-A1EF6023E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4</xdr:row>
      <xdr:rowOff>104775</xdr:rowOff>
    </xdr:from>
    <xdr:to>
      <xdr:col>14</xdr:col>
      <xdr:colOff>590550</xdr:colOff>
      <xdr:row>22</xdr:row>
      <xdr:rowOff>66675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FD47A644-86B5-6B5B-CA5A-08CB545A0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>
          <a:extLst>
            <a:ext uri="{FF2B5EF4-FFF2-40B4-BE49-F238E27FC236}">
              <a16:creationId xmlns:a16="http://schemas.microsoft.com/office/drawing/2014/main" id="{8EE46CFC-B4CA-5235-8682-D836E1467C43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>
          <a:extLst>
            <a:ext uri="{FF2B5EF4-FFF2-40B4-BE49-F238E27FC236}">
              <a16:creationId xmlns:a16="http://schemas.microsoft.com/office/drawing/2014/main" id="{5188A604-3EAC-320D-4304-FF05E033F5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209550</xdr:colOff>
      <xdr:row>42</xdr:row>
      <xdr:rowOff>95250</xdr:rowOff>
    </xdr:to>
    <xdr:graphicFrame macro="">
      <xdr:nvGraphicFramePr>
        <xdr:cNvPr id="7176" name="Chart 8">
          <a:extLst>
            <a:ext uri="{FF2B5EF4-FFF2-40B4-BE49-F238E27FC236}">
              <a16:creationId xmlns:a16="http://schemas.microsoft.com/office/drawing/2014/main" id="{21F1A682-BE7E-3DD3-9D3E-493C88540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138241" name="Chart 1">
          <a:extLst>
            <a:ext uri="{FF2B5EF4-FFF2-40B4-BE49-F238E27FC236}">
              <a16:creationId xmlns:a16="http://schemas.microsoft.com/office/drawing/2014/main" id="{D7E0E0E2-2F38-8557-1ACD-85BCDF5B3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8242" name="Chart 2">
          <a:extLst>
            <a:ext uri="{FF2B5EF4-FFF2-40B4-BE49-F238E27FC236}">
              <a16:creationId xmlns:a16="http://schemas.microsoft.com/office/drawing/2014/main" id="{11558D26-2BB5-9468-CC0F-CA8C4A8F4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8243" name="Chart 3">
          <a:extLst>
            <a:ext uri="{FF2B5EF4-FFF2-40B4-BE49-F238E27FC236}">
              <a16:creationId xmlns:a16="http://schemas.microsoft.com/office/drawing/2014/main" id="{703E30EF-61FB-250A-2EC7-74A4BF551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138244" name="Chart 4">
          <a:extLst>
            <a:ext uri="{FF2B5EF4-FFF2-40B4-BE49-F238E27FC236}">
              <a16:creationId xmlns:a16="http://schemas.microsoft.com/office/drawing/2014/main" id="{210CEF11-7631-3BFF-9CD1-28D9D9737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>
          <a:extLst>
            <a:ext uri="{FF2B5EF4-FFF2-40B4-BE49-F238E27FC236}">
              <a16:creationId xmlns:a16="http://schemas.microsoft.com/office/drawing/2014/main" id="{4806CB36-76CD-3DAF-4C0D-3961191A3D64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>
          <a:extLst>
            <a:ext uri="{FF2B5EF4-FFF2-40B4-BE49-F238E27FC236}">
              <a16:creationId xmlns:a16="http://schemas.microsoft.com/office/drawing/2014/main" id="{B19EBA96-0B01-8B2D-D89B-A2673E3461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60417" name="Chart 1">
          <a:extLst>
            <a:ext uri="{FF2B5EF4-FFF2-40B4-BE49-F238E27FC236}">
              <a16:creationId xmlns:a16="http://schemas.microsoft.com/office/drawing/2014/main" id="{BADCC4D8-E407-395D-6C52-0AE99CF78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114300</xdr:rowOff>
    </xdr:to>
    <xdr:graphicFrame macro="">
      <xdr:nvGraphicFramePr>
        <xdr:cNvPr id="60419" name="Chart 3">
          <a:extLst>
            <a:ext uri="{FF2B5EF4-FFF2-40B4-BE49-F238E27FC236}">
              <a16:creationId xmlns:a16="http://schemas.microsoft.com/office/drawing/2014/main" id="{F6F45093-958E-8EDF-B5FC-66B5E5CF8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60420" name="Chart 4">
          <a:extLst>
            <a:ext uri="{FF2B5EF4-FFF2-40B4-BE49-F238E27FC236}">
              <a16:creationId xmlns:a16="http://schemas.microsoft.com/office/drawing/2014/main" id="{F13251A5-A86C-673C-6F78-3770E931A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>
          <a:extLst>
            <a:ext uri="{FF2B5EF4-FFF2-40B4-BE49-F238E27FC236}">
              <a16:creationId xmlns:a16="http://schemas.microsoft.com/office/drawing/2014/main" id="{6A5B174A-211B-620D-72A3-5236116E8EBA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>
          <a:extLst>
            <a:ext uri="{FF2B5EF4-FFF2-40B4-BE49-F238E27FC236}">
              <a16:creationId xmlns:a16="http://schemas.microsoft.com/office/drawing/2014/main" id="{2385CAC3-3A05-7B29-D592-9032332E5D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28575</xdr:rowOff>
    </xdr:from>
    <xdr:to>
      <xdr:col>7</xdr:col>
      <xdr:colOff>219075</xdr:colOff>
      <xdr:row>42</xdr:row>
      <xdr:rowOff>104775</xdr:rowOff>
    </xdr:to>
    <xdr:graphicFrame macro="">
      <xdr:nvGraphicFramePr>
        <xdr:cNvPr id="60426" name="Chart 10">
          <a:extLst>
            <a:ext uri="{FF2B5EF4-FFF2-40B4-BE49-F238E27FC236}">
              <a16:creationId xmlns:a16="http://schemas.microsoft.com/office/drawing/2014/main" id="{EE3D3B1B-1482-04D2-6DBF-D6F0E4DB9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53281" name="Chart 1">
          <a:extLst>
            <a:ext uri="{FF2B5EF4-FFF2-40B4-BE49-F238E27FC236}">
              <a16:creationId xmlns:a16="http://schemas.microsoft.com/office/drawing/2014/main" id="{2EF03E34-2C02-5580-46C5-22B289F9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53282" name="Chart 2">
          <a:extLst>
            <a:ext uri="{FF2B5EF4-FFF2-40B4-BE49-F238E27FC236}">
              <a16:creationId xmlns:a16="http://schemas.microsoft.com/office/drawing/2014/main" id="{54F81F3F-393B-C719-2897-00E18AC8E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53283" name="Chart 3">
          <a:extLst>
            <a:ext uri="{FF2B5EF4-FFF2-40B4-BE49-F238E27FC236}">
              <a16:creationId xmlns:a16="http://schemas.microsoft.com/office/drawing/2014/main" id="{13E2BAA8-5B64-F572-F75E-8CF59AF94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353284" name="Chart 4">
          <a:extLst>
            <a:ext uri="{FF2B5EF4-FFF2-40B4-BE49-F238E27FC236}">
              <a16:creationId xmlns:a16="http://schemas.microsoft.com/office/drawing/2014/main" id="{8693CB06-EBFC-DF9D-13A7-EDCB8D03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>
          <a:extLst>
            <a:ext uri="{FF2B5EF4-FFF2-40B4-BE49-F238E27FC236}">
              <a16:creationId xmlns:a16="http://schemas.microsoft.com/office/drawing/2014/main" id="{4292C3ED-0AC0-1BB3-FFED-772C8A3170C5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>
          <a:extLst>
            <a:ext uri="{FF2B5EF4-FFF2-40B4-BE49-F238E27FC236}">
              <a16:creationId xmlns:a16="http://schemas.microsoft.com/office/drawing/2014/main" id="{F6C7B45B-FE38-B794-B328-6A236219CC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67588" name="Chart 4">
          <a:extLst>
            <a:ext uri="{FF2B5EF4-FFF2-40B4-BE49-F238E27FC236}">
              <a16:creationId xmlns:a16="http://schemas.microsoft.com/office/drawing/2014/main" id="{B3445A55-D5BB-223E-CA94-D7CECBE9F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200025</xdr:colOff>
      <xdr:row>22</xdr:row>
      <xdr:rowOff>0</xdr:rowOff>
    </xdr:to>
    <xdr:graphicFrame macro="">
      <xdr:nvGraphicFramePr>
        <xdr:cNvPr id="67585" name="Chart 1">
          <a:extLst>
            <a:ext uri="{FF2B5EF4-FFF2-40B4-BE49-F238E27FC236}">
              <a16:creationId xmlns:a16="http://schemas.microsoft.com/office/drawing/2014/main" id="{818BE42C-C20C-B93E-914B-606A30AB2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114300</xdr:rowOff>
    </xdr:to>
    <xdr:graphicFrame macro="">
      <xdr:nvGraphicFramePr>
        <xdr:cNvPr id="67587" name="Chart 3">
          <a:extLst>
            <a:ext uri="{FF2B5EF4-FFF2-40B4-BE49-F238E27FC236}">
              <a16:creationId xmlns:a16="http://schemas.microsoft.com/office/drawing/2014/main" id="{32A41D6B-E4F6-4E18-0A0C-B67982808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>
          <a:extLst>
            <a:ext uri="{FF2B5EF4-FFF2-40B4-BE49-F238E27FC236}">
              <a16:creationId xmlns:a16="http://schemas.microsoft.com/office/drawing/2014/main" id="{1C850745-E1A2-066D-61D7-21F4CCAF376D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>
          <a:extLst>
            <a:ext uri="{FF2B5EF4-FFF2-40B4-BE49-F238E27FC236}">
              <a16:creationId xmlns:a16="http://schemas.microsoft.com/office/drawing/2014/main" id="{9A5EE6FE-4745-6198-8129-6AB4805F75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361950</xdr:colOff>
      <xdr:row>14</xdr:row>
      <xdr:rowOff>95250</xdr:rowOff>
    </xdr:from>
    <xdr:to>
      <xdr:col>12</xdr:col>
      <xdr:colOff>361950</xdr:colOff>
      <xdr:row>15</xdr:row>
      <xdr:rowOff>9525</xdr:rowOff>
    </xdr:to>
    <xdr:sp macro="" textlink="">
      <xdr:nvSpPr>
        <xdr:cNvPr id="67593" name="Line 9">
          <a:extLst>
            <a:ext uri="{FF2B5EF4-FFF2-40B4-BE49-F238E27FC236}">
              <a16:creationId xmlns:a16="http://schemas.microsoft.com/office/drawing/2014/main" id="{29B19A0C-D66B-C0A3-DA23-4E079058099B}"/>
            </a:ext>
          </a:extLst>
        </xdr:cNvPr>
        <xdr:cNvSpPr>
          <a:spLocks noChangeShapeType="1"/>
        </xdr:cNvSpPr>
      </xdr:nvSpPr>
      <xdr:spPr bwMode="auto">
        <a:xfrm flipV="1">
          <a:off x="7677150" y="262890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228600</xdr:colOff>
      <xdr:row>42</xdr:row>
      <xdr:rowOff>123825</xdr:rowOff>
    </xdr:to>
    <xdr:graphicFrame macro="">
      <xdr:nvGraphicFramePr>
        <xdr:cNvPr id="67595" name="Chart 11">
          <a:extLst>
            <a:ext uri="{FF2B5EF4-FFF2-40B4-BE49-F238E27FC236}">
              <a16:creationId xmlns:a16="http://schemas.microsoft.com/office/drawing/2014/main" id="{1C1D8B40-8C67-F2FD-29D1-1267DF2FC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34849" name="Chart 1">
          <a:extLst>
            <a:ext uri="{FF2B5EF4-FFF2-40B4-BE49-F238E27FC236}">
              <a16:creationId xmlns:a16="http://schemas.microsoft.com/office/drawing/2014/main" id="{176D7132-77CE-201A-486D-19B417DFD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133350</xdr:rowOff>
    </xdr:to>
    <xdr:graphicFrame macro="">
      <xdr:nvGraphicFramePr>
        <xdr:cNvPr id="334851" name="Chart 3">
          <a:extLst>
            <a:ext uri="{FF2B5EF4-FFF2-40B4-BE49-F238E27FC236}">
              <a16:creationId xmlns:a16="http://schemas.microsoft.com/office/drawing/2014/main" id="{E71BA455-3B19-5CF9-2E1C-BF9EA65EA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334852" name="Chart 4">
          <a:extLst>
            <a:ext uri="{FF2B5EF4-FFF2-40B4-BE49-F238E27FC236}">
              <a16:creationId xmlns:a16="http://schemas.microsoft.com/office/drawing/2014/main" id="{E7B03075-264C-BF1C-6794-A9D310EE8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>
          <a:extLst>
            <a:ext uri="{FF2B5EF4-FFF2-40B4-BE49-F238E27FC236}">
              <a16:creationId xmlns:a16="http://schemas.microsoft.com/office/drawing/2014/main" id="{09F561D4-A836-A999-157F-DF591837762C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>
          <a:extLst>
            <a:ext uri="{FF2B5EF4-FFF2-40B4-BE49-F238E27FC236}">
              <a16:creationId xmlns:a16="http://schemas.microsoft.com/office/drawing/2014/main" id="{C182D5A3-75E8-6FA2-3B48-FFEC57CF2C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238125</xdr:colOff>
      <xdr:row>42</xdr:row>
      <xdr:rowOff>133350</xdr:rowOff>
    </xdr:to>
    <xdr:graphicFrame macro="">
      <xdr:nvGraphicFramePr>
        <xdr:cNvPr id="334855" name="Chart 7">
          <a:extLst>
            <a:ext uri="{FF2B5EF4-FFF2-40B4-BE49-F238E27FC236}">
              <a16:creationId xmlns:a16="http://schemas.microsoft.com/office/drawing/2014/main" id="{0A078EF0-553E-2D96-4B58-1DC26530C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130049" name="Chart 1">
          <a:extLst>
            <a:ext uri="{FF2B5EF4-FFF2-40B4-BE49-F238E27FC236}">
              <a16:creationId xmlns:a16="http://schemas.microsoft.com/office/drawing/2014/main" id="{B57C3F2D-4B29-1A86-F8D5-2083DD4B5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0050" name="Chart 2">
          <a:extLst>
            <a:ext uri="{FF2B5EF4-FFF2-40B4-BE49-F238E27FC236}">
              <a16:creationId xmlns:a16="http://schemas.microsoft.com/office/drawing/2014/main" id="{FACBE20B-996F-04FC-6E37-10B10EF4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0051" name="Chart 3">
          <a:extLst>
            <a:ext uri="{FF2B5EF4-FFF2-40B4-BE49-F238E27FC236}">
              <a16:creationId xmlns:a16="http://schemas.microsoft.com/office/drawing/2014/main" id="{13CC42C5-F184-5F90-C613-D681DB67B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4</xdr:row>
      <xdr:rowOff>152400</xdr:rowOff>
    </xdr:from>
    <xdr:to>
      <xdr:col>14</xdr:col>
      <xdr:colOff>590550</xdr:colOff>
      <xdr:row>22</xdr:row>
      <xdr:rowOff>114300</xdr:rowOff>
    </xdr:to>
    <xdr:graphicFrame macro="">
      <xdr:nvGraphicFramePr>
        <xdr:cNvPr id="130052" name="Chart 4">
          <a:extLst>
            <a:ext uri="{FF2B5EF4-FFF2-40B4-BE49-F238E27FC236}">
              <a16:creationId xmlns:a16="http://schemas.microsoft.com/office/drawing/2014/main" id="{8096DD64-711E-BB99-C5D6-30645D019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>
          <a:extLst>
            <a:ext uri="{FF2B5EF4-FFF2-40B4-BE49-F238E27FC236}">
              <a16:creationId xmlns:a16="http://schemas.microsoft.com/office/drawing/2014/main" id="{2B68E5D2-DBC7-3B9A-C09C-C9D67A6647C0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>
          <a:extLst>
            <a:ext uri="{FF2B5EF4-FFF2-40B4-BE49-F238E27FC236}">
              <a16:creationId xmlns:a16="http://schemas.microsoft.com/office/drawing/2014/main" id="{1D1E5D76-DA0E-0645-31B8-ECE0FBF5F9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476250</xdr:colOff>
      <xdr:row>16</xdr:row>
      <xdr:rowOff>133350</xdr:rowOff>
    </xdr:from>
    <xdr:to>
      <xdr:col>14</xdr:col>
      <xdr:colOff>19050</xdr:colOff>
      <xdr:row>17</xdr:row>
      <xdr:rowOff>76200</xdr:rowOff>
    </xdr:to>
    <xdr:sp macro="" textlink="">
      <xdr:nvSpPr>
        <xdr:cNvPr id="130055" name="Line 7">
          <a:extLst>
            <a:ext uri="{FF2B5EF4-FFF2-40B4-BE49-F238E27FC236}">
              <a16:creationId xmlns:a16="http://schemas.microsoft.com/office/drawing/2014/main" id="{449613EC-7A71-170F-9874-00C64EDC389D}"/>
            </a:ext>
          </a:extLst>
        </xdr:cNvPr>
        <xdr:cNvSpPr>
          <a:spLocks noChangeShapeType="1"/>
        </xdr:cNvSpPr>
      </xdr:nvSpPr>
      <xdr:spPr bwMode="auto">
        <a:xfrm flipH="1" flipV="1">
          <a:off x="8401050" y="2990850"/>
          <a:ext cx="15240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0.1155</cdr:x>
      <cdr:y>0.72942</cdr:y>
    </cdr:from>
    <cdr:to>
      <cdr:x>0.20802</cdr:x>
      <cdr:y>0.85489</cdr:y>
    </cdr:to>
    <cdr:sp macro="" textlink="">
      <cdr:nvSpPr>
        <cdr:cNvPr id="49157" name="Text Box 5">
          <a:extLst xmlns:a="http://schemas.openxmlformats.org/drawingml/2006/main">
            <a:ext uri="{FF2B5EF4-FFF2-40B4-BE49-F238E27FC236}">
              <a16:creationId xmlns:a16="http://schemas.microsoft.com/office/drawing/2014/main" id="{679EA087-BAF3-E4EF-A176-0FE4E13D2AC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6845" y="2108336"/>
          <a:ext cx="41945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0.20802</cdr:x>
      <cdr:y>0.72942</cdr:y>
    </cdr:from>
    <cdr:to>
      <cdr:x>0.32574</cdr:x>
      <cdr:y>0.8515</cdr:y>
    </cdr:to>
    <cdr:sp macro="" textlink="">
      <cdr:nvSpPr>
        <cdr:cNvPr id="49158" name="Text Box 6">
          <a:extLst xmlns:a="http://schemas.openxmlformats.org/drawingml/2006/main">
            <a:ext uri="{FF2B5EF4-FFF2-40B4-BE49-F238E27FC236}">
              <a16:creationId xmlns:a16="http://schemas.microsoft.com/office/drawing/2014/main" id="{F26558F7-EE43-2E25-01D6-C339AED6F28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298" y="2108336"/>
          <a:ext cx="533747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0.29637</cdr:x>
      <cdr:y>0.72604</cdr:y>
    </cdr:from>
    <cdr:to>
      <cdr:x>0.38252</cdr:x>
      <cdr:y>0.79542</cdr:y>
    </cdr:to>
    <cdr:sp macro="" textlink="">
      <cdr:nvSpPr>
        <cdr:cNvPr id="49159" name="Text Box 7">
          <a:extLst xmlns:a="http://schemas.openxmlformats.org/drawingml/2006/main">
            <a:ext uri="{FF2B5EF4-FFF2-40B4-BE49-F238E27FC236}">
              <a16:creationId xmlns:a16="http://schemas.microsoft.com/office/drawing/2014/main" id="{F746DAA6-85A7-E5D3-B389-EDE43AE1BC5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6886" y="2098568"/>
          <a:ext cx="390601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0.38203</cdr:x>
      <cdr:y>0.72604</cdr:y>
    </cdr:from>
    <cdr:to>
      <cdr:x>0.48703</cdr:x>
      <cdr:y>0.8515</cdr:y>
    </cdr:to>
    <cdr:sp macro="" textlink="">
      <cdr:nvSpPr>
        <cdr:cNvPr id="49160" name="Text Box 8">
          <a:extLst xmlns:a="http://schemas.openxmlformats.org/drawingml/2006/main">
            <a:ext uri="{FF2B5EF4-FFF2-40B4-BE49-F238E27FC236}">
              <a16:creationId xmlns:a16="http://schemas.microsoft.com/office/drawing/2014/main" id="{A959333F-73E6-783A-CCEC-4B3492F6CB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35268" y="2098568"/>
          <a:ext cx="47604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0.48752</cdr:x>
      <cdr:y>0.72604</cdr:y>
    </cdr:from>
    <cdr:to>
      <cdr:x>0.58199</cdr:x>
      <cdr:y>0.8515</cdr:y>
    </cdr:to>
    <cdr:sp macro="" textlink="">
      <cdr:nvSpPr>
        <cdr:cNvPr id="49161" name="Text Box 9">
          <a:extLst xmlns:a="http://schemas.openxmlformats.org/drawingml/2006/main">
            <a:ext uri="{FF2B5EF4-FFF2-40B4-BE49-F238E27FC236}">
              <a16:creationId xmlns:a16="http://schemas.microsoft.com/office/drawing/2014/main" id="{DA2FD0F1-2445-2FE2-7AE1-2763934DF1C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3532" y="2098568"/>
          <a:ext cx="428330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0.58199</cdr:x>
      <cdr:y>0.72942</cdr:y>
    </cdr:from>
    <cdr:to>
      <cdr:x>0.65762</cdr:x>
      <cdr:y>0.80194</cdr:y>
    </cdr:to>
    <cdr:sp macro="" textlink="">
      <cdr:nvSpPr>
        <cdr:cNvPr id="49162" name="Text Box 10">
          <a:extLst xmlns:a="http://schemas.openxmlformats.org/drawingml/2006/main">
            <a:ext uri="{FF2B5EF4-FFF2-40B4-BE49-F238E27FC236}">
              <a16:creationId xmlns:a16="http://schemas.microsoft.com/office/drawing/2014/main" id="{23417CD9-740A-909F-B34D-37FA300239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1862" y="2108336"/>
          <a:ext cx="342886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0.67451</cdr:x>
      <cdr:y>0.72604</cdr:y>
    </cdr:from>
    <cdr:to>
      <cdr:x>0.73129</cdr:x>
      <cdr:y>0.8515</cdr:y>
    </cdr:to>
    <cdr:sp macro="" textlink="">
      <cdr:nvSpPr>
        <cdr:cNvPr id="49163" name="Text Box 11">
          <a:extLst xmlns:a="http://schemas.openxmlformats.org/drawingml/2006/main">
            <a:ext uri="{FF2B5EF4-FFF2-40B4-BE49-F238E27FC236}">
              <a16:creationId xmlns:a16="http://schemas.microsoft.com/office/drawing/2014/main" id="{E170C946-78F4-F5DE-3C9A-637B11B25C3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1314" y="2098568"/>
          <a:ext cx="257442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0.81646</cdr:x>
      <cdr:y>0.72579</cdr:y>
    </cdr:from>
    <cdr:to>
      <cdr:x>0.8796</cdr:x>
      <cdr:y>0.84449</cdr:y>
    </cdr:to>
    <cdr:sp macro="" textlink="">
      <cdr:nvSpPr>
        <cdr:cNvPr id="49164" name="Text Box 12">
          <a:extLst xmlns:a="http://schemas.openxmlformats.org/drawingml/2006/main">
            <a:ext uri="{FF2B5EF4-FFF2-40B4-BE49-F238E27FC236}">
              <a16:creationId xmlns:a16="http://schemas.microsoft.com/office/drawing/2014/main" id="{75D2FC1E-B804-A336-9ACC-7B5BE01D128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4919" y="2097870"/>
          <a:ext cx="286293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0.92121</cdr:x>
      <cdr:y>0.75335</cdr:y>
    </cdr:from>
    <cdr:to>
      <cdr:x>0.97995</cdr:x>
      <cdr:y>0.82274</cdr:y>
    </cdr:to>
    <cdr:sp macro="" textlink="">
      <cdr:nvSpPr>
        <cdr:cNvPr id="49165" name="Text Box 13">
          <a:extLst xmlns:a="http://schemas.openxmlformats.org/drawingml/2006/main">
            <a:ext uri="{FF2B5EF4-FFF2-40B4-BE49-F238E27FC236}">
              <a16:creationId xmlns:a16="http://schemas.microsoft.com/office/drawing/2014/main" id="{5311E705-7D5F-61DA-9CE4-6048A10EF3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9854" y="2177409"/>
          <a:ext cx="266319" cy="2002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0.74548</cdr:x>
      <cdr:y>0.72604</cdr:y>
    </cdr:from>
    <cdr:to>
      <cdr:x>0.81475</cdr:x>
      <cdr:y>0.8515</cdr:y>
    </cdr:to>
    <cdr:sp macro="" textlink="">
      <cdr:nvSpPr>
        <cdr:cNvPr id="49167" name="Text Box 15">
          <a:extLst xmlns:a="http://schemas.openxmlformats.org/drawingml/2006/main">
            <a:ext uri="{FF2B5EF4-FFF2-40B4-BE49-F238E27FC236}">
              <a16:creationId xmlns:a16="http://schemas.microsoft.com/office/drawing/2014/main" id="{3DEB5750-7E7A-4DA2-7B78-A0636E5E293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3116" y="2098568"/>
          <a:ext cx="31403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0.16763</cdr:x>
      <cdr:y>0.46712</cdr:y>
    </cdr:from>
    <cdr:to>
      <cdr:x>0.19455</cdr:x>
      <cdr:y>0.55609</cdr:y>
    </cdr:to>
    <cdr:sp macro="" textlink="">
      <cdr:nvSpPr>
        <cdr:cNvPr id="274433" name="Line 1">
          <a:extLst xmlns:a="http://schemas.openxmlformats.org/drawingml/2006/main">
            <a:ext uri="{FF2B5EF4-FFF2-40B4-BE49-F238E27FC236}">
              <a16:creationId xmlns:a16="http://schemas.microsoft.com/office/drawing/2014/main" id="{8C282E59-79E0-A89D-8EEC-29F089BA00E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3203" y="1355763"/>
          <a:ext cx="122063" cy="25763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>
          <a:extLst>
            <a:ext uri="{FF2B5EF4-FFF2-40B4-BE49-F238E27FC236}">
              <a16:creationId xmlns:a16="http://schemas.microsoft.com/office/drawing/2014/main" id="{87B086C1-0F08-2F21-7381-B750787E2A51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>
          <a:extLst>
            <a:ext uri="{FF2B5EF4-FFF2-40B4-BE49-F238E27FC236}">
              <a16:creationId xmlns:a16="http://schemas.microsoft.com/office/drawing/2014/main" id="{4FC8FB8A-A504-5DD5-71E9-00E1203868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152400</xdr:rowOff>
    </xdr:from>
    <xdr:to>
      <xdr:col>28</xdr:col>
      <xdr:colOff>600075</xdr:colOff>
      <xdr:row>31</xdr:row>
      <xdr:rowOff>28575</xdr:rowOff>
    </xdr:to>
    <xdr:sp macro="" textlink="">
      <xdr:nvSpPr>
        <xdr:cNvPr id="78856" name="Rectangle 8">
          <a:extLst>
            <a:ext uri="{FF2B5EF4-FFF2-40B4-BE49-F238E27FC236}">
              <a16:creationId xmlns:a16="http://schemas.microsoft.com/office/drawing/2014/main" id="{D7CFEA0B-67E2-AB46-7C5B-4A20D0B6640E}"/>
            </a:ext>
          </a:extLst>
        </xdr:cNvPr>
        <xdr:cNvSpPr>
          <a:spLocks noChangeArrowheads="1"/>
        </xdr:cNvSpPr>
      </xdr:nvSpPr>
      <xdr:spPr bwMode="auto">
        <a:xfrm>
          <a:off x="14554200" y="4791075"/>
          <a:ext cx="31146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47625</xdr:colOff>
      <xdr:row>41</xdr:row>
      <xdr:rowOff>19050</xdr:rowOff>
    </xdr:to>
    <xdr:graphicFrame macro="">
      <xdr:nvGraphicFramePr>
        <xdr:cNvPr id="78878" name="Chart 30">
          <a:extLst>
            <a:ext uri="{FF2B5EF4-FFF2-40B4-BE49-F238E27FC236}">
              <a16:creationId xmlns:a16="http://schemas.microsoft.com/office/drawing/2014/main" id="{2653B489-6A28-CD23-ACD4-78D0C02BB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28575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>
          <a:extLst>
            <a:ext uri="{FF2B5EF4-FFF2-40B4-BE49-F238E27FC236}">
              <a16:creationId xmlns:a16="http://schemas.microsoft.com/office/drawing/2014/main" id="{01A8EDA3-D571-3A56-F50A-480D29340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4</xdr:row>
      <xdr:rowOff>0</xdr:rowOff>
    </xdr:from>
    <xdr:to>
      <xdr:col>14</xdr:col>
      <xdr:colOff>600075</xdr:colOff>
      <xdr:row>22</xdr:row>
      <xdr:rowOff>19050</xdr:rowOff>
    </xdr:to>
    <xdr:graphicFrame macro="">
      <xdr:nvGraphicFramePr>
        <xdr:cNvPr id="78882" name="Chart 34">
          <a:extLst>
            <a:ext uri="{FF2B5EF4-FFF2-40B4-BE49-F238E27FC236}">
              <a16:creationId xmlns:a16="http://schemas.microsoft.com/office/drawing/2014/main" id="{AE7417A3-B3B7-7F35-3F2A-033001346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23</xdr:row>
      <xdr:rowOff>28575</xdr:rowOff>
    </xdr:from>
    <xdr:to>
      <xdr:col>7</xdr:col>
      <xdr:colOff>190500</xdr:colOff>
      <xdr:row>41</xdr:row>
      <xdr:rowOff>19050</xdr:rowOff>
    </xdr:to>
    <xdr:graphicFrame macro="">
      <xdr:nvGraphicFramePr>
        <xdr:cNvPr id="78884" name="Chart 36">
          <a:extLst>
            <a:ext uri="{FF2B5EF4-FFF2-40B4-BE49-F238E27FC236}">
              <a16:creationId xmlns:a16="http://schemas.microsoft.com/office/drawing/2014/main" id="{55F784AF-AB42-4969-B3F1-4783DDEA3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0.11755</cdr:x>
      <cdr:y>0.71421</cdr:y>
    </cdr:from>
    <cdr:to>
      <cdr:x>0.21102</cdr:x>
      <cdr:y>0.83921</cdr:y>
    </cdr:to>
    <cdr:sp macro="" textlink="">
      <cdr:nvSpPr>
        <cdr:cNvPr id="264193" name="Text Box 1025">
          <a:extLst xmlns:a="http://schemas.openxmlformats.org/drawingml/2006/main">
            <a:ext uri="{FF2B5EF4-FFF2-40B4-BE49-F238E27FC236}">
              <a16:creationId xmlns:a16="http://schemas.microsoft.com/office/drawing/2014/main" id="{8540FA4C-FA42-5E12-DCB1-CF1DD6C0D20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519" y="2071253"/>
          <a:ext cx="419343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0.21077</cdr:x>
      <cdr:y>0.71421</cdr:y>
    </cdr:from>
    <cdr:to>
      <cdr:x>0.32113</cdr:x>
      <cdr:y>0.83583</cdr:y>
    </cdr:to>
    <cdr:sp macro="" textlink="">
      <cdr:nvSpPr>
        <cdr:cNvPr id="264194" name="Text Box 1026">
          <a:extLst xmlns:a="http://schemas.openxmlformats.org/drawingml/2006/main">
            <a:ext uri="{FF2B5EF4-FFF2-40B4-BE49-F238E27FC236}">
              <a16:creationId xmlns:a16="http://schemas.microsoft.com/office/drawing/2014/main" id="{E0495F03-2375-9AFE-C422-D61E7462B9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8765" y="2071253"/>
          <a:ext cx="49508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0.29275</cdr:x>
      <cdr:y>0.71712</cdr:y>
    </cdr:from>
    <cdr:to>
      <cdr:x>0.37986</cdr:x>
      <cdr:y>0.78626</cdr:y>
    </cdr:to>
    <cdr:sp macro="" textlink="">
      <cdr:nvSpPr>
        <cdr:cNvPr id="264195" name="Text Box 1027">
          <a:extLst xmlns:a="http://schemas.openxmlformats.org/drawingml/2006/main">
            <a:ext uri="{FF2B5EF4-FFF2-40B4-BE49-F238E27FC236}">
              <a16:creationId xmlns:a16="http://schemas.microsoft.com/office/drawing/2014/main" id="{4456A382-CB82-09D5-6209-DC4975B7C1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6513" y="2079654"/>
          <a:ext cx="390801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0.36933</cdr:x>
      <cdr:y>0.71059</cdr:y>
    </cdr:from>
    <cdr:to>
      <cdr:x>0.47553</cdr:x>
      <cdr:y>0.83559</cdr:y>
    </cdr:to>
    <cdr:sp macro="" textlink="">
      <cdr:nvSpPr>
        <cdr:cNvPr id="264196" name="Text Box 1028">
          <a:extLst xmlns:a="http://schemas.openxmlformats.org/drawingml/2006/main">
            <a:ext uri="{FF2B5EF4-FFF2-40B4-BE49-F238E27FC236}">
              <a16:creationId xmlns:a16="http://schemas.microsoft.com/office/drawing/2014/main" id="{F3F21CFF-7554-D02C-1737-961E73743CA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0111" y="2060751"/>
          <a:ext cx="476426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Insurance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0.45914</cdr:x>
      <cdr:y>0.71349</cdr:y>
    </cdr:from>
    <cdr:to>
      <cdr:x>0.57169</cdr:x>
      <cdr:y>0.8351</cdr:y>
    </cdr:to>
    <cdr:sp macro="" textlink="">
      <cdr:nvSpPr>
        <cdr:cNvPr id="264197" name="Text Box 1029">
          <a:extLst xmlns:a="http://schemas.openxmlformats.org/drawingml/2006/main">
            <a:ext uri="{FF2B5EF4-FFF2-40B4-BE49-F238E27FC236}">
              <a16:creationId xmlns:a16="http://schemas.microsoft.com/office/drawing/2014/main" id="{491E4E75-D2D3-141C-A1AE-5A13BF3C59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2987" y="2069152"/>
          <a:ext cx="50496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0.55799</cdr:x>
      <cdr:y>0.71349</cdr:y>
    </cdr:from>
    <cdr:to>
      <cdr:x>0.63238</cdr:x>
      <cdr:y>0.78578</cdr:y>
    </cdr:to>
    <cdr:sp macro="" textlink="">
      <cdr:nvSpPr>
        <cdr:cNvPr id="264198" name="Text Box 1030">
          <a:extLst xmlns:a="http://schemas.openxmlformats.org/drawingml/2006/main">
            <a:ext uri="{FF2B5EF4-FFF2-40B4-BE49-F238E27FC236}">
              <a16:creationId xmlns:a16="http://schemas.microsoft.com/office/drawing/2014/main" id="{9EAFE59D-9254-B6F1-DA1A-CC2D3ECA216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6481" y="2069152"/>
          <a:ext cx="333718" cy="20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0.6451</cdr:x>
      <cdr:y>0.71712</cdr:y>
    </cdr:from>
    <cdr:to>
      <cdr:x>0.70236</cdr:x>
      <cdr:y>0.84211</cdr:y>
    </cdr:to>
    <cdr:sp macro="" textlink="">
      <cdr:nvSpPr>
        <cdr:cNvPr id="264199" name="Text Box 1031">
          <a:extLst xmlns:a="http://schemas.openxmlformats.org/drawingml/2006/main">
            <a:ext uri="{FF2B5EF4-FFF2-40B4-BE49-F238E27FC236}">
              <a16:creationId xmlns:a16="http://schemas.microsoft.com/office/drawing/2014/main" id="{3D0F5420-32C9-E2BE-6192-397E2D72CD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7282" y="2079654"/>
          <a:ext cx="256875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0.81321</cdr:x>
      <cdr:y>0.71712</cdr:y>
    </cdr:from>
    <cdr:to>
      <cdr:x>0.87683</cdr:x>
      <cdr:y>0.78626</cdr:y>
    </cdr:to>
    <cdr:sp macro="" textlink="">
      <cdr:nvSpPr>
        <cdr:cNvPr id="264200" name="Text Box 1032">
          <a:extLst xmlns:a="http://schemas.openxmlformats.org/drawingml/2006/main">
            <a:ext uri="{FF2B5EF4-FFF2-40B4-BE49-F238E27FC236}">
              <a16:creationId xmlns:a16="http://schemas.microsoft.com/office/drawing/2014/main" id="{CA7A190C-4856-22AC-A0E3-10C1BB278BF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441" y="2079654"/>
          <a:ext cx="285416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0.91475</cdr:x>
      <cdr:y>0.7338</cdr:y>
    </cdr:from>
    <cdr:to>
      <cdr:x>0.97421</cdr:x>
      <cdr:y>0.80295</cdr:y>
    </cdr:to>
    <cdr:sp macro="" textlink="">
      <cdr:nvSpPr>
        <cdr:cNvPr id="264201" name="Text Box 1033">
          <a:extLst xmlns:a="http://schemas.openxmlformats.org/drawingml/2006/main">
            <a:ext uri="{FF2B5EF4-FFF2-40B4-BE49-F238E27FC236}">
              <a16:creationId xmlns:a16="http://schemas.microsoft.com/office/drawing/2014/main" id="{3BA1F8EF-EF42-8568-1CE3-DB8659AC2E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7009" y="2127960"/>
          <a:ext cx="266755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0.72365</cdr:x>
      <cdr:y>0.71712</cdr:y>
    </cdr:from>
    <cdr:to>
      <cdr:x>0.79363</cdr:x>
      <cdr:y>0.84211</cdr:y>
    </cdr:to>
    <cdr:sp macro="" textlink="">
      <cdr:nvSpPr>
        <cdr:cNvPr id="264202" name="Text Box 1034">
          <a:extLst xmlns:a="http://schemas.openxmlformats.org/drawingml/2006/main">
            <a:ext uri="{FF2B5EF4-FFF2-40B4-BE49-F238E27FC236}">
              <a16:creationId xmlns:a16="http://schemas.microsoft.com/office/drawing/2014/main" id="{DF38C74C-BE4F-9E5B-95AB-B2A1AA56F9C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9662" y="2079654"/>
          <a:ext cx="313958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B660D88-0EF7-7B94-5F7A-5C4705F87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76200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25D14895-79C3-FC19-6BDD-D0696E9EE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77B71A85-B60E-1255-65DE-60EAE469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037B72EF-A4B2-17F1-9B52-3EBD657FF17D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>
          <a:extLst>
            <a:ext uri="{FF2B5EF4-FFF2-40B4-BE49-F238E27FC236}">
              <a16:creationId xmlns:a16="http://schemas.microsoft.com/office/drawing/2014/main" id="{C7E50FE4-195F-3BB1-A297-48524C15D9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24</xdr:row>
      <xdr:rowOff>47625</xdr:rowOff>
    </xdr:from>
    <xdr:to>
      <xdr:col>7</xdr:col>
      <xdr:colOff>200025</xdr:colOff>
      <xdr:row>42</xdr:row>
      <xdr:rowOff>76200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1FEB5ADB-4124-5C0D-42C3-AA10FD4FA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0.86824</cdr:x>
      <cdr:y>0.45528</cdr:y>
    </cdr:from>
    <cdr:to>
      <cdr:x>0.91033</cdr:x>
      <cdr:y>0.4855</cdr:y>
    </cdr:to>
    <cdr:sp macro="" textlink="">
      <cdr:nvSpPr>
        <cdr:cNvPr id="241666" name="Line 2">
          <a:extLst xmlns:a="http://schemas.openxmlformats.org/drawingml/2006/main">
            <a:ext uri="{FF2B5EF4-FFF2-40B4-BE49-F238E27FC236}">
              <a16:creationId xmlns:a16="http://schemas.microsoft.com/office/drawing/2014/main" id="{3F897543-F0BE-ABE5-6DF6-3BFFDA2CC9D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089" y="1317137"/>
          <a:ext cx="188405" cy="87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0.15671</cdr:x>
      <cdr:y>0.09819</cdr:y>
    </cdr:from>
    <cdr:to>
      <cdr:x>0.178</cdr:x>
      <cdr:y>0.16302</cdr:y>
    </cdr:to>
    <cdr:sp macro="" textlink="">
      <cdr:nvSpPr>
        <cdr:cNvPr id="13316" name="Text Box 4">
          <a:extLst xmlns:a="http://schemas.openxmlformats.org/drawingml/2006/main">
            <a:ext uri="{FF2B5EF4-FFF2-40B4-BE49-F238E27FC236}">
              <a16:creationId xmlns:a16="http://schemas.microsoft.com/office/drawing/2014/main" id="{8C282BFE-7923-0B54-660B-FB3D387CEE5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39" y="292166"/>
          <a:ext cx="95298" cy="190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1008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Global-111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 refreshError="1"/>
      <sheetData sheetId="2" refreshError="1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26414.453000000001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1730.691</v>
          </cell>
          <cell r="E23">
            <v>1730.691</v>
          </cell>
        </row>
        <row r="27">
          <cell r="E27">
            <v>-42641.985000000001</v>
          </cell>
        </row>
        <row r="28">
          <cell r="E28">
            <v>23192.098000000002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1849.1360000000002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J27">
            <v>-51501</v>
          </cell>
          <cell r="M27">
            <v>0</v>
          </cell>
          <cell r="O27">
            <v>-51501</v>
          </cell>
        </row>
        <row r="28">
          <cell r="E28">
            <v>0</v>
          </cell>
          <cell r="O28">
            <v>-1448.0150000000001</v>
          </cell>
        </row>
        <row r="29">
          <cell r="E29">
            <v>-29901.168999999998</v>
          </cell>
          <cell r="O29">
            <v>-27940.684999999998</v>
          </cell>
        </row>
        <row r="30">
          <cell r="E30">
            <v>23493.214</v>
          </cell>
          <cell r="O30">
            <v>20751.246000000003</v>
          </cell>
        </row>
      </sheetData>
      <sheetData sheetId="4"/>
      <sheetData sheetId="5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J9">
            <v>-46958.415000000001</v>
          </cell>
          <cell r="M9">
            <v>6903.1189999999997</v>
          </cell>
          <cell r="O9">
            <v>-63880.157999999996</v>
          </cell>
        </row>
        <row r="10">
          <cell r="J10">
            <v>4028.6859999999997</v>
          </cell>
          <cell r="M10">
            <v>5110.5330000000004</v>
          </cell>
          <cell r="O10">
            <v>-4870.8010000000013</v>
          </cell>
        </row>
        <row r="11">
          <cell r="J11">
            <v>3387</v>
          </cell>
          <cell r="M11">
            <v>348.209</v>
          </cell>
          <cell r="O11">
            <v>2663.7260000000001</v>
          </cell>
        </row>
        <row r="13">
          <cell r="J13">
            <v>-4892</v>
          </cell>
          <cell r="M13">
            <v>1860.0810000000001</v>
          </cell>
          <cell r="O13">
            <v>-8528.8330000000005</v>
          </cell>
        </row>
        <row r="14">
          <cell r="J14">
            <v>858.42700000000002</v>
          </cell>
          <cell r="M14">
            <v>2517.0659999999998</v>
          </cell>
          <cell r="O14">
            <v>-2611.9809999999998</v>
          </cell>
        </row>
        <row r="15">
          <cell r="J15">
            <v>1836</v>
          </cell>
          <cell r="M15">
            <v>1849.1360000000002</v>
          </cell>
          <cell r="O15">
            <v>-1294.5470000000003</v>
          </cell>
        </row>
        <row r="16">
          <cell r="J16">
            <v>-92.724000000000004</v>
          </cell>
          <cell r="M16">
            <v>7322.1759999999995</v>
          </cell>
          <cell r="O16">
            <v>-8855.9339999999993</v>
          </cell>
        </row>
        <row r="17">
          <cell r="J17">
            <v>2224</v>
          </cell>
          <cell r="M17">
            <v>3270.25</v>
          </cell>
          <cell r="O17">
            <v>-2235.4279999999999</v>
          </cell>
        </row>
        <row r="19">
          <cell r="J19">
            <v>1.415</v>
          </cell>
          <cell r="M19">
            <v>1542.4860000000001</v>
          </cell>
          <cell r="O19">
            <v>-3364.9630000000002</v>
          </cell>
        </row>
        <row r="20">
          <cell r="J20">
            <v>1147</v>
          </cell>
          <cell r="M20">
            <v>138.44999999999999</v>
          </cell>
          <cell r="O20">
            <v>1008.55</v>
          </cell>
        </row>
        <row r="21">
          <cell r="J21">
            <v>0</v>
          </cell>
          <cell r="M21">
            <v>695.86699999999996</v>
          </cell>
          <cell r="O21">
            <v>-765.96100000000001</v>
          </cell>
        </row>
        <row r="22">
          <cell r="J22">
            <v>0</v>
          </cell>
          <cell r="M22">
            <v>537.20399999999995</v>
          </cell>
          <cell r="O22">
            <v>-1010.9559999999999</v>
          </cell>
        </row>
        <row r="23">
          <cell r="J23">
            <v>0</v>
          </cell>
          <cell r="M23">
            <v>0</v>
          </cell>
          <cell r="O23">
            <v>0</v>
          </cell>
        </row>
        <row r="27">
          <cell r="J27">
            <v>-30000</v>
          </cell>
          <cell r="O27">
            <v>-30000</v>
          </cell>
        </row>
        <row r="28">
          <cell r="M28">
            <v>0</v>
          </cell>
          <cell r="O28">
            <v>0</v>
          </cell>
        </row>
        <row r="29">
          <cell r="O29">
            <v>-42641.985000000001</v>
          </cell>
        </row>
        <row r="30">
          <cell r="O30">
            <v>23192.098000000002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M1" zoomScale="80" workbookViewId="0">
      <selection activeCell="U29" sqref="U29"/>
    </sheetView>
  </sheetViews>
  <sheetFormatPr defaultRowHeight="12.75" x14ac:dyDescent="0.2"/>
  <cols>
    <col min="1" max="1" width="28.5703125" style="2" bestFit="1" customWidth="1"/>
    <col min="2" max="2" width="11" style="2" bestFit="1" customWidth="1"/>
    <col min="3" max="3" width="10.7109375" style="2" bestFit="1" customWidth="1"/>
    <col min="4" max="4" width="12.140625" style="2" customWidth="1"/>
    <col min="5" max="5" width="11" style="2" bestFit="1" customWidth="1"/>
    <col min="6" max="6" width="10.7109375" style="2" bestFit="1" customWidth="1"/>
    <col min="7" max="7" width="10.7109375" style="2" customWidth="1"/>
    <col min="8" max="8" width="24.140625" style="4" customWidth="1"/>
    <col min="9" max="9" width="10.85546875" style="2" customWidth="1"/>
    <col min="10" max="10" width="10.7109375" style="2" customWidth="1"/>
    <col min="11" max="11" width="12.5703125" style="2" customWidth="1"/>
    <col min="12" max="12" width="11" style="2" customWidth="1"/>
    <col min="13" max="14" width="10.7109375" style="2" customWidth="1"/>
    <col min="15" max="15" width="2.42578125" style="4" customWidth="1"/>
    <col min="16" max="16" width="11" style="2" customWidth="1"/>
    <col min="17" max="17" width="10.7109375" style="2" customWidth="1"/>
    <col min="18" max="18" width="12.42578125" style="2" customWidth="1"/>
    <col min="19" max="19" width="11" style="2" customWidth="1"/>
    <col min="20" max="21" width="10.7109375" style="2" customWidth="1"/>
    <col min="22" max="22" width="4.42578125" style="4" customWidth="1"/>
    <col min="23" max="23" width="11" style="2" customWidth="1"/>
    <col min="24" max="24" width="10.7109375" style="2" customWidth="1"/>
    <col min="25" max="25" width="12.85546875" style="2" customWidth="1"/>
    <col min="26" max="26" width="11" style="2" customWidth="1"/>
    <col min="27" max="27" width="10.7109375" style="2" customWidth="1"/>
    <col min="28" max="28" width="10.85546875" style="2" customWidth="1"/>
    <col min="29" max="29" width="2.7109375" style="4" customWidth="1"/>
    <col min="30" max="30" width="11" style="2" customWidth="1"/>
    <col min="31" max="31" width="10.7109375" style="2" customWidth="1"/>
    <col min="32" max="32" width="12.140625" style="2" customWidth="1"/>
    <col min="33" max="33" width="11" style="2" customWidth="1"/>
    <col min="34" max="34" width="10.7109375" style="2" customWidth="1"/>
    <col min="35" max="35" width="10.85546875" style="2" customWidth="1"/>
    <col min="36" max="36" width="9.140625" style="2"/>
    <col min="37" max="37" width="31.7109375" style="2" bestFit="1" customWidth="1"/>
    <col min="38" max="38" width="11" style="2" bestFit="1" customWidth="1"/>
    <col min="39" max="39" width="9.140625" style="2"/>
    <col min="40" max="40" width="11" style="2" customWidth="1"/>
    <col min="41" max="41" width="9.140625" style="2"/>
    <col min="42" max="42" width="11" style="2" customWidth="1"/>
    <col min="43" max="43" width="9.140625" style="2"/>
    <col min="44" max="44" width="11" style="2" bestFit="1" customWidth="1"/>
    <col min="45" max="45" width="9.140625" style="2"/>
    <col min="46" max="46" width="11" style="2" bestFit="1" customWidth="1"/>
    <col min="47" max="47" width="9.140625" style="2"/>
    <col min="48" max="48" width="11" style="2" bestFit="1" customWidth="1"/>
    <col min="49" max="49" width="9.140625" style="2"/>
    <col min="50" max="50" width="11" style="2" bestFit="1" customWidth="1"/>
    <col min="51" max="51" width="9.140625" style="2"/>
    <col min="52" max="52" width="11" style="2" bestFit="1" customWidth="1"/>
    <col min="53" max="53" width="9.140625" style="2"/>
    <col min="54" max="54" width="11" style="2" bestFit="1" customWidth="1"/>
    <col min="55" max="55" width="9.140625" style="2"/>
    <col min="56" max="56" width="11" style="2" bestFit="1" customWidth="1"/>
    <col min="57" max="57" width="9.140625" style="2"/>
    <col min="58" max="58" width="11" style="2" bestFit="1" customWidth="1"/>
    <col min="59" max="59" width="9.140625" style="2"/>
    <col min="60" max="60" width="11" style="2" bestFit="1" customWidth="1"/>
    <col min="61" max="16384" width="9.140625" style="2"/>
  </cols>
  <sheetData>
    <row r="1" spans="1:69" s="12" customFormat="1" ht="19.5" customHeight="1" thickBot="1" x14ac:dyDescent="0.25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5" thickBot="1" x14ac:dyDescent="0.25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-16.135788999999999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f t="shared" ref="W3:AB3" si="3">+W16</f>
        <v>-46.958415000000002</v>
      </c>
      <c r="X3" s="21">
        <f t="shared" si="3"/>
        <v>6.9031189999999993</v>
      </c>
      <c r="Y3" s="158">
        <f t="shared" si="3"/>
        <v>-63.880157999999994</v>
      </c>
      <c r="Z3" s="22">
        <f t="shared" si="3"/>
        <v>45</v>
      </c>
      <c r="AA3" s="22">
        <f t="shared" si="3"/>
        <v>6.9031189999999993</v>
      </c>
      <c r="AB3" s="23">
        <f t="shared" si="3"/>
        <v>28.078257000000001</v>
      </c>
      <c r="AC3" s="24"/>
      <c r="AD3" s="21">
        <f t="shared" ref="AD3:AD8" si="4">+B3+I3+P3+W3</f>
        <v>31.673782000000003</v>
      </c>
      <c r="AE3" s="21">
        <f t="shared" ref="AE3:AE8" si="5">+C3+J3+Q3+X3</f>
        <v>28.787011</v>
      </c>
      <c r="AF3" s="21">
        <f t="shared" ref="AF3:AF8" si="6">+D3+K3+R3+Y3</f>
        <v>14.073559500000002</v>
      </c>
      <c r="AG3" s="22">
        <f t="shared" ref="AG3:AG8" si="7">+E3+L3+S3+Z3</f>
        <v>150</v>
      </c>
      <c r="AH3" s="22">
        <f t="shared" ref="AH3:AH8" si="8">+F3+M3+T3+AA3</f>
        <v>27.578534000000001</v>
      </c>
      <c r="AI3" s="23">
        <f t="shared" ref="AI3:AI8" si="9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">
      <c r="A4" s="8" t="s">
        <v>42</v>
      </c>
      <c r="B4" s="21">
        <f t="shared" ref="B4:G4" si="10">+B17+B18</f>
        <v>14.040902329999998</v>
      </c>
      <c r="C4" s="21">
        <f t="shared" si="10"/>
        <v>4.1554859999999998</v>
      </c>
      <c r="D4" s="21">
        <f t="shared" si="10"/>
        <v>5.9568273299999985</v>
      </c>
      <c r="E4" s="22">
        <f t="shared" si="10"/>
        <v>18.75</v>
      </c>
      <c r="F4" s="22">
        <f t="shared" si="10"/>
        <v>5.2267119999999991</v>
      </c>
      <c r="G4" s="23">
        <f t="shared" si="10"/>
        <v>9.2528780000000008</v>
      </c>
      <c r="H4" s="8" t="s">
        <v>42</v>
      </c>
      <c r="I4" s="21">
        <f t="shared" ref="I4:N4" si="11">+I17+I18</f>
        <v>26.214523520000004</v>
      </c>
      <c r="J4" s="21">
        <f t="shared" si="11"/>
        <v>4.3150360000000001</v>
      </c>
      <c r="K4" s="21">
        <f t="shared" si="11"/>
        <v>17.966857520000001</v>
      </c>
      <c r="L4" s="22">
        <f t="shared" si="11"/>
        <v>18.75</v>
      </c>
      <c r="M4" s="22">
        <f t="shared" si="11"/>
        <v>5.3609910000000003</v>
      </c>
      <c r="N4" s="23">
        <f t="shared" si="11"/>
        <v>9.2219840000000008</v>
      </c>
      <c r="O4" s="24"/>
      <c r="P4" s="21">
        <f t="shared" ref="P4:U4" si="12">+P17+P18</f>
        <v>32.464047000000001</v>
      </c>
      <c r="Q4" s="21">
        <f t="shared" si="12"/>
        <v>5.1395629999999999</v>
      </c>
      <c r="R4" s="21">
        <f t="shared" si="12"/>
        <v>21.846977999999996</v>
      </c>
      <c r="S4" s="22">
        <f t="shared" si="12"/>
        <v>18.75</v>
      </c>
      <c r="T4" s="22">
        <f t="shared" si="12"/>
        <v>5.4528499999999998</v>
      </c>
      <c r="U4" s="23">
        <f t="shared" si="12"/>
        <v>9.1264590000000005</v>
      </c>
      <c r="V4" s="24"/>
      <c r="W4" s="21">
        <f t="shared" ref="W4:AB4" si="13">+W17+W18</f>
        <v>7.4156859999999991</v>
      </c>
      <c r="X4" s="21">
        <f t="shared" si="13"/>
        <v>5.458742</v>
      </c>
      <c r="Y4" s="158">
        <f t="shared" si="13"/>
        <v>-2.207075000000001</v>
      </c>
      <c r="Z4" s="22">
        <f t="shared" si="13"/>
        <v>18.75</v>
      </c>
      <c r="AA4" s="22">
        <f t="shared" si="13"/>
        <v>5.458742</v>
      </c>
      <c r="AB4" s="23">
        <f t="shared" si="13"/>
        <v>9.1272389999999994</v>
      </c>
      <c r="AC4" s="24"/>
      <c r="AD4" s="21">
        <f t="shared" si="4"/>
        <v>80.135158849999996</v>
      </c>
      <c r="AE4" s="21">
        <f t="shared" si="5"/>
        <v>19.068826999999999</v>
      </c>
      <c r="AF4" s="21">
        <f t="shared" si="6"/>
        <v>43.56358784999999</v>
      </c>
      <c r="AG4" s="22">
        <f t="shared" si="7"/>
        <v>75</v>
      </c>
      <c r="AH4" s="22">
        <f t="shared" si="8"/>
        <v>21.499295</v>
      </c>
      <c r="AI4" s="23">
        <f t="shared" si="9"/>
        <v>36.728560000000002</v>
      </c>
      <c r="AK4" s="7" t="s">
        <v>34</v>
      </c>
      <c r="AL4" s="2">
        <f t="shared" ref="AL4:AQ4" si="14">+AL19</f>
        <v>112</v>
      </c>
      <c r="AM4" s="65">
        <f t="shared" si="14"/>
        <v>117</v>
      </c>
      <c r="AN4" s="65">
        <f t="shared" si="14"/>
        <v>111</v>
      </c>
      <c r="AO4" s="65">
        <f t="shared" si="14"/>
        <v>117</v>
      </c>
      <c r="AP4" s="65">
        <f t="shared" si="14"/>
        <v>111.5</v>
      </c>
      <c r="AQ4" s="65">
        <f t="shared" si="14"/>
        <v>117</v>
      </c>
      <c r="AR4" s="65">
        <f t="shared" ref="AR4:AW4" si="15">+AR19</f>
        <v>110.5</v>
      </c>
      <c r="AS4" s="65">
        <f t="shared" si="15"/>
        <v>118</v>
      </c>
      <c r="AT4" s="65">
        <f t="shared" si="15"/>
        <v>105</v>
      </c>
      <c r="AU4" s="65">
        <f t="shared" si="15"/>
        <v>118</v>
      </c>
      <c r="AV4" s="65">
        <f t="shared" si="15"/>
        <v>111</v>
      </c>
      <c r="AW4" s="65">
        <f t="shared" si="15"/>
        <v>118</v>
      </c>
      <c r="AX4" s="65">
        <f t="shared" ref="AX4:BC4" si="16">+AX19</f>
        <v>126</v>
      </c>
      <c r="AY4" s="65">
        <f t="shared" si="16"/>
        <v>119</v>
      </c>
      <c r="AZ4" s="65">
        <f t="shared" si="16"/>
        <v>131</v>
      </c>
      <c r="BA4" s="65">
        <f t="shared" si="16"/>
        <v>119</v>
      </c>
      <c r="BB4" s="65">
        <f t="shared" si="16"/>
        <v>132</v>
      </c>
      <c r="BC4" s="65">
        <f t="shared" si="16"/>
        <v>119</v>
      </c>
      <c r="BD4" s="65">
        <f>+BD19</f>
        <v>143</v>
      </c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">
      <c r="A5" s="8" t="s">
        <v>0</v>
      </c>
      <c r="B5" s="21">
        <f t="shared" ref="B5:C8" si="17">+B19</f>
        <v>8.7249999999999996</v>
      </c>
      <c r="C5" s="21">
        <f t="shared" si="17"/>
        <v>1.7213719999999999</v>
      </c>
      <c r="D5" s="21">
        <f>+D19</f>
        <v>5.8390690000000003</v>
      </c>
      <c r="E5" s="22">
        <f t="shared" ref="E5:F8" si="18">+E19</f>
        <v>8.5092510000000008</v>
      </c>
      <c r="F5" s="22">
        <f t="shared" si="18"/>
        <v>1.8085229999999999</v>
      </c>
      <c r="G5" s="23">
        <f>+G19</f>
        <v>4.4609819999999996</v>
      </c>
      <c r="H5" s="8" t="s">
        <v>0</v>
      </c>
      <c r="I5" s="21">
        <f t="shared" ref="I5:K8" si="19">+I19</f>
        <v>8.8580000000000005</v>
      </c>
      <c r="J5" s="21">
        <f t="shared" si="19"/>
        <v>1.4893050000000001</v>
      </c>
      <c r="K5" s="21">
        <f t="shared" si="19"/>
        <v>6.6469309999999995</v>
      </c>
      <c r="L5" s="22">
        <f t="shared" ref="L5:N8" si="20">+L19</f>
        <v>7.0788189999999993</v>
      </c>
      <c r="M5" s="22">
        <f t="shared" si="20"/>
        <v>1.4630070000000002</v>
      </c>
      <c r="N5" s="23">
        <f t="shared" si="20"/>
        <v>3.838187</v>
      </c>
      <c r="O5" s="24"/>
      <c r="P5" s="21">
        <f t="shared" ref="P5:R8" si="21">+P19</f>
        <v>8.9260000000000002</v>
      </c>
      <c r="Q5" s="21">
        <f t="shared" si="21"/>
        <v>2.5604989999999996</v>
      </c>
      <c r="R5" s="21">
        <f t="shared" si="21"/>
        <v>5.1617360000000012</v>
      </c>
      <c r="S5" s="22">
        <f t="shared" ref="S5:U8" si="22">+S19</f>
        <v>8.6593520000000002</v>
      </c>
      <c r="T5" s="22">
        <f t="shared" si="22"/>
        <v>1.5277240000000001</v>
      </c>
      <c r="U5" s="23">
        <f t="shared" si="22"/>
        <v>5.3528970000000005</v>
      </c>
      <c r="V5" s="24"/>
      <c r="W5" s="21">
        <f t="shared" ref="W5:Y8" si="23">+W19</f>
        <v>-4.8920000000000003</v>
      </c>
      <c r="X5" s="21">
        <f t="shared" si="23"/>
        <v>1.8600810000000001</v>
      </c>
      <c r="Y5" s="158">
        <f t="shared" si="23"/>
        <v>-8.5288330000000006</v>
      </c>
      <c r="Z5" s="22">
        <f t="shared" ref="Z5:AB8" si="24">+Z19</f>
        <v>8.75258</v>
      </c>
      <c r="AA5" s="22">
        <f t="shared" si="24"/>
        <v>1.5600810000000001</v>
      </c>
      <c r="AB5" s="23">
        <f t="shared" si="24"/>
        <v>5.4157469999999996</v>
      </c>
      <c r="AC5" s="24"/>
      <c r="AD5" s="21">
        <f t="shared" si="4"/>
        <v>21.617000000000001</v>
      </c>
      <c r="AE5" s="21">
        <f t="shared" si="5"/>
        <v>7.6312569999999997</v>
      </c>
      <c r="AF5" s="21">
        <f t="shared" si="6"/>
        <v>9.1189030000000013</v>
      </c>
      <c r="AG5" s="22">
        <f t="shared" si="7"/>
        <v>33.000002000000002</v>
      </c>
      <c r="AH5" s="22">
        <f t="shared" si="8"/>
        <v>6.3593350000000006</v>
      </c>
      <c r="AI5" s="23">
        <f t="shared" si="9"/>
        <v>19.067813000000001</v>
      </c>
      <c r="AK5" s="7" t="s">
        <v>59</v>
      </c>
      <c r="AL5" s="65">
        <f t="shared" ref="AL5:AQ5" si="25">+AL20+AL21</f>
        <v>66</v>
      </c>
      <c r="AM5" s="65">
        <f t="shared" si="25"/>
        <v>85</v>
      </c>
      <c r="AN5" s="65">
        <f t="shared" si="25"/>
        <v>65</v>
      </c>
      <c r="AO5" s="65">
        <f t="shared" si="25"/>
        <v>85</v>
      </c>
      <c r="AP5" s="65">
        <f t="shared" si="25"/>
        <v>65</v>
      </c>
      <c r="AQ5" s="65">
        <f t="shared" si="25"/>
        <v>85</v>
      </c>
      <c r="AR5" s="65">
        <f t="shared" ref="AR5:AW5" si="26">+AR20+AR21</f>
        <v>65</v>
      </c>
      <c r="AS5" s="65">
        <f t="shared" si="26"/>
        <v>87</v>
      </c>
      <c r="AT5" s="65">
        <f t="shared" si="26"/>
        <v>71</v>
      </c>
      <c r="AU5" s="65">
        <f t="shared" si="26"/>
        <v>86</v>
      </c>
      <c r="AV5" s="65">
        <f t="shared" si="26"/>
        <v>68</v>
      </c>
      <c r="AW5" s="65">
        <f t="shared" si="26"/>
        <v>87</v>
      </c>
      <c r="AX5" s="65">
        <f t="shared" ref="AX5:BC5" si="27">+AX20+AX21</f>
        <v>73</v>
      </c>
      <c r="AY5" s="65">
        <f t="shared" si="27"/>
        <v>88</v>
      </c>
      <c r="AZ5" s="65">
        <f t="shared" si="27"/>
        <v>81</v>
      </c>
      <c r="BA5" s="65">
        <f t="shared" si="27"/>
        <v>88</v>
      </c>
      <c r="BB5" s="65">
        <f t="shared" si="27"/>
        <v>82</v>
      </c>
      <c r="BC5" s="65">
        <f t="shared" si="27"/>
        <v>88</v>
      </c>
      <c r="BD5" s="65">
        <f>+BD20+BD21</f>
        <v>96</v>
      </c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">
      <c r="A6" s="8" t="s">
        <v>28</v>
      </c>
      <c r="B6" s="21">
        <f t="shared" si="17"/>
        <v>1.6720152800000001</v>
      </c>
      <c r="C6" s="21">
        <f t="shared" si="17"/>
        <v>0.79013500000000003</v>
      </c>
      <c r="D6" s="21">
        <f>+D20</f>
        <v>0.33799628000000009</v>
      </c>
      <c r="E6" s="22">
        <f t="shared" si="18"/>
        <v>4.875</v>
      </c>
      <c r="F6" s="22">
        <f t="shared" si="18"/>
        <v>1.8026479999999998</v>
      </c>
      <c r="G6" s="23">
        <f>+G20</f>
        <v>2.2590210000000002</v>
      </c>
      <c r="H6" s="8" t="s">
        <v>28</v>
      </c>
      <c r="I6" s="21">
        <f t="shared" si="19"/>
        <v>2.5505689999999999</v>
      </c>
      <c r="J6" s="21">
        <f t="shared" si="19"/>
        <v>1.2994109999999999</v>
      </c>
      <c r="K6" s="21">
        <f t="shared" si="19"/>
        <v>0.60499100000000006</v>
      </c>
      <c r="L6" s="22">
        <f t="shared" si="20"/>
        <v>11.875</v>
      </c>
      <c r="M6" s="22">
        <f t="shared" si="20"/>
        <v>2.304122</v>
      </c>
      <c r="N6" s="23">
        <f t="shared" si="20"/>
        <v>8.6151859999999996</v>
      </c>
      <c r="O6" s="24"/>
      <c r="P6" s="21">
        <f t="shared" si="21"/>
        <v>0.99688599999999972</v>
      </c>
      <c r="Q6" s="21">
        <f t="shared" si="21"/>
        <v>2.093127</v>
      </c>
      <c r="R6" s="21">
        <f t="shared" si="21"/>
        <v>-1.6838440000000001</v>
      </c>
      <c r="S6" s="22">
        <f t="shared" si="22"/>
        <v>11.875</v>
      </c>
      <c r="T6" s="22">
        <f t="shared" si="22"/>
        <v>2.5170659999999998</v>
      </c>
      <c r="U6" s="23">
        <f t="shared" si="22"/>
        <v>8.401542000000001</v>
      </c>
      <c r="V6" s="24"/>
      <c r="W6" s="21">
        <f t="shared" si="23"/>
        <v>0.85842700000000005</v>
      </c>
      <c r="X6" s="21">
        <f t="shared" si="23"/>
        <v>2.5170659999999998</v>
      </c>
      <c r="Y6" s="158">
        <f t="shared" si="23"/>
        <v>-2.6119809999999997</v>
      </c>
      <c r="Z6" s="22">
        <f t="shared" si="24"/>
        <v>8.875</v>
      </c>
      <c r="AA6" s="22">
        <f t="shared" si="24"/>
        <v>2.5170659999999998</v>
      </c>
      <c r="AB6" s="23">
        <f t="shared" si="24"/>
        <v>5.404592000000001</v>
      </c>
      <c r="AC6" s="24"/>
      <c r="AD6" s="21">
        <f t="shared" si="4"/>
        <v>6.0778972799999993</v>
      </c>
      <c r="AE6" s="21">
        <f t="shared" si="5"/>
        <v>6.6997389999999992</v>
      </c>
      <c r="AF6" s="21">
        <f t="shared" si="6"/>
        <v>-3.3528377199999997</v>
      </c>
      <c r="AG6" s="22">
        <f t="shared" si="7"/>
        <v>37.5</v>
      </c>
      <c r="AH6" s="22">
        <f t="shared" si="8"/>
        <v>9.1409020000000005</v>
      </c>
      <c r="AI6" s="23">
        <f t="shared" si="9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8">+AN22</f>
        <v>19</v>
      </c>
      <c r="AO6" s="65">
        <f t="shared" si="28"/>
        <v>32</v>
      </c>
      <c r="AP6" s="7">
        <f t="shared" si="28"/>
        <v>21</v>
      </c>
      <c r="AQ6" s="65">
        <f t="shared" si="28"/>
        <v>32</v>
      </c>
      <c r="AR6" s="7">
        <f t="shared" ref="AR6:AU7" si="29">+AR22</f>
        <v>23</v>
      </c>
      <c r="AS6" s="65">
        <f t="shared" si="29"/>
        <v>24</v>
      </c>
      <c r="AT6" s="7">
        <f t="shared" si="29"/>
        <v>27</v>
      </c>
      <c r="AU6" s="65">
        <f t="shared" si="29"/>
        <v>24</v>
      </c>
      <c r="AV6" s="7">
        <f t="shared" ref="AV6:AY7" si="30">+AV22</f>
        <v>25</v>
      </c>
      <c r="AW6" s="65">
        <f t="shared" si="30"/>
        <v>24</v>
      </c>
      <c r="AX6" s="7">
        <f t="shared" si="30"/>
        <v>31</v>
      </c>
      <c r="AY6" s="65">
        <f t="shared" si="30"/>
        <v>24</v>
      </c>
      <c r="AZ6" s="7">
        <f t="shared" ref="AZ6:BC7" si="31">+AZ22</f>
        <v>34</v>
      </c>
      <c r="BA6" s="65">
        <f t="shared" si="31"/>
        <v>26</v>
      </c>
      <c r="BB6" s="7">
        <f t="shared" si="31"/>
        <v>44</v>
      </c>
      <c r="BC6" s="65">
        <f t="shared" si="31"/>
        <v>26</v>
      </c>
      <c r="BD6" s="7">
        <f>+BD22</f>
        <v>48</v>
      </c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">
      <c r="A7" s="8" t="s">
        <v>27</v>
      </c>
      <c r="B7" s="21">
        <f t="shared" si="17"/>
        <v>13.281756999999999</v>
      </c>
      <c r="C7" s="21">
        <f t="shared" si="17"/>
        <v>2.3647780000000003</v>
      </c>
      <c r="D7" s="21">
        <f>+D21</f>
        <v>9.4641950000000001</v>
      </c>
      <c r="E7" s="22">
        <f t="shared" si="18"/>
        <v>20</v>
      </c>
      <c r="F7" s="22">
        <f t="shared" si="18"/>
        <v>3.4673859999999999</v>
      </c>
      <c r="G7" s="23">
        <f>+G21</f>
        <v>14.454606</v>
      </c>
      <c r="H7" s="8" t="s">
        <v>27</v>
      </c>
      <c r="I7" s="21">
        <f t="shared" si="19"/>
        <v>17.175999999999998</v>
      </c>
      <c r="J7" s="21">
        <f t="shared" si="19"/>
        <v>2.2957269999999999</v>
      </c>
      <c r="K7" s="21">
        <f t="shared" si="19"/>
        <v>13.173132000000001</v>
      </c>
      <c r="L7" s="22">
        <f t="shared" si="20"/>
        <v>27.5</v>
      </c>
      <c r="M7" s="22">
        <f t="shared" si="20"/>
        <v>3.7426159999999999</v>
      </c>
      <c r="N7" s="23">
        <f t="shared" si="20"/>
        <v>21.486755000000002</v>
      </c>
      <c r="O7" s="24"/>
      <c r="P7" s="21">
        <f t="shared" si="21"/>
        <v>5.7214499999999999</v>
      </c>
      <c r="Q7" s="21">
        <f t="shared" si="21"/>
        <v>3.047825</v>
      </c>
      <c r="R7" s="21">
        <f t="shared" si="21"/>
        <v>1.4289799999999999</v>
      </c>
      <c r="S7" s="22">
        <f t="shared" si="22"/>
        <v>27.37</v>
      </c>
      <c r="T7" s="22">
        <f t="shared" si="22"/>
        <v>3.3204479999999998</v>
      </c>
      <c r="U7" s="23">
        <f t="shared" si="22"/>
        <v>21.837183</v>
      </c>
      <c r="V7" s="24"/>
      <c r="W7" s="21">
        <f t="shared" si="23"/>
        <v>1.8360000000000001</v>
      </c>
      <c r="X7" s="21">
        <f t="shared" si="23"/>
        <v>1.8491360000000001</v>
      </c>
      <c r="Y7" s="158">
        <f t="shared" si="23"/>
        <v>-1.2945470000000003</v>
      </c>
      <c r="Z7" s="22">
        <f t="shared" si="24"/>
        <v>29.545000000000002</v>
      </c>
      <c r="AA7" s="22">
        <f t="shared" si="24"/>
        <v>1.8491360000000001</v>
      </c>
      <c r="AB7" s="23">
        <f t="shared" si="24"/>
        <v>26.414453000000002</v>
      </c>
      <c r="AC7" s="24"/>
      <c r="AD7" s="21">
        <f t="shared" si="4"/>
        <v>38.015206999999997</v>
      </c>
      <c r="AE7" s="21">
        <f t="shared" si="5"/>
        <v>9.5574659999999998</v>
      </c>
      <c r="AF7" s="21">
        <f t="shared" si="6"/>
        <v>22.771759999999997</v>
      </c>
      <c r="AG7" s="22">
        <f t="shared" si="7"/>
        <v>104.41500000000001</v>
      </c>
      <c r="AH7" s="22">
        <f t="shared" si="8"/>
        <v>12.379585999999998</v>
      </c>
      <c r="AI7" s="23">
        <f t="shared" si="9"/>
        <v>84.192996999999991</v>
      </c>
      <c r="AK7" s="7" t="s">
        <v>1</v>
      </c>
      <c r="AL7" s="7">
        <f>+AL23</f>
        <v>15</v>
      </c>
      <c r="AM7" s="65">
        <f>+AM23</f>
        <v>26</v>
      </c>
      <c r="AN7" s="7">
        <f t="shared" si="28"/>
        <v>17</v>
      </c>
      <c r="AO7" s="65">
        <f t="shared" si="28"/>
        <v>26</v>
      </c>
      <c r="AP7" s="7">
        <f t="shared" si="28"/>
        <v>18</v>
      </c>
      <c r="AQ7" s="65">
        <f t="shared" si="28"/>
        <v>26</v>
      </c>
      <c r="AR7" s="7">
        <f t="shared" si="29"/>
        <v>18</v>
      </c>
      <c r="AS7" s="65">
        <f t="shared" si="29"/>
        <v>36</v>
      </c>
      <c r="AT7" s="7">
        <f t="shared" si="29"/>
        <v>18</v>
      </c>
      <c r="AU7" s="65">
        <f t="shared" si="29"/>
        <v>36</v>
      </c>
      <c r="AV7" s="7">
        <f t="shared" si="30"/>
        <v>15</v>
      </c>
      <c r="AW7" s="65">
        <f t="shared" si="30"/>
        <v>40</v>
      </c>
      <c r="AX7" s="7">
        <f t="shared" si="30"/>
        <v>16</v>
      </c>
      <c r="AY7" s="65">
        <f t="shared" si="30"/>
        <v>42</v>
      </c>
      <c r="AZ7" s="7">
        <f t="shared" si="31"/>
        <v>15</v>
      </c>
      <c r="BA7" s="65">
        <f t="shared" si="31"/>
        <v>42</v>
      </c>
      <c r="BB7" s="7">
        <f t="shared" si="31"/>
        <v>13</v>
      </c>
      <c r="BC7" s="65">
        <f t="shared" si="31"/>
        <v>42</v>
      </c>
      <c r="BD7" s="7">
        <f>+BD23</f>
        <v>30</v>
      </c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">
      <c r="A8" s="8" t="s">
        <v>40</v>
      </c>
      <c r="B8" s="21">
        <f t="shared" si="17"/>
        <v>4.0953999999999997E-2</v>
      </c>
      <c r="C8" s="21">
        <f t="shared" si="17"/>
        <v>1.6157969999999997</v>
      </c>
      <c r="D8" s="21">
        <f>+D22</f>
        <v>-1.8434739999999998</v>
      </c>
      <c r="E8" s="22">
        <f t="shared" si="18"/>
        <v>0.5</v>
      </c>
      <c r="F8" s="22">
        <f t="shared" si="18"/>
        <v>1.5556059999999998</v>
      </c>
      <c r="G8" s="23">
        <f>+G22</f>
        <v>-1.2446959999999996</v>
      </c>
      <c r="H8" s="8" t="s">
        <v>40</v>
      </c>
      <c r="I8" s="21">
        <f t="shared" si="19"/>
        <v>1.648452</v>
      </c>
      <c r="J8" s="21">
        <f t="shared" si="19"/>
        <v>4.582465</v>
      </c>
      <c r="K8" s="21">
        <f t="shared" si="19"/>
        <v>-3.767201</v>
      </c>
      <c r="L8" s="22">
        <f t="shared" si="20"/>
        <v>1.3109999999999999</v>
      </c>
      <c r="M8" s="22">
        <f t="shared" si="20"/>
        <v>4.3568180000000005</v>
      </c>
      <c r="N8" s="23">
        <f t="shared" si="20"/>
        <v>-3.6237109999999992</v>
      </c>
      <c r="O8" s="24"/>
      <c r="P8" s="21">
        <f t="shared" si="21"/>
        <v>1.2664900000000001</v>
      </c>
      <c r="Q8" s="21">
        <f t="shared" si="21"/>
        <v>3.6831990000000001</v>
      </c>
      <c r="R8" s="21">
        <f t="shared" si="21"/>
        <v>-4.1581299999999999</v>
      </c>
      <c r="S8" s="22">
        <f t="shared" si="22"/>
        <v>5.7050000000000001</v>
      </c>
      <c r="T8" s="22">
        <f t="shared" si="22"/>
        <v>4.6250780000000002</v>
      </c>
      <c r="U8" s="23">
        <f t="shared" si="22"/>
        <v>0.24683999999999923</v>
      </c>
      <c r="V8" s="24"/>
      <c r="W8" s="21">
        <f t="shared" si="23"/>
        <v>-9.2724000000000001E-2</v>
      </c>
      <c r="X8" s="21">
        <f t="shared" si="23"/>
        <v>7.3221759999999998</v>
      </c>
      <c r="Y8" s="158">
        <f t="shared" si="23"/>
        <v>-8.8559339999999995</v>
      </c>
      <c r="Z8" s="22">
        <f t="shared" si="24"/>
        <v>13.3055</v>
      </c>
      <c r="AA8" s="22">
        <f t="shared" si="24"/>
        <v>7.3221759999999998</v>
      </c>
      <c r="AB8" s="23">
        <f t="shared" si="24"/>
        <v>4.5422900000000013</v>
      </c>
      <c r="AC8" s="24"/>
      <c r="AD8" s="21">
        <f t="shared" si="4"/>
        <v>2.8631720000000001</v>
      </c>
      <c r="AE8" s="21">
        <f t="shared" si="5"/>
        <v>17.203637000000001</v>
      </c>
      <c r="AF8" s="21">
        <f t="shared" si="6"/>
        <v>-18.624738999999998</v>
      </c>
      <c r="AG8" s="22">
        <f t="shared" si="7"/>
        <v>20.8215</v>
      </c>
      <c r="AH8" s="23">
        <f t="shared" si="8"/>
        <v>17.859677999999999</v>
      </c>
      <c r="AI8" s="23">
        <f t="shared" si="9"/>
        <v>-7.9276999999998488E-2</v>
      </c>
      <c r="AK8" s="7" t="s">
        <v>2</v>
      </c>
      <c r="AL8" s="7">
        <f t="shared" ref="AL8:AU8" si="32">+AL29</f>
        <v>40</v>
      </c>
      <c r="AM8" s="7">
        <f t="shared" si="32"/>
        <v>54</v>
      </c>
      <c r="AN8" s="7">
        <f t="shared" si="32"/>
        <v>42</v>
      </c>
      <c r="AO8" s="7">
        <f t="shared" si="32"/>
        <v>54</v>
      </c>
      <c r="AP8" s="7">
        <f t="shared" si="32"/>
        <v>41</v>
      </c>
      <c r="AQ8" s="7">
        <f t="shared" si="32"/>
        <v>54</v>
      </c>
      <c r="AR8" s="7">
        <f t="shared" si="32"/>
        <v>41</v>
      </c>
      <c r="AS8" s="7">
        <f t="shared" si="32"/>
        <v>54</v>
      </c>
      <c r="AT8" s="7">
        <f t="shared" si="32"/>
        <v>46</v>
      </c>
      <c r="AU8" s="7">
        <f t="shared" si="32"/>
        <v>54</v>
      </c>
      <c r="AV8" s="7">
        <f t="shared" ref="AV8:BA8" si="33">+AV29</f>
        <v>48</v>
      </c>
      <c r="AW8" s="7">
        <f t="shared" si="33"/>
        <v>54</v>
      </c>
      <c r="AX8" s="7">
        <f t="shared" si="33"/>
        <v>46</v>
      </c>
      <c r="AY8" s="7">
        <f t="shared" si="33"/>
        <v>54</v>
      </c>
      <c r="AZ8" s="7">
        <f t="shared" si="33"/>
        <v>41</v>
      </c>
      <c r="BA8" s="7">
        <f t="shared" si="33"/>
        <v>54</v>
      </c>
      <c r="BB8" s="7">
        <f>+BB29</f>
        <v>38</v>
      </c>
      <c r="BC8" s="7">
        <f>+BC29</f>
        <v>54</v>
      </c>
      <c r="BD8" s="7">
        <f>+BD29</f>
        <v>34</v>
      </c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">
      <c r="A9" s="8" t="s">
        <v>43</v>
      </c>
      <c r="B9" s="21">
        <f t="shared" ref="B9:G9" si="34">+B23+B24</f>
        <v>0.72031200000000006</v>
      </c>
      <c r="C9" s="21">
        <f t="shared" si="34"/>
        <v>3.1919929999999996</v>
      </c>
      <c r="D9" s="21">
        <f t="shared" si="34"/>
        <v>-4.0442699999999991</v>
      </c>
      <c r="E9" s="22">
        <f t="shared" si="34"/>
        <v>2.1414989999999996</v>
      </c>
      <c r="F9" s="22">
        <f t="shared" si="34"/>
        <v>1.7027920000000001</v>
      </c>
      <c r="G9" s="23">
        <f t="shared" si="34"/>
        <v>-1.3346310000000003</v>
      </c>
      <c r="H9" s="8" t="s">
        <v>43</v>
      </c>
      <c r="I9" s="21">
        <f t="shared" ref="I9:N9" si="35">+I23+I24</f>
        <v>2.8330689999999996</v>
      </c>
      <c r="J9" s="21">
        <f t="shared" si="35"/>
        <v>5.8071459999999995</v>
      </c>
      <c r="K9" s="21">
        <f t="shared" si="35"/>
        <v>-4.5315430000000001</v>
      </c>
      <c r="L9" s="22">
        <f t="shared" si="35"/>
        <v>6.3724989999999995</v>
      </c>
      <c r="M9" s="22">
        <f t="shared" si="35"/>
        <v>1.732531</v>
      </c>
      <c r="N9" s="23">
        <f t="shared" si="35"/>
        <v>2.875057</v>
      </c>
      <c r="O9" s="24"/>
      <c r="P9" s="21">
        <f t="shared" ref="P9:U9" si="36">+P23+P24</f>
        <v>1.5743530000000001</v>
      </c>
      <c r="Q9" s="21">
        <f t="shared" si="36"/>
        <v>6.1434679999999995</v>
      </c>
      <c r="R9" s="21">
        <f t="shared" si="36"/>
        <v>-5.7566199999999998</v>
      </c>
      <c r="S9" s="22">
        <f t="shared" si="36"/>
        <v>8</v>
      </c>
      <c r="T9" s="22">
        <f t="shared" si="36"/>
        <v>1.43025</v>
      </c>
      <c r="U9" s="23">
        <f t="shared" si="36"/>
        <v>5.3767870000000002</v>
      </c>
      <c r="V9" s="24"/>
      <c r="W9" s="21">
        <f t="shared" ref="W9:AB9" si="37">+W23+W24</f>
        <v>2.2240000000000002</v>
      </c>
      <c r="X9" s="21">
        <f t="shared" si="37"/>
        <v>3.2702499999999999</v>
      </c>
      <c r="Y9" s="158">
        <f t="shared" si="37"/>
        <v>-2.2354279999999997</v>
      </c>
      <c r="Z9" s="22">
        <f t="shared" si="37"/>
        <v>44</v>
      </c>
      <c r="AA9" s="22">
        <f t="shared" si="37"/>
        <v>1.43025</v>
      </c>
      <c r="AB9" s="23">
        <f t="shared" si="37"/>
        <v>41.380572000000001</v>
      </c>
      <c r="AC9" s="24"/>
      <c r="AD9" s="21">
        <f t="shared" ref="AD9:AI9" si="38">+B9+I9+P9+W9</f>
        <v>7.3517340000000004</v>
      </c>
      <c r="AE9" s="21">
        <f t="shared" si="38"/>
        <v>18.412856999999999</v>
      </c>
      <c r="AF9" s="21">
        <f t="shared" si="38"/>
        <v>-16.567861000000001</v>
      </c>
      <c r="AG9" s="22">
        <f t="shared" si="38"/>
        <v>60.513998000000001</v>
      </c>
      <c r="AH9" s="23">
        <f t="shared" si="38"/>
        <v>6.2958230000000004</v>
      </c>
      <c r="AI9" s="23">
        <f t="shared" si="38"/>
        <v>48.297785000000005</v>
      </c>
      <c r="AK9" s="7" t="s">
        <v>40</v>
      </c>
      <c r="AL9" s="7">
        <f t="shared" ref="AL9:AU9" si="39">+AL24</f>
        <v>7</v>
      </c>
      <c r="AM9" s="65">
        <f t="shared" si="39"/>
        <v>6</v>
      </c>
      <c r="AN9" s="7">
        <f t="shared" si="39"/>
        <v>8</v>
      </c>
      <c r="AO9" s="65">
        <f t="shared" si="39"/>
        <v>6</v>
      </c>
      <c r="AP9" s="7">
        <f t="shared" si="39"/>
        <v>20</v>
      </c>
      <c r="AQ9" s="65">
        <f t="shared" si="39"/>
        <v>20</v>
      </c>
      <c r="AR9" s="7">
        <f t="shared" si="39"/>
        <v>22</v>
      </c>
      <c r="AS9" s="65">
        <f t="shared" si="39"/>
        <v>37</v>
      </c>
      <c r="AT9" s="7">
        <f t="shared" si="39"/>
        <v>57</v>
      </c>
      <c r="AU9" s="65">
        <f t="shared" si="39"/>
        <v>37</v>
      </c>
      <c r="AV9" s="7">
        <f t="shared" ref="AV9:BA9" si="40">+AV24</f>
        <v>42</v>
      </c>
      <c r="AW9" s="65">
        <f t="shared" si="40"/>
        <v>37</v>
      </c>
      <c r="AX9" s="7">
        <f t="shared" si="40"/>
        <v>51</v>
      </c>
      <c r="AY9" s="65">
        <f t="shared" si="40"/>
        <v>63</v>
      </c>
      <c r="AZ9" s="7">
        <f t="shared" si="40"/>
        <v>55</v>
      </c>
      <c r="BA9" s="65">
        <f t="shared" si="40"/>
        <v>63</v>
      </c>
      <c r="BB9" s="7">
        <f>+BB24</f>
        <v>62</v>
      </c>
      <c r="BC9" s="65">
        <f>+BC24</f>
        <v>63</v>
      </c>
      <c r="BD9" s="7">
        <f>+BD24</f>
        <v>62</v>
      </c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41">+P25</f>
        <v>8.4899999999999993E-4</v>
      </c>
      <c r="Q10" s="21">
        <f t="shared" si="41"/>
        <v>0.93087699999999995</v>
      </c>
      <c r="R10" s="21">
        <f t="shared" si="41"/>
        <v>-2.53091</v>
      </c>
      <c r="S10" s="22">
        <f t="shared" si="41"/>
        <v>3.75</v>
      </c>
      <c r="T10" s="22">
        <f t="shared" si="41"/>
        <v>1.542486</v>
      </c>
      <c r="U10" s="23">
        <f t="shared" si="41"/>
        <v>0.38362199999999985</v>
      </c>
      <c r="V10" s="24"/>
      <c r="W10" s="21">
        <f t="shared" ref="W10:Y11" si="42">+W25</f>
        <v>1.415E-3</v>
      </c>
      <c r="X10" s="21">
        <f t="shared" si="42"/>
        <v>1.542486</v>
      </c>
      <c r="Y10" s="158">
        <f t="shared" si="42"/>
        <v>-3.3649630000000004</v>
      </c>
      <c r="Z10" s="22">
        <f t="shared" ref="Z10:AB11" si="43">+Z25</f>
        <v>3.75</v>
      </c>
      <c r="AA10" s="22">
        <f t="shared" si="43"/>
        <v>1.542486</v>
      </c>
      <c r="AB10" s="23">
        <f t="shared" si="43"/>
        <v>0.38362199999999985</v>
      </c>
      <c r="AC10" s="24"/>
      <c r="AD10" s="21">
        <f t="shared" ref="AD10:AI10" si="44">+B10+I10+P10+W10</f>
        <v>2.264E-3</v>
      </c>
      <c r="AE10" s="21">
        <f t="shared" si="44"/>
        <v>2.473363</v>
      </c>
      <c r="AF10" s="21">
        <f t="shared" si="44"/>
        <v>-5.8958729999999999</v>
      </c>
      <c r="AG10" s="22">
        <f t="shared" si="44"/>
        <v>7.5</v>
      </c>
      <c r="AH10" s="23">
        <f t="shared" si="44"/>
        <v>3.084972</v>
      </c>
      <c r="AI10" s="23">
        <f t="shared" si="44"/>
        <v>0.7672439999999997</v>
      </c>
      <c r="AK10" s="7" t="s">
        <v>58</v>
      </c>
      <c r="AL10" s="7">
        <f t="shared" ref="AL10:AU10" si="45">+AL26+AL27+AL28</f>
        <v>58</v>
      </c>
      <c r="AM10" s="7">
        <f t="shared" si="45"/>
        <v>72</v>
      </c>
      <c r="AN10" s="7">
        <f t="shared" si="45"/>
        <v>56</v>
      </c>
      <c r="AO10" s="7">
        <f t="shared" si="45"/>
        <v>72</v>
      </c>
      <c r="AP10" s="7">
        <f t="shared" si="45"/>
        <v>57.5</v>
      </c>
      <c r="AQ10" s="7">
        <f t="shared" si="45"/>
        <v>73</v>
      </c>
      <c r="AR10" s="7">
        <f t="shared" si="45"/>
        <v>39.5</v>
      </c>
      <c r="AS10" s="7">
        <f t="shared" si="45"/>
        <v>51</v>
      </c>
      <c r="AT10" s="7">
        <f t="shared" si="45"/>
        <v>41</v>
      </c>
      <c r="AU10" s="7">
        <f t="shared" si="45"/>
        <v>51</v>
      </c>
      <c r="AV10" s="7">
        <f t="shared" ref="AV10:BA10" si="46">+AV26+AV27+AV28</f>
        <v>37</v>
      </c>
      <c r="AW10" s="7">
        <f t="shared" si="46"/>
        <v>53</v>
      </c>
      <c r="AX10" s="7">
        <f t="shared" si="46"/>
        <v>35</v>
      </c>
      <c r="AY10" s="7">
        <f t="shared" si="46"/>
        <v>44</v>
      </c>
      <c r="AZ10" s="7">
        <f t="shared" si="46"/>
        <v>36</v>
      </c>
      <c r="BA10" s="7">
        <f t="shared" si="46"/>
        <v>44</v>
      </c>
      <c r="BB10" s="7">
        <f>+BB26+BB27+BB28</f>
        <v>34</v>
      </c>
      <c r="BC10" s="7">
        <f>+BC26+BC27+BC28</f>
        <v>44</v>
      </c>
      <c r="BD10" s="7">
        <f>+BD26+BD27+BD28</f>
        <v>39</v>
      </c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5" thickBot="1" x14ac:dyDescent="0.25">
      <c r="A11" s="152" t="s">
        <v>99</v>
      </c>
      <c r="B11" s="21">
        <f t="shared" ref="B11:G11" si="47">+B26</f>
        <v>0.21596799999999999</v>
      </c>
      <c r="C11" s="21">
        <f t="shared" si="47"/>
        <v>33.163512000000004</v>
      </c>
      <c r="D11" s="21">
        <f t="shared" si="47"/>
        <v>-15.7017925</v>
      </c>
      <c r="E11" s="22">
        <f t="shared" si="47"/>
        <v>2.5230000000000001</v>
      </c>
      <c r="F11" s="22">
        <f t="shared" si="47"/>
        <v>29.978772999999997</v>
      </c>
      <c r="G11" s="23">
        <f t="shared" si="47"/>
        <v>-6.1094079999999993</v>
      </c>
      <c r="H11" s="152" t="s">
        <v>96</v>
      </c>
      <c r="I11" s="21">
        <f t="shared" ref="I11:N11" si="48">+I26</f>
        <v>2.1317629999999999</v>
      </c>
      <c r="J11" s="21">
        <f t="shared" si="48"/>
        <v>33.355591000000004</v>
      </c>
      <c r="K11" s="21">
        <f t="shared" si="48"/>
        <v>-13.751741000000003</v>
      </c>
      <c r="L11" s="22">
        <f t="shared" si="48"/>
        <v>6.2161040000000005</v>
      </c>
      <c r="M11" s="22">
        <f t="shared" si="48"/>
        <v>29.624556999999996</v>
      </c>
      <c r="N11" s="23">
        <f t="shared" si="48"/>
        <v>-1.9159829999999893</v>
      </c>
      <c r="O11" s="24"/>
      <c r="P11" s="21">
        <f t="shared" ref="P11:U11" si="49">+P26</f>
        <v>-3.7758059999999958</v>
      </c>
      <c r="Q11" s="21">
        <f t="shared" si="49"/>
        <v>1.1761949999999999</v>
      </c>
      <c r="R11" s="21">
        <f t="shared" si="49"/>
        <v>-59.272211999999989</v>
      </c>
      <c r="S11" s="22">
        <f t="shared" si="49"/>
        <v>7.2037009999999997</v>
      </c>
      <c r="T11" s="22">
        <f t="shared" si="49"/>
        <v>31.272687999999999</v>
      </c>
      <c r="U11" s="23">
        <f t="shared" si="49"/>
        <v>-1.1209170000000022</v>
      </c>
      <c r="V11" s="24"/>
      <c r="W11" s="21">
        <f t="shared" si="42"/>
        <v>-28.853000000000002</v>
      </c>
      <c r="X11" s="21">
        <f t="shared" si="42"/>
        <v>1.371521</v>
      </c>
      <c r="Y11" s="158">
        <f t="shared" si="42"/>
        <v>-50.218253999999988</v>
      </c>
      <c r="Z11" s="22">
        <f t="shared" si="43"/>
        <v>3.3333919999999999</v>
      </c>
      <c r="AA11" s="22">
        <f t="shared" si="43"/>
        <v>44.013506</v>
      </c>
      <c r="AB11" s="23">
        <f t="shared" si="43"/>
        <v>-18.031861999999997</v>
      </c>
      <c r="AC11" s="24"/>
      <c r="AD11" s="21">
        <f t="shared" ref="AD11:AI11" si="50">+B11+I11+P11+W11</f>
        <v>-30.281074999999998</v>
      </c>
      <c r="AE11" s="21">
        <f t="shared" si="50"/>
        <v>69.06681900000001</v>
      </c>
      <c r="AF11" s="21">
        <f t="shared" si="50"/>
        <v>-138.94399949999996</v>
      </c>
      <c r="AG11" s="22">
        <f t="shared" si="50"/>
        <v>19.276197</v>
      </c>
      <c r="AH11" s="22">
        <f t="shared" si="50"/>
        <v>134.88952399999999</v>
      </c>
      <c r="AI11" s="23">
        <f t="shared" si="50"/>
        <v>-27.178169999999987</v>
      </c>
      <c r="AK11" s="7" t="s">
        <v>98</v>
      </c>
      <c r="AL11" s="7">
        <f>+AL25</f>
        <v>0</v>
      </c>
      <c r="AM11" s="7">
        <f t="shared" ref="AM11:AU11" si="51">+AM25</f>
        <v>0</v>
      </c>
      <c r="AN11" s="7">
        <f t="shared" si="51"/>
        <v>0</v>
      </c>
      <c r="AO11" s="7">
        <f t="shared" si="51"/>
        <v>0</v>
      </c>
      <c r="AP11" s="7">
        <f t="shared" si="51"/>
        <v>0</v>
      </c>
      <c r="AQ11" s="7">
        <f t="shared" si="51"/>
        <v>0</v>
      </c>
      <c r="AR11" s="7">
        <f t="shared" si="51"/>
        <v>0</v>
      </c>
      <c r="AS11" s="7">
        <f t="shared" si="51"/>
        <v>0</v>
      </c>
      <c r="AT11" s="7">
        <f t="shared" si="51"/>
        <v>0</v>
      </c>
      <c r="AU11" s="7">
        <f t="shared" si="51"/>
        <v>0</v>
      </c>
      <c r="AV11" s="7">
        <f t="shared" ref="AV11:BA11" si="52">+AV25</f>
        <v>0</v>
      </c>
      <c r="AW11" s="7">
        <f t="shared" si="52"/>
        <v>0</v>
      </c>
      <c r="AX11" s="7">
        <f t="shared" si="52"/>
        <v>19</v>
      </c>
      <c r="AY11" s="7">
        <f t="shared" si="52"/>
        <v>24</v>
      </c>
      <c r="AZ11" s="7">
        <f t="shared" si="52"/>
        <v>19</v>
      </c>
      <c r="BA11" s="7">
        <f t="shared" si="52"/>
        <v>24</v>
      </c>
      <c r="BB11" s="7">
        <f>+BB25</f>
        <v>18</v>
      </c>
      <c r="BC11" s="7">
        <f>+BC25</f>
        <v>24</v>
      </c>
      <c r="BD11" s="7">
        <f>+BD25</f>
        <v>18</v>
      </c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5" thickBot="1" x14ac:dyDescent="0.25">
      <c r="A12" s="8" t="s">
        <v>17</v>
      </c>
      <c r="B12" s="36">
        <f t="shared" ref="B12:G12" si="53">SUM(B3:B11)</f>
        <v>100.66806961</v>
      </c>
      <c r="C12" s="37">
        <f t="shared" si="53"/>
        <v>54.071289000000007</v>
      </c>
      <c r="D12" s="37">
        <f t="shared" si="53"/>
        <v>46.315662610000004</v>
      </c>
      <c r="E12" s="39">
        <f t="shared" si="53"/>
        <v>97.298749999999998</v>
      </c>
      <c r="F12" s="39">
        <f t="shared" si="53"/>
        <v>52.310209999999998</v>
      </c>
      <c r="G12" s="40">
        <f t="shared" si="53"/>
        <v>44.988539999999993</v>
      </c>
      <c r="H12" s="8" t="s">
        <v>17</v>
      </c>
      <c r="I12" s="36">
        <f t="shared" ref="I12:N12" si="54">SUM(I3:I11)</f>
        <v>94.209201520000008</v>
      </c>
      <c r="J12" s="37">
        <f t="shared" si="54"/>
        <v>59.979376000000002</v>
      </c>
      <c r="K12" s="37">
        <f t="shared" si="54"/>
        <v>34.129964519999994</v>
      </c>
      <c r="L12" s="38">
        <f t="shared" si="54"/>
        <v>111.60342199999999</v>
      </c>
      <c r="M12" s="39">
        <f t="shared" si="54"/>
        <v>55.578954999999993</v>
      </c>
      <c r="N12" s="40">
        <f t="shared" si="54"/>
        <v>56.023991000000009</v>
      </c>
      <c r="O12" s="25"/>
      <c r="P12" s="36">
        <f t="shared" ref="P12:U12" si="55">SUM(P3:P11)</f>
        <v>31.038480000000007</v>
      </c>
      <c r="Q12" s="37">
        <f t="shared" si="55"/>
        <v>32.75573399999999</v>
      </c>
      <c r="R12" s="37">
        <f t="shared" si="55"/>
        <v>-31.105953999999983</v>
      </c>
      <c r="S12" s="38">
        <f t="shared" si="55"/>
        <v>123.813053</v>
      </c>
      <c r="T12" s="39">
        <f t="shared" si="55"/>
        <v>58.601922000000002</v>
      </c>
      <c r="U12" s="40">
        <f t="shared" si="55"/>
        <v>65.211130999999995</v>
      </c>
      <c r="V12" s="25"/>
      <c r="W12" s="37">
        <f t="shared" ref="W12:AB12" si="56">SUM(W3:W11)</f>
        <v>-68.460611</v>
      </c>
      <c r="X12" s="159">
        <f t="shared" si="56"/>
        <v>32.094577000000001</v>
      </c>
      <c r="Y12" s="160">
        <f t="shared" si="56"/>
        <v>-143.19717299999999</v>
      </c>
      <c r="Z12" s="38">
        <f t="shared" si="56"/>
        <v>175.31147199999998</v>
      </c>
      <c r="AA12" s="39">
        <f t="shared" si="56"/>
        <v>72.596562000000006</v>
      </c>
      <c r="AB12" s="40">
        <f t="shared" si="56"/>
        <v>102.71491</v>
      </c>
      <c r="AC12" s="24"/>
      <c r="AD12" s="36">
        <f t="shared" ref="AD12:AI12" si="57">SUM(AD3:AD11)</f>
        <v>157.45514012999999</v>
      </c>
      <c r="AE12" s="37">
        <f t="shared" si="57"/>
        <v>178.90097600000001</v>
      </c>
      <c r="AF12" s="37">
        <f t="shared" si="57"/>
        <v>-93.857499869999955</v>
      </c>
      <c r="AG12" s="38">
        <f t="shared" si="57"/>
        <v>508.02669700000007</v>
      </c>
      <c r="AH12" s="39">
        <f t="shared" si="57"/>
        <v>239.087649</v>
      </c>
      <c r="AI12" s="40">
        <f t="shared" si="57"/>
        <v>268.93857200000008</v>
      </c>
      <c r="AK12" s="7" t="s">
        <v>33</v>
      </c>
      <c r="AL12" s="7">
        <f t="shared" ref="AL12:AU12" si="58">+AL30</f>
        <v>220</v>
      </c>
      <c r="AM12" s="7">
        <f t="shared" si="58"/>
        <v>230</v>
      </c>
      <c r="AN12" s="7">
        <f t="shared" si="58"/>
        <v>233</v>
      </c>
      <c r="AO12" s="7">
        <f t="shared" si="58"/>
        <v>228</v>
      </c>
      <c r="AP12" s="7">
        <f t="shared" si="58"/>
        <v>228</v>
      </c>
      <c r="AQ12" s="7">
        <f t="shared" si="58"/>
        <v>228</v>
      </c>
      <c r="AR12" s="7">
        <f t="shared" si="58"/>
        <v>145</v>
      </c>
      <c r="AS12" s="7">
        <f t="shared" si="58"/>
        <v>106</v>
      </c>
      <c r="AT12" s="7">
        <f t="shared" si="58"/>
        <v>158</v>
      </c>
      <c r="AU12" s="7">
        <f t="shared" si="58"/>
        <v>118</v>
      </c>
      <c r="AV12" s="7">
        <f t="shared" ref="AV12:BA12" si="59">+AV30</f>
        <v>151</v>
      </c>
      <c r="AW12" s="7">
        <f t="shared" si="59"/>
        <v>120</v>
      </c>
      <c r="AX12" s="7">
        <f t="shared" si="59"/>
        <v>144</v>
      </c>
      <c r="AY12" s="7">
        <f t="shared" si="59"/>
        <v>120</v>
      </c>
      <c r="AZ12" s="7">
        <f t="shared" si="59"/>
        <v>141</v>
      </c>
      <c r="BA12" s="7">
        <f t="shared" si="59"/>
        <v>120</v>
      </c>
      <c r="BB12" s="7">
        <f>+BB30</f>
        <v>138</v>
      </c>
      <c r="BC12" s="7">
        <f>+BC30</f>
        <v>118</v>
      </c>
      <c r="BD12" s="7">
        <f>+BD30</f>
        <v>165</v>
      </c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60">SUM(AL4:AL12)</f>
        <v>545</v>
      </c>
      <c r="AM13" s="106">
        <f t="shared" si="60"/>
        <v>622</v>
      </c>
      <c r="AN13" s="106">
        <f t="shared" si="60"/>
        <v>551</v>
      </c>
      <c r="AO13" s="106">
        <f t="shared" si="60"/>
        <v>620</v>
      </c>
      <c r="AP13" s="106">
        <f t="shared" si="60"/>
        <v>562</v>
      </c>
      <c r="AQ13" s="106">
        <f t="shared" si="60"/>
        <v>635</v>
      </c>
      <c r="AR13" s="106">
        <f t="shared" si="60"/>
        <v>464</v>
      </c>
      <c r="AS13" s="106">
        <f t="shared" si="60"/>
        <v>513</v>
      </c>
      <c r="AT13" s="106">
        <f t="shared" si="60"/>
        <v>523</v>
      </c>
      <c r="AU13" s="106">
        <f t="shared" si="60"/>
        <v>524</v>
      </c>
      <c r="AV13" s="106">
        <f t="shared" ref="AV13:BD13" si="61">SUM(AV4:AV12)</f>
        <v>497</v>
      </c>
      <c r="AW13" s="106">
        <f t="shared" si="61"/>
        <v>533</v>
      </c>
      <c r="AX13" s="106">
        <f t="shared" si="61"/>
        <v>541</v>
      </c>
      <c r="AY13" s="106">
        <f t="shared" si="61"/>
        <v>578</v>
      </c>
      <c r="AZ13" s="106">
        <f t="shared" si="61"/>
        <v>553</v>
      </c>
      <c r="BA13" s="106">
        <f t="shared" si="61"/>
        <v>580</v>
      </c>
      <c r="BB13" s="106">
        <f t="shared" si="61"/>
        <v>561</v>
      </c>
      <c r="BC13" s="106">
        <f>SUM(BC4:BC12)</f>
        <v>578</v>
      </c>
      <c r="BD13" s="106">
        <f t="shared" si="61"/>
        <v>635</v>
      </c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5" thickBot="1" x14ac:dyDescent="0.25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+'[6]Mgmt Summary'!J9/1000-45</f>
        <v>-16.135788999999999</v>
      </c>
      <c r="Q16" s="21">
        <f>+'[6]Mgmt Summary'!M9/1000</f>
        <v>7.9809809999999999</v>
      </c>
      <c r="R16" s="21">
        <f>+'[6]Mgmt Summary'!O9/1000</f>
        <v>13.858067999999999</v>
      </c>
      <c r="S16" s="22">
        <f>+'[6]Mgmt Summary'!C9/1000</f>
        <v>32.5</v>
      </c>
      <c r="T16" s="22">
        <f>+[6]Expenses!E9/1000</f>
        <v>6.9133320000000005</v>
      </c>
      <c r="U16" s="75">
        <f>+'[6]Mgmt Summary'!E9/1000</f>
        <v>15.606718000000001</v>
      </c>
      <c r="V16" s="24"/>
      <c r="W16" s="21">
        <f>+'[7]Mgmt Summary'!J9/1000</f>
        <v>-46.958415000000002</v>
      </c>
      <c r="X16" s="21">
        <f>+'[7]Mgmt Summary'!M9/1000</f>
        <v>6.9031189999999993</v>
      </c>
      <c r="Y16" s="21">
        <f>+'[7]Mgmt Summary'!O9/1000</f>
        <v>-63.880157999999994</v>
      </c>
      <c r="Z16" s="22">
        <f>+'[5]Mgmt Summary'!C9/1000</f>
        <v>45</v>
      </c>
      <c r="AA16" s="22">
        <f>+[5]Expenses!E9/1000</f>
        <v>6.9031189999999993</v>
      </c>
      <c r="AB16" s="75">
        <f>+'[5]Mgmt Summary'!E9/1000</f>
        <v>28.078257000000001</v>
      </c>
      <c r="AC16" s="3"/>
      <c r="AD16" s="21">
        <f t="shared" ref="AD16:AD24" si="62">+B16+I16+P16+W16</f>
        <v>31.673782000000003</v>
      </c>
      <c r="AE16" s="21">
        <f t="shared" ref="AE16:AE24" si="63">+C16+J16+Q16+X16</f>
        <v>28.787011</v>
      </c>
      <c r="AF16" s="21">
        <f t="shared" ref="AF16:AF24" si="64">+D16+K16+R16+Y16</f>
        <v>14.073559500000002</v>
      </c>
      <c r="AG16" s="22">
        <f t="shared" ref="AG16:AG24" si="65">+E16+L16+S16+Z16</f>
        <v>150</v>
      </c>
      <c r="AH16" s="22">
        <f t="shared" ref="AH16:AH24" si="66">+F16+M16+T16+AA16</f>
        <v>27.578534000000001</v>
      </c>
      <c r="AI16" s="23">
        <f t="shared" ref="AI16:AI24" si="67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+('[6]Mgmt Summary'!J10+'[6]Mgmt Summary'!$J$11)/1000</f>
        <v>32.464047000000001</v>
      </c>
      <c r="Q17" s="21">
        <f>+('[6]Mgmt Summary'!M10+'[6]Mgmt Summary'!M11)/1000</f>
        <v>5.1395629999999999</v>
      </c>
      <c r="R17" s="21">
        <f>+('[6]Mgmt Summary'!O10+'[6]Mgmt Summary'!O11)/1000</f>
        <v>21.846977999999996</v>
      </c>
      <c r="S17" s="22">
        <f>+'[6]Mgmt Summary'!C10/1000+'[6]Mgmt Summary'!C11/1000</f>
        <v>18.75</v>
      </c>
      <c r="T17" s="22">
        <f>+[6]Expenses!E10/1000+[6]Expenses!E11/1000</f>
        <v>5.4528499999999998</v>
      </c>
      <c r="U17" s="23">
        <f>+'[6]Mgmt Summary'!E10/1000+'[6]Mgmt Summary'!E11/1000</f>
        <v>9.1264590000000005</v>
      </c>
      <c r="V17" s="24"/>
      <c r="W17" s="21">
        <f>+'[7]Mgmt Summary'!J10/1000+'[7]Mgmt Summary'!J11/1000</f>
        <v>7.4156859999999991</v>
      </c>
      <c r="X17" s="21">
        <f>+'[7]Mgmt Summary'!M10/1000+'[7]Mgmt Summary'!M11/1000</f>
        <v>5.458742</v>
      </c>
      <c r="Y17" s="21">
        <f>+'[7]Mgmt Summary'!O10/1000+'[7]Mgmt Summary'!O11/1000</f>
        <v>-2.207075000000001</v>
      </c>
      <c r="Z17" s="22">
        <f>+'[5]Mgmt Summary'!C10/1000+'[5]Mgmt Summary'!C11/1000</f>
        <v>18.75</v>
      </c>
      <c r="AA17" s="22">
        <f>+[5]Expenses!E10/1000+[5]Expenses!E11/1000</f>
        <v>5.458742</v>
      </c>
      <c r="AB17" s="23">
        <f>+'[5]Mgmt Summary'!E10/1000+'[5]Mgmt Summary'!E11/1000</f>
        <v>9.1272389999999994</v>
      </c>
      <c r="AC17" s="24"/>
      <c r="AD17" s="21">
        <f t="shared" si="62"/>
        <v>86.373311849999993</v>
      </c>
      <c r="AE17" s="21">
        <f t="shared" si="63"/>
        <v>18.498324</v>
      </c>
      <c r="AF17" s="21">
        <f t="shared" si="64"/>
        <v>51.123940849999997</v>
      </c>
      <c r="AG17" s="22">
        <f t="shared" si="65"/>
        <v>70</v>
      </c>
      <c r="AH17" s="22">
        <f t="shared" si="66"/>
        <v>20.285675999999999</v>
      </c>
      <c r="AI17" s="23">
        <f t="shared" si="67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5" thickBot="1" x14ac:dyDescent="0.25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+'[6]Mgmt Summary'!C12/1000</f>
        <v>0</v>
      </c>
      <c r="T18" s="22">
        <f>+[6]Expenses!E12/1000</f>
        <v>0</v>
      </c>
      <c r="U18" s="23">
        <f>+'[6]Mgmt Summary'!E12/1000</f>
        <v>0</v>
      </c>
      <c r="V18" s="24"/>
      <c r="W18" s="21"/>
      <c r="X18" s="21"/>
      <c r="Y18" s="21"/>
      <c r="Z18" s="22">
        <f>+'[5]Mgmt Summary'!C12/1000</f>
        <v>0</v>
      </c>
      <c r="AA18" s="22">
        <f>+[5]Expenses!E12/1000</f>
        <v>0</v>
      </c>
      <c r="AB18" s="23">
        <f>+'[5]Mgmt Summary'!E12/1000</f>
        <v>0</v>
      </c>
      <c r="AC18" s="24"/>
      <c r="AD18" s="21">
        <f t="shared" si="62"/>
        <v>-6.2381530000000005</v>
      </c>
      <c r="AE18" s="21">
        <f t="shared" si="63"/>
        <v>0.57050299999999998</v>
      </c>
      <c r="AF18" s="21">
        <f t="shared" si="64"/>
        <v>-7.5603530000000001</v>
      </c>
      <c r="AG18" s="22">
        <f t="shared" si="65"/>
        <v>5</v>
      </c>
      <c r="AH18" s="22">
        <f t="shared" si="66"/>
        <v>1.213619</v>
      </c>
      <c r="AI18" s="23">
        <f t="shared" si="67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+'[6]Mgmt Summary'!J13/1000</f>
        <v>8.9260000000000002</v>
      </c>
      <c r="Q19" s="21">
        <f>+'[6]Mgmt Summary'!M13/1000</f>
        <v>2.5604989999999996</v>
      </c>
      <c r="R19" s="21">
        <f>+'[6]Mgmt Summary'!O13/1000</f>
        <v>5.1617360000000012</v>
      </c>
      <c r="S19" s="22">
        <f>+'[6]Mgmt Summary'!C13/1000</f>
        <v>8.6593520000000002</v>
      </c>
      <c r="T19" s="22">
        <f>+[6]Expenses!E13/1000</f>
        <v>1.5277240000000001</v>
      </c>
      <c r="U19" s="23">
        <f>+'[6]Mgmt Summary'!E13/1000</f>
        <v>5.3528970000000005</v>
      </c>
      <c r="V19" s="24"/>
      <c r="W19" s="21">
        <f>+'[7]Mgmt Summary'!J13/1000</f>
        <v>-4.8920000000000003</v>
      </c>
      <c r="X19" s="21">
        <f>+'[7]Mgmt Summary'!M13/1000</f>
        <v>1.8600810000000001</v>
      </c>
      <c r="Y19" s="21">
        <f>+'[7]Mgmt Summary'!O13/1000</f>
        <v>-8.5288330000000006</v>
      </c>
      <c r="Z19" s="22">
        <f>+'[5]Mgmt Summary'!C13/1000</f>
        <v>8.75258</v>
      </c>
      <c r="AA19" s="22">
        <f>+[5]Expenses!E13/1000</f>
        <v>1.5600810000000001</v>
      </c>
      <c r="AB19" s="23">
        <f>+'[5]Mgmt Summary'!E13/1000</f>
        <v>5.4157469999999996</v>
      </c>
      <c r="AC19" s="24"/>
      <c r="AD19" s="21">
        <f t="shared" si="62"/>
        <v>21.617000000000001</v>
      </c>
      <c r="AE19" s="21">
        <f t="shared" si="63"/>
        <v>7.6312569999999997</v>
      </c>
      <c r="AF19" s="21">
        <f t="shared" si="64"/>
        <v>9.1189030000000013</v>
      </c>
      <c r="AG19" s="22">
        <f t="shared" si="65"/>
        <v>33.000002000000002</v>
      </c>
      <c r="AH19" s="22">
        <f t="shared" si="66"/>
        <v>6.3593350000000006</v>
      </c>
      <c r="AI19" s="23">
        <f t="shared" si="67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D19" s="2">
        <f>84+50+9</f>
        <v>143</v>
      </c>
      <c r="BE19" s="100">
        <v>119</v>
      </c>
      <c r="BF19"/>
      <c r="BG19" s="100">
        <v>119</v>
      </c>
      <c r="BI19" s="100">
        <v>119</v>
      </c>
    </row>
    <row r="20" spans="1:65" x14ac:dyDescent="0.2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+'[6]Mgmt Summary'!J14/1000</f>
        <v>0.99688599999999972</v>
      </c>
      <c r="Q20" s="21">
        <f>+'[6]Mgmt Summary'!M14/1000</f>
        <v>2.093127</v>
      </c>
      <c r="R20" s="21">
        <f>+'[6]Mgmt Summary'!O14/1000</f>
        <v>-1.6838440000000001</v>
      </c>
      <c r="S20" s="22">
        <f>+'[6]Mgmt Summary'!C14/1000</f>
        <v>11.875</v>
      </c>
      <c r="T20" s="22">
        <f>+[6]Expenses!E14/1000</f>
        <v>2.5170659999999998</v>
      </c>
      <c r="U20" s="23">
        <f>+'[6]Mgmt Summary'!E14/1000</f>
        <v>8.401542000000001</v>
      </c>
      <c r="V20" s="24"/>
      <c r="W20" s="21">
        <f>+'[7]Mgmt Summary'!J14/1000</f>
        <v>0.85842700000000005</v>
      </c>
      <c r="X20" s="21">
        <f>+'[7]Mgmt Summary'!M14/1000</f>
        <v>2.5170659999999998</v>
      </c>
      <c r="Y20" s="21">
        <f>+'[7]Mgmt Summary'!O14/1000</f>
        <v>-2.6119809999999997</v>
      </c>
      <c r="Z20" s="22">
        <f>+'[5]Mgmt Summary'!C14/1000</f>
        <v>8.875</v>
      </c>
      <c r="AA20" s="22">
        <f>+[5]Expenses!E14/1000</f>
        <v>2.5170659999999998</v>
      </c>
      <c r="AB20" s="23">
        <f>+'[5]Mgmt Summary'!E14/1000</f>
        <v>5.404592000000001</v>
      </c>
      <c r="AC20" s="24"/>
      <c r="AD20" s="21">
        <f t="shared" si="62"/>
        <v>6.0778972799999993</v>
      </c>
      <c r="AE20" s="21">
        <f t="shared" si="63"/>
        <v>6.6997389999999992</v>
      </c>
      <c r="AF20" s="21">
        <f t="shared" si="64"/>
        <v>-3.3528377199999997</v>
      </c>
      <c r="AG20" s="22">
        <f t="shared" si="65"/>
        <v>37.5</v>
      </c>
      <c r="AH20" s="22">
        <f t="shared" si="66"/>
        <v>9.1409020000000005</v>
      </c>
      <c r="AI20" s="23">
        <f t="shared" si="67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D20" s="2">
        <f>6+21+49+13</f>
        <v>89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+'[6]Mgmt Summary'!J15/1000</f>
        <v>5.7214499999999999</v>
      </c>
      <c r="Q21" s="21">
        <f>+'[6]Mgmt Summary'!M15/1000</f>
        <v>3.047825</v>
      </c>
      <c r="R21" s="21">
        <f>+'[6]Mgmt Summary'!O15/1000</f>
        <v>1.4289799999999999</v>
      </c>
      <c r="S21" s="22">
        <f>+'[6]Mgmt Summary'!C15/1000</f>
        <v>27.37</v>
      </c>
      <c r="T21" s="22">
        <f>+[6]Expenses!E15/1000</f>
        <v>3.3204479999999998</v>
      </c>
      <c r="U21" s="23">
        <f>+'[6]Mgmt Summary'!E15/1000</f>
        <v>21.837183</v>
      </c>
      <c r="V21" s="24"/>
      <c r="W21" s="21">
        <f>+'[7]Mgmt Summary'!J15/1000</f>
        <v>1.8360000000000001</v>
      </c>
      <c r="X21" s="21">
        <f>+'[7]Mgmt Summary'!M15/1000</f>
        <v>1.8491360000000001</v>
      </c>
      <c r="Y21" s="21">
        <f>+'[7]Mgmt Summary'!O15/1000</f>
        <v>-1.2945470000000003</v>
      </c>
      <c r="Z21" s="22">
        <f>+'[5]Mgmt Summary'!C15/1000</f>
        <v>29.545000000000002</v>
      </c>
      <c r="AA21" s="22">
        <f>+[5]Expenses!E15/1000</f>
        <v>1.8491360000000001</v>
      </c>
      <c r="AB21" s="23">
        <f>+'[5]Mgmt Summary'!E15/1000</f>
        <v>26.414453000000002</v>
      </c>
      <c r="AC21" s="24"/>
      <c r="AD21" s="21">
        <f t="shared" si="62"/>
        <v>38.015206999999997</v>
      </c>
      <c r="AE21" s="21">
        <f t="shared" si="63"/>
        <v>9.5574659999999998</v>
      </c>
      <c r="AF21" s="21">
        <f t="shared" si="64"/>
        <v>22.771759999999997</v>
      </c>
      <c r="AG21" s="22">
        <f t="shared" si="65"/>
        <v>104.41500000000001</v>
      </c>
      <c r="AH21" s="22">
        <f t="shared" si="66"/>
        <v>12.379585999999998</v>
      </c>
      <c r="AI21" s="23">
        <f t="shared" si="67"/>
        <v>84.192996999999991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D21" s="2">
        <f>4+3</f>
        <v>7</v>
      </c>
      <c r="BE21" s="100">
        <v>17</v>
      </c>
      <c r="BG21" s="100">
        <v>17</v>
      </c>
      <c r="BI21" s="100">
        <v>17</v>
      </c>
    </row>
    <row r="22" spans="1:65" x14ac:dyDescent="0.2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+'[6]Mgmt Summary'!J16/1000</f>
        <v>1.2664900000000001</v>
      </c>
      <c r="Q22" s="21">
        <f>+'[6]Mgmt Summary'!M16/1000</f>
        <v>3.6831990000000001</v>
      </c>
      <c r="R22" s="21">
        <f>+'[6]Mgmt Summary'!O16/1000</f>
        <v>-4.1581299999999999</v>
      </c>
      <c r="S22" s="22">
        <f>+'[6]Mgmt Summary'!C16/1000</f>
        <v>5.7050000000000001</v>
      </c>
      <c r="T22" s="22">
        <f>+[6]Expenses!E16/1000</f>
        <v>4.6250780000000002</v>
      </c>
      <c r="U22" s="23">
        <f>+'[6]Mgmt Summary'!E16/1000</f>
        <v>0.24683999999999923</v>
      </c>
      <c r="V22" s="24"/>
      <c r="W22" s="21">
        <f>+'[7]Mgmt Summary'!J16/1000</f>
        <v>-9.2724000000000001E-2</v>
      </c>
      <c r="X22" s="21">
        <f>+'[7]Mgmt Summary'!M16/1000</f>
        <v>7.3221759999999998</v>
      </c>
      <c r="Y22" s="21">
        <f>+'[7]Mgmt Summary'!O16/1000</f>
        <v>-8.8559339999999995</v>
      </c>
      <c r="Z22" s="22">
        <f>+'[5]Mgmt Summary'!C16/1000</f>
        <v>13.3055</v>
      </c>
      <c r="AA22" s="22">
        <f>+[5]Expenses!E16/1000</f>
        <v>7.3221759999999998</v>
      </c>
      <c r="AB22" s="23">
        <f>+'[5]Mgmt Summary'!E16/1000</f>
        <v>4.5422900000000013</v>
      </c>
      <c r="AC22" s="24"/>
      <c r="AD22" s="21">
        <f t="shared" si="62"/>
        <v>2.8631720000000001</v>
      </c>
      <c r="AE22" s="21">
        <f t="shared" si="63"/>
        <v>17.203637000000001</v>
      </c>
      <c r="AF22" s="21">
        <f t="shared" si="64"/>
        <v>-18.624738999999998</v>
      </c>
      <c r="AG22" s="22">
        <f t="shared" si="65"/>
        <v>20.8215</v>
      </c>
      <c r="AH22" s="23">
        <f t="shared" si="66"/>
        <v>17.859677999999999</v>
      </c>
      <c r="AI22" s="23">
        <f t="shared" si="67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7+33+4</f>
        <v>44</v>
      </c>
      <c r="BC22" s="100">
        <v>26</v>
      </c>
      <c r="BD22" s="65">
        <f>2+7+2+37</f>
        <v>48</v>
      </c>
      <c r="BE22" s="100">
        <v>26</v>
      </c>
      <c r="BG22" s="100">
        <v>26</v>
      </c>
      <c r="BI22" s="100">
        <v>26</v>
      </c>
    </row>
    <row r="23" spans="1:65" x14ac:dyDescent="0.2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+'[6]Mgmt Summary'!J17/1000</f>
        <v>1.5743530000000001</v>
      </c>
      <c r="Q23" s="21">
        <f>+'[6]Mgmt Summary'!M17/1000</f>
        <v>6.1434679999999995</v>
      </c>
      <c r="R23" s="21">
        <f>+'[6]Mgmt Summary'!O17/1000</f>
        <v>-5.7566199999999998</v>
      </c>
      <c r="S23" s="22">
        <f>+'[6]Mgmt Summary'!C17/1000</f>
        <v>8</v>
      </c>
      <c r="T23" s="22">
        <f>+[6]Expenses!E17/1000</f>
        <v>1.43025</v>
      </c>
      <c r="U23" s="23">
        <f>+'[6]Mgmt Summary'!E17/1000</f>
        <v>5.3767870000000002</v>
      </c>
      <c r="V23" s="24"/>
      <c r="W23" s="21">
        <f>+'[7]Mgmt Summary'!J17/1000</f>
        <v>2.2240000000000002</v>
      </c>
      <c r="X23" s="21">
        <f>+'[7]Mgmt Summary'!M17/1000</f>
        <v>3.2702499999999999</v>
      </c>
      <c r="Y23" s="21">
        <f>+'[7]Mgmt Summary'!O17/1000</f>
        <v>-2.2354279999999997</v>
      </c>
      <c r="Z23" s="22">
        <f>+'[5]Mgmt Summary'!C17/1000</f>
        <v>44</v>
      </c>
      <c r="AA23" s="22">
        <f>+[5]Expenses!E17/1000</f>
        <v>1.43025</v>
      </c>
      <c r="AB23" s="23">
        <f>+'[5]Mgmt Summary'!E17/1000</f>
        <v>41.380572000000001</v>
      </c>
      <c r="AC23" s="24"/>
      <c r="AD23" s="21">
        <f t="shared" si="62"/>
        <v>6.2435590000000003</v>
      </c>
      <c r="AE23" s="21">
        <f t="shared" si="63"/>
        <v>17.754318999999999</v>
      </c>
      <c r="AF23" s="21">
        <f t="shared" si="64"/>
        <v>-16.042884999999998</v>
      </c>
      <c r="AG23" s="22">
        <f t="shared" si="65"/>
        <v>60</v>
      </c>
      <c r="AH23" s="23">
        <f t="shared" si="66"/>
        <v>5.7210000000000001</v>
      </c>
      <c r="AI23" s="23">
        <f t="shared" si="67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D23" s="65">
        <v>30</v>
      </c>
      <c r="BE23" s="100">
        <v>42</v>
      </c>
      <c r="BG23" s="100">
        <v>42</v>
      </c>
      <c r="BI23" s="100">
        <v>42</v>
      </c>
    </row>
    <row r="24" spans="1:65" x14ac:dyDescent="0.2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+'[6]Mgmt Summary'!J18/1000</f>
        <v>0</v>
      </c>
      <c r="Q24" s="21">
        <f>+'[6]Mgmt Summary'!M18/1000</f>
        <v>0</v>
      </c>
      <c r="R24" s="21">
        <f>+'[6]Mgmt Summary'!O18/1000</f>
        <v>0</v>
      </c>
      <c r="S24" s="22">
        <f>+'[6]Mgmt Summary'!C18/1000</f>
        <v>0</v>
      </c>
      <c r="T24" s="22">
        <f>+[6]Expenses!E18/1000</f>
        <v>0</v>
      </c>
      <c r="U24" s="23">
        <f>+'[6]Mgmt Summary'!E18/1000</f>
        <v>0</v>
      </c>
      <c r="V24" s="24"/>
      <c r="W24" s="21"/>
      <c r="X24" s="21"/>
      <c r="Y24" s="21"/>
      <c r="Z24" s="22">
        <f>+'[5]Mgmt Summary'!C18/1000</f>
        <v>0</v>
      </c>
      <c r="AA24" s="22">
        <f>+[5]Expenses!E18/1000</f>
        <v>0</v>
      </c>
      <c r="AB24" s="23">
        <f>+'[5]Mgmt Summary'!E18/1000</f>
        <v>0</v>
      </c>
      <c r="AC24" s="24"/>
      <c r="AD24" s="21">
        <f t="shared" si="62"/>
        <v>1.1081749999999997</v>
      </c>
      <c r="AE24" s="21">
        <f t="shared" si="63"/>
        <v>0.65853799999999996</v>
      </c>
      <c r="AF24" s="21">
        <f t="shared" si="64"/>
        <v>-0.52497600000000011</v>
      </c>
      <c r="AG24" s="22">
        <f t="shared" si="65"/>
        <v>0.51399799999999951</v>
      </c>
      <c r="AH24" s="22">
        <f t="shared" si="66"/>
        <v>0.57482299999999997</v>
      </c>
      <c r="AI24" s="23">
        <f t="shared" si="67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D24" s="65">
        <v>62</v>
      </c>
      <c r="BE24" s="100">
        <v>92</v>
      </c>
      <c r="BG24" s="100">
        <v>92</v>
      </c>
      <c r="BI24" s="100">
        <v>92</v>
      </c>
    </row>
    <row r="25" spans="1:65" x14ac:dyDescent="0.2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+'[6]Mgmt Summary'!J19/1000</f>
        <v>8.4899999999999993E-4</v>
      </c>
      <c r="Q25" s="21">
        <f>+'[6]Mgmt Summary'!M19/1000</f>
        <v>0.93087699999999995</v>
      </c>
      <c r="R25" s="21">
        <f>+'[6]Mgmt Summary'!O19/1000</f>
        <v>-2.53091</v>
      </c>
      <c r="S25" s="22">
        <f>+'[6]Mgmt Summary'!C19/1000</f>
        <v>3.75</v>
      </c>
      <c r="T25" s="22">
        <f>+[6]Expenses!E19/1000</f>
        <v>1.542486</v>
      </c>
      <c r="U25" s="23">
        <f>+'[6]Mgmt Summary'!E19/1000</f>
        <v>0.38362199999999985</v>
      </c>
      <c r="V25" s="24"/>
      <c r="W25" s="21">
        <f>+'[7]Mgmt Summary'!J19/1000</f>
        <v>1.415E-3</v>
      </c>
      <c r="X25" s="21">
        <f>+'[7]Mgmt Summary'!M19/1000</f>
        <v>1.542486</v>
      </c>
      <c r="Y25" s="21">
        <f>+'[7]Mgmt Summary'!O19/1000</f>
        <v>-3.3649630000000004</v>
      </c>
      <c r="Z25" s="22">
        <f>+'[5]Mgmt Summary'!C19/1000</f>
        <v>3.75</v>
      </c>
      <c r="AA25" s="22">
        <f>+[5]Expenses!E19/1000</f>
        <v>1.542486</v>
      </c>
      <c r="AB25" s="23">
        <f>+'[5]Mgmt Summary'!E19/1000</f>
        <v>0.38362199999999985</v>
      </c>
      <c r="AC25" s="24"/>
      <c r="AD25" s="21">
        <f t="shared" ref="AD25:AI25" si="68">+B25+I25+P25+W25</f>
        <v>2.264E-3</v>
      </c>
      <c r="AE25" s="21">
        <f t="shared" si="68"/>
        <v>2.473363</v>
      </c>
      <c r="AF25" s="21">
        <f t="shared" si="68"/>
        <v>-5.8958729999999999</v>
      </c>
      <c r="AG25" s="22">
        <f t="shared" si="68"/>
        <v>7.5</v>
      </c>
      <c r="AH25" s="22">
        <f t="shared" si="68"/>
        <v>3.084972</v>
      </c>
      <c r="AI25" s="23">
        <f t="shared" si="68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D25" s="65">
        <v>18</v>
      </c>
      <c r="BE25" s="100">
        <v>27</v>
      </c>
      <c r="BG25" s="100">
        <v>27</v>
      </c>
      <c r="BI25" s="100">
        <v>27</v>
      </c>
    </row>
    <row r="26" spans="1:65" ht="13.5" thickBot="1" x14ac:dyDescent="0.25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SUM('[6]Mgmt Summary'!$J$20:$J$23)/1000+SUM('[6]Mgmt Summary'!$J$27:$J$27)/1000+45</f>
        <v>-3.7758059999999958</v>
      </c>
      <c r="Q26" s="21">
        <f>SUM('[6]Mgmt Summary'!M20:M23)/1000+'[6]Mgmt Summary'!$M$27/1000</f>
        <v>1.1761949999999999</v>
      </c>
      <c r="R26" s="21">
        <f>SUM('[6]Mgmt Summary'!O20:O23)/1000+'[6]Mgmt Summary'!$O$27/1000+'[6]Mgmt Summary'!$O$28/1000+'[6]Mgmt Summary'!$O$29/1000+'[6]Mgmt Summary'!$O$30/1000</f>
        <v>-59.272211999999989</v>
      </c>
      <c r="S26" s="22">
        <f>+SUM(('[6]Mgmt Summary'!C20:C23))/1000</f>
        <v>7.2037009999999997</v>
      </c>
      <c r="T26" s="22">
        <f>+SUM(([6]Expenses!E20:E22))/1000+[6]Expenses!$E$27/1000</f>
        <v>31.272687999999999</v>
      </c>
      <c r="U26" s="76">
        <f>+SUM(('[6]Mgmt Summary'!E20:E23))/1000+'[6]Mgmt Summary'!$E$27/1000+'[6]Mgmt Summary'!$E$28/1000+'[6]Mgmt Summary'!$E$29/1000+'[6]Mgmt Summary'!$E$30/1000</f>
        <v>-1.1209170000000022</v>
      </c>
      <c r="V26" s="24"/>
      <c r="W26" s="21">
        <f>SUM('[7]Mgmt Summary'!$J$20:$J$24)/1000+('[7]Mgmt Summary'!$J$27)/1000</f>
        <v>-28.853000000000002</v>
      </c>
      <c r="X26" s="21">
        <f>SUM('[7]Mgmt Summary'!$M$20:$M$24)/1000+'[7]Mgmt Summary'!$M$28/1000</f>
        <v>1.371521</v>
      </c>
      <c r="Y26" s="21">
        <f>SUM('[7]Mgmt Summary'!$O$20:$O$24)/1000+'[7]Mgmt Summary'!$O$28/1000+'[7]Mgmt Summary'!$O$29/1000+'[7]Mgmt Summary'!$O$27/1000+'[7]Mgmt Summary'!$O$30/1000</f>
        <v>-50.218253999999988</v>
      </c>
      <c r="Z26" s="22">
        <f>('[5]Mgmt Summary'!C20+'[5]Mgmt Summary'!C21+'[5]Mgmt Summary'!C22+'[5]Mgmt Summary'!C23)/1000</f>
        <v>3.3333919999999999</v>
      </c>
      <c r="AA26" s="22">
        <f>+([5]Expenses!$E$20+[5]Expenses!$E$21+[5]Expenses!$E$22+[5]Expenses!$E$26)/1000</f>
        <v>44.013506</v>
      </c>
      <c r="AB26" s="76">
        <f>+('[5]Mgmt Summary'!$E$20+'[5]Mgmt Summary'!$E$21+'[5]Mgmt Summary'!$E$22+'[5]Mgmt Summary'!$E$23+'[5]Mgmt Summary'!$E$27+'[5]Mgmt Summary'!$E$28)/1000</f>
        <v>-18.031861999999997</v>
      </c>
      <c r="AC26" s="24"/>
      <c r="AD26" s="21">
        <f t="shared" ref="AD26:AI26" si="69">+B26+I26+P26+W26</f>
        <v>-30.281074999999998</v>
      </c>
      <c r="AE26" s="21">
        <f t="shared" si="69"/>
        <v>69.06681900000001</v>
      </c>
      <c r="AF26" s="21">
        <f t="shared" si="69"/>
        <v>-138.94399949999996</v>
      </c>
      <c r="AG26" s="22">
        <f t="shared" si="69"/>
        <v>19.276197</v>
      </c>
      <c r="AH26" s="22">
        <f t="shared" si="69"/>
        <v>134.88952399999999</v>
      </c>
      <c r="AI26" s="23">
        <f t="shared" si="69"/>
        <v>-27.178169999999987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D26" s="65">
        <v>39</v>
      </c>
      <c r="BE26" s="100">
        <v>44</v>
      </c>
      <c r="BG26" s="100">
        <v>44</v>
      </c>
      <c r="BI26" s="100">
        <v>44</v>
      </c>
    </row>
    <row r="27" spans="1:65" ht="13.5" thickBot="1" x14ac:dyDescent="0.25">
      <c r="A27" s="8" t="s">
        <v>17</v>
      </c>
      <c r="B27" s="36">
        <f t="shared" ref="B27:G27" si="70">SUM(B16:B26)</f>
        <v>100.66806961</v>
      </c>
      <c r="C27" s="37">
        <f t="shared" si="70"/>
        <v>54.071289000000007</v>
      </c>
      <c r="D27" s="37">
        <f t="shared" si="70"/>
        <v>46.315662610000004</v>
      </c>
      <c r="E27" s="39">
        <f t="shared" si="70"/>
        <v>97.298749999999998</v>
      </c>
      <c r="F27" s="39">
        <f t="shared" si="70"/>
        <v>52.310209999999998</v>
      </c>
      <c r="G27" s="40">
        <f t="shared" si="70"/>
        <v>44.988539999999993</v>
      </c>
      <c r="H27" s="8" t="s">
        <v>17</v>
      </c>
      <c r="I27" s="36">
        <f t="shared" ref="I27:N27" si="71">SUM(I16:I26)</f>
        <v>94.209201520000008</v>
      </c>
      <c r="J27" s="36">
        <f t="shared" si="71"/>
        <v>59.979376000000002</v>
      </c>
      <c r="K27" s="36">
        <f t="shared" si="71"/>
        <v>34.129964519999994</v>
      </c>
      <c r="L27" s="38">
        <f t="shared" si="71"/>
        <v>111.60342199999999</v>
      </c>
      <c r="M27" s="39">
        <f t="shared" si="71"/>
        <v>55.578954999999993</v>
      </c>
      <c r="N27" s="40">
        <f t="shared" si="71"/>
        <v>56.023991000000009</v>
      </c>
      <c r="O27" s="25"/>
      <c r="P27" s="36">
        <f t="shared" ref="P27:U27" si="72">SUM(P16:P26)</f>
        <v>31.038480000000007</v>
      </c>
      <c r="Q27" s="37">
        <f t="shared" si="72"/>
        <v>32.75573399999999</v>
      </c>
      <c r="R27" s="37">
        <f t="shared" si="72"/>
        <v>-31.105953999999983</v>
      </c>
      <c r="S27" s="38">
        <f t="shared" si="72"/>
        <v>123.813053</v>
      </c>
      <c r="T27" s="39">
        <f t="shared" si="72"/>
        <v>58.601922000000002</v>
      </c>
      <c r="U27" s="40">
        <f t="shared" si="72"/>
        <v>65.211130999999995</v>
      </c>
      <c r="V27" s="25"/>
      <c r="W27" s="36">
        <f t="shared" ref="W27:AB27" si="73">SUM(W16:W26)</f>
        <v>-68.460611</v>
      </c>
      <c r="X27" s="37">
        <f t="shared" si="73"/>
        <v>32.094577000000001</v>
      </c>
      <c r="Y27" s="37">
        <f t="shared" si="73"/>
        <v>-143.19717299999999</v>
      </c>
      <c r="Z27" s="38">
        <f t="shared" si="73"/>
        <v>175.31147199999998</v>
      </c>
      <c r="AA27" s="39">
        <f t="shared" si="73"/>
        <v>72.596562000000006</v>
      </c>
      <c r="AB27" s="40">
        <f t="shared" si="73"/>
        <v>102.71491</v>
      </c>
      <c r="AC27" s="24"/>
      <c r="AD27" s="36">
        <f t="shared" ref="AD27:AI27" si="74">SUM(AD16:AD26)</f>
        <v>157.45514012999999</v>
      </c>
      <c r="AE27" s="37">
        <f t="shared" si="74"/>
        <v>178.90097600000001</v>
      </c>
      <c r="AF27" s="37">
        <f t="shared" si="74"/>
        <v>-93.857499869999955</v>
      </c>
      <c r="AG27" s="38">
        <f t="shared" si="74"/>
        <v>508.02669700000007</v>
      </c>
      <c r="AH27" s="39">
        <f t="shared" si="74"/>
        <v>239.087649</v>
      </c>
      <c r="AI27" s="40">
        <f t="shared" si="74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>
        <f>2+20+7+5</f>
        <v>34</v>
      </c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D30" s="2">
        <f>11+27+6+121</f>
        <v>165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5">SUM(AL19:AL30)</f>
        <v>545</v>
      </c>
      <c r="AM31" s="106">
        <f t="shared" si="75"/>
        <v>622</v>
      </c>
      <c r="AN31" s="106">
        <f t="shared" si="75"/>
        <v>551</v>
      </c>
      <c r="AO31" s="106">
        <f t="shared" si="75"/>
        <v>620</v>
      </c>
      <c r="AP31" s="106">
        <f t="shared" si="75"/>
        <v>562</v>
      </c>
      <c r="AQ31" s="106">
        <f t="shared" si="75"/>
        <v>635</v>
      </c>
      <c r="AR31" s="106">
        <f t="shared" si="75"/>
        <v>464</v>
      </c>
      <c r="AS31" s="106">
        <f>SUM(AS19:AS30)</f>
        <v>513</v>
      </c>
      <c r="AT31" s="106">
        <f t="shared" si="75"/>
        <v>523</v>
      </c>
      <c r="AU31" s="106">
        <f t="shared" ref="AU31:BB31" si="76">SUM(AU19:AU30)</f>
        <v>524</v>
      </c>
      <c r="AV31" s="106">
        <f t="shared" si="76"/>
        <v>497</v>
      </c>
      <c r="AW31" s="106">
        <f t="shared" si="76"/>
        <v>533</v>
      </c>
      <c r="AX31" s="106">
        <f t="shared" si="76"/>
        <v>541</v>
      </c>
      <c r="AY31" s="106">
        <f t="shared" si="76"/>
        <v>578</v>
      </c>
      <c r="AZ31" s="106">
        <f t="shared" si="76"/>
        <v>553</v>
      </c>
      <c r="BA31" s="106">
        <f t="shared" si="76"/>
        <v>580</v>
      </c>
      <c r="BB31" s="106">
        <f t="shared" si="76"/>
        <v>561</v>
      </c>
      <c r="BC31" s="106">
        <f>SUM(BC19:BC30)</f>
        <v>578</v>
      </c>
      <c r="BD31" s="106">
        <f>SUM(BD19:BD30)</f>
        <v>635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5" thickBot="1" x14ac:dyDescent="0.25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5" thickBot="1" x14ac:dyDescent="0.25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">
      <c r="A35" s="62" t="s">
        <v>34</v>
      </c>
      <c r="B35" s="51">
        <f t="shared" ref="B35:B42" si="77">+B3</f>
        <v>61.971161000000002</v>
      </c>
      <c r="C35" s="51">
        <f t="shared" ref="C35:C43" si="78">+B35+I3</f>
        <v>94.767986000000008</v>
      </c>
      <c r="D35" s="51">
        <f t="shared" ref="D35:D43" si="79">+C35+P3</f>
        <v>78.632197000000005</v>
      </c>
      <c r="E35" s="52">
        <f t="shared" ref="E35:E43" si="80">+D35+W3</f>
        <v>31.673782000000003</v>
      </c>
      <c r="H35" s="62" t="s">
        <v>34</v>
      </c>
      <c r="I35" s="50">
        <f t="shared" ref="I35:I41" si="81">+E3</f>
        <v>40</v>
      </c>
      <c r="J35" s="51">
        <f t="shared" ref="J35:J43" si="82">+I35+L3</f>
        <v>72.5</v>
      </c>
      <c r="K35" s="51">
        <f t="shared" ref="K35:K43" si="83">+J35+S3</f>
        <v>105</v>
      </c>
      <c r="L35" s="52">
        <f t="shared" ref="L35:L43" si="84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">
      <c r="A36" s="63" t="s">
        <v>42</v>
      </c>
      <c r="B36" s="54">
        <f t="shared" si="77"/>
        <v>14.040902329999998</v>
      </c>
      <c r="C36" s="54">
        <f t="shared" si="78"/>
        <v>40.255425850000002</v>
      </c>
      <c r="D36" s="54">
        <f t="shared" si="79"/>
        <v>72.719472850000002</v>
      </c>
      <c r="E36" s="55">
        <f t="shared" si="80"/>
        <v>80.135158849999996</v>
      </c>
      <c r="H36" s="63" t="s">
        <v>42</v>
      </c>
      <c r="I36" s="53">
        <f t="shared" si="81"/>
        <v>18.75</v>
      </c>
      <c r="J36" s="54">
        <f t="shared" si="82"/>
        <v>37.5</v>
      </c>
      <c r="K36" s="54">
        <f t="shared" si="83"/>
        <v>56.25</v>
      </c>
      <c r="L36" s="55">
        <f t="shared" si="84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">
      <c r="A37" s="63" t="s">
        <v>0</v>
      </c>
      <c r="B37" s="54">
        <f t="shared" si="77"/>
        <v>8.7249999999999996</v>
      </c>
      <c r="C37" s="54">
        <f t="shared" si="78"/>
        <v>17.582999999999998</v>
      </c>
      <c r="D37" s="54">
        <f t="shared" si="79"/>
        <v>26.509</v>
      </c>
      <c r="E37" s="55">
        <f t="shared" si="80"/>
        <v>21.617000000000001</v>
      </c>
      <c r="H37" s="63" t="s">
        <v>0</v>
      </c>
      <c r="I37" s="53">
        <f t="shared" si="81"/>
        <v>8.5092510000000008</v>
      </c>
      <c r="J37" s="54">
        <f t="shared" si="82"/>
        <v>15.58807</v>
      </c>
      <c r="K37" s="54">
        <f t="shared" si="83"/>
        <v>24.247422</v>
      </c>
      <c r="L37" s="55">
        <f t="shared" si="84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">
      <c r="A38" s="63" t="s">
        <v>28</v>
      </c>
      <c r="B38" s="54">
        <f t="shared" si="77"/>
        <v>1.6720152800000001</v>
      </c>
      <c r="C38" s="54">
        <f t="shared" si="78"/>
        <v>4.2225842799999995</v>
      </c>
      <c r="D38" s="54">
        <f t="shared" si="79"/>
        <v>5.2194702799999995</v>
      </c>
      <c r="E38" s="55">
        <f t="shared" si="80"/>
        <v>6.0778972799999993</v>
      </c>
      <c r="H38" s="63" t="s">
        <v>28</v>
      </c>
      <c r="I38" s="53">
        <f t="shared" si="81"/>
        <v>4.875</v>
      </c>
      <c r="J38" s="54">
        <f t="shared" si="82"/>
        <v>16.75</v>
      </c>
      <c r="K38" s="54">
        <f t="shared" si="83"/>
        <v>28.625</v>
      </c>
      <c r="L38" s="55">
        <f t="shared" si="84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">
      <c r="A39" s="63" t="s">
        <v>27</v>
      </c>
      <c r="B39" s="54">
        <f t="shared" si="77"/>
        <v>13.281756999999999</v>
      </c>
      <c r="C39" s="54">
        <f t="shared" si="78"/>
        <v>30.457756999999997</v>
      </c>
      <c r="D39" s="54">
        <f t="shared" si="79"/>
        <v>36.179206999999998</v>
      </c>
      <c r="E39" s="55">
        <f t="shared" si="80"/>
        <v>38.015206999999997</v>
      </c>
      <c r="H39" s="63" t="s">
        <v>27</v>
      </c>
      <c r="I39" s="53">
        <f t="shared" si="81"/>
        <v>20</v>
      </c>
      <c r="J39" s="54">
        <f t="shared" si="82"/>
        <v>47.5</v>
      </c>
      <c r="K39" s="54">
        <f t="shared" si="83"/>
        <v>74.87</v>
      </c>
      <c r="L39" s="55">
        <f t="shared" si="84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">
      <c r="A40" s="63" t="s">
        <v>40</v>
      </c>
      <c r="B40" s="54">
        <f t="shared" si="77"/>
        <v>4.0953999999999997E-2</v>
      </c>
      <c r="C40" s="54">
        <f t="shared" si="78"/>
        <v>1.689406</v>
      </c>
      <c r="D40" s="54">
        <f t="shared" si="79"/>
        <v>2.9558960000000001</v>
      </c>
      <c r="E40" s="55">
        <f t="shared" si="80"/>
        <v>2.8631720000000001</v>
      </c>
      <c r="H40" s="63" t="s">
        <v>40</v>
      </c>
      <c r="I40" s="53">
        <f t="shared" si="81"/>
        <v>0.5</v>
      </c>
      <c r="J40" s="54">
        <f t="shared" si="82"/>
        <v>1.8109999999999999</v>
      </c>
      <c r="K40" s="54">
        <f t="shared" si="83"/>
        <v>7.516</v>
      </c>
      <c r="L40" s="55">
        <f t="shared" si="84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">
      <c r="A41" s="63" t="s">
        <v>43</v>
      </c>
      <c r="B41" s="54">
        <f t="shared" si="77"/>
        <v>0.72031200000000006</v>
      </c>
      <c r="C41" s="54">
        <f t="shared" si="78"/>
        <v>3.5533809999999999</v>
      </c>
      <c r="D41" s="54">
        <f t="shared" si="79"/>
        <v>5.1277340000000002</v>
      </c>
      <c r="E41" s="55">
        <f t="shared" si="80"/>
        <v>7.3517340000000004</v>
      </c>
      <c r="H41" s="63" t="s">
        <v>43</v>
      </c>
      <c r="I41" s="53">
        <f t="shared" si="81"/>
        <v>2.1414989999999996</v>
      </c>
      <c r="J41" s="54">
        <f t="shared" si="82"/>
        <v>8.5139979999999991</v>
      </c>
      <c r="K41" s="54">
        <f t="shared" si="83"/>
        <v>16.513998000000001</v>
      </c>
      <c r="L41" s="55">
        <f t="shared" si="84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">
      <c r="A42" s="63" t="s">
        <v>98</v>
      </c>
      <c r="B42" s="54">
        <f t="shared" si="77"/>
        <v>0</v>
      </c>
      <c r="C42" s="54">
        <f t="shared" si="78"/>
        <v>0</v>
      </c>
      <c r="D42" s="54">
        <f t="shared" si="79"/>
        <v>8.4899999999999993E-4</v>
      </c>
      <c r="E42" s="55">
        <f t="shared" si="80"/>
        <v>2.264E-3</v>
      </c>
      <c r="H42" s="63" t="s">
        <v>98</v>
      </c>
      <c r="I42" s="53">
        <f>+E10</f>
        <v>0</v>
      </c>
      <c r="J42" s="54">
        <f t="shared" si="82"/>
        <v>0</v>
      </c>
      <c r="K42" s="54">
        <f t="shared" si="83"/>
        <v>3.75</v>
      </c>
      <c r="L42" s="55">
        <f t="shared" si="84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5" thickBot="1" x14ac:dyDescent="0.25">
      <c r="A43" s="64" t="s">
        <v>35</v>
      </c>
      <c r="B43" s="54">
        <f>+B11</f>
        <v>0.21596799999999999</v>
      </c>
      <c r="C43" s="54">
        <f t="shared" si="78"/>
        <v>2.347731</v>
      </c>
      <c r="D43" s="54">
        <f t="shared" si="79"/>
        <v>-1.4280749999999958</v>
      </c>
      <c r="E43" s="55">
        <f t="shared" si="80"/>
        <v>-30.281074999999998</v>
      </c>
      <c r="H43" s="64" t="s">
        <v>35</v>
      </c>
      <c r="I43" s="53">
        <f>+E11</f>
        <v>2.5230000000000001</v>
      </c>
      <c r="J43" s="54">
        <f t="shared" si="82"/>
        <v>8.7391040000000011</v>
      </c>
      <c r="K43" s="54">
        <f t="shared" si="83"/>
        <v>15.942805</v>
      </c>
      <c r="L43" s="55">
        <f t="shared" si="84"/>
        <v>19.276197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5" thickBot="1" x14ac:dyDescent="0.25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225.91575112999999</v>
      </c>
      <c r="E44" s="43">
        <f>SUM(E35:E43)</f>
        <v>157.45514012999999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508.02669700000007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31.038480000000007</v>
      </c>
      <c r="E47" s="28">
        <f>+W12</f>
        <v>-68.460611</v>
      </c>
      <c r="F47" s="34">
        <f>SUM(B47:E47)</f>
        <v>157.45514012999999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175.31147199999998</v>
      </c>
      <c r="M47" s="66">
        <f>SUM(I47:L47)</f>
        <v>508.02669700000001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5" thickBot="1" x14ac:dyDescent="0.25">
      <c r="N50" s="68"/>
    </row>
    <row r="51" spans="1:35" x14ac:dyDescent="0.2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5" thickBot="1" x14ac:dyDescent="0.25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">
      <c r="A53" s="62" t="s">
        <v>34</v>
      </c>
      <c r="B53" s="50">
        <f t="shared" ref="B53:B60" si="85">+D3</f>
        <v>46.307111499999998</v>
      </c>
      <c r="C53" s="51">
        <f t="shared" ref="C53:C59" si="86">+D3+K3</f>
        <v>64.095649499999993</v>
      </c>
      <c r="D53" s="51">
        <f t="shared" ref="D53:D59" si="87">+D3+K3+R3</f>
        <v>77.953717499999996</v>
      </c>
      <c r="E53" s="52">
        <f t="shared" ref="E53:E59" si="88">+D3+K3+R3+Y3</f>
        <v>14.073559500000002</v>
      </c>
      <c r="H53" s="62" t="s">
        <v>34</v>
      </c>
      <c r="I53" s="50">
        <f t="shared" ref="I53:I59" si="89">+G3</f>
        <v>23.249787999999999</v>
      </c>
      <c r="J53" s="51">
        <f t="shared" ref="J53:J59" si="90">+G3+N3</f>
        <v>38.776303999999996</v>
      </c>
      <c r="K53" s="51">
        <f t="shared" ref="K53:K59" si="91">+G3+N3+U3</f>
        <v>54.383021999999997</v>
      </c>
      <c r="L53" s="52">
        <f t="shared" ref="L53:L59" si="92">+G3+N3+U3+AB3</f>
        <v>82.46127899999999</v>
      </c>
      <c r="N53" s="68"/>
    </row>
    <row r="54" spans="1:35" x14ac:dyDescent="0.2">
      <c r="A54" s="63" t="s">
        <v>42</v>
      </c>
      <c r="B54" s="53">
        <f t="shared" si="85"/>
        <v>5.9568273299999985</v>
      </c>
      <c r="C54" s="54">
        <f t="shared" si="86"/>
        <v>23.923684850000001</v>
      </c>
      <c r="D54" s="54">
        <f t="shared" si="87"/>
        <v>45.770662849999994</v>
      </c>
      <c r="E54" s="55">
        <f t="shared" si="88"/>
        <v>43.56358784999999</v>
      </c>
      <c r="H54" s="63" t="s">
        <v>42</v>
      </c>
      <c r="I54" s="53">
        <f t="shared" si="89"/>
        <v>9.2528780000000008</v>
      </c>
      <c r="J54" s="54">
        <f t="shared" si="90"/>
        <v>18.474862000000002</v>
      </c>
      <c r="K54" s="54">
        <f t="shared" si="91"/>
        <v>27.601321000000002</v>
      </c>
      <c r="L54" s="55">
        <f t="shared" si="92"/>
        <v>36.728560000000002</v>
      </c>
      <c r="N54" s="68"/>
    </row>
    <row r="55" spans="1:35" x14ac:dyDescent="0.2">
      <c r="A55" s="63" t="s">
        <v>0</v>
      </c>
      <c r="B55" s="53">
        <f t="shared" si="85"/>
        <v>5.8390690000000003</v>
      </c>
      <c r="C55" s="54">
        <f t="shared" si="86"/>
        <v>12.486000000000001</v>
      </c>
      <c r="D55" s="54">
        <f t="shared" si="87"/>
        <v>17.647736000000002</v>
      </c>
      <c r="E55" s="55">
        <f t="shared" si="88"/>
        <v>9.1189030000000013</v>
      </c>
      <c r="H55" s="63" t="s">
        <v>0</v>
      </c>
      <c r="I55" s="53">
        <f t="shared" si="89"/>
        <v>4.4609819999999996</v>
      </c>
      <c r="J55" s="54">
        <f t="shared" si="90"/>
        <v>8.2991689999999991</v>
      </c>
      <c r="K55" s="54">
        <f t="shared" si="91"/>
        <v>13.652066</v>
      </c>
      <c r="L55" s="55">
        <f t="shared" si="92"/>
        <v>19.067813000000001</v>
      </c>
      <c r="N55" s="68"/>
    </row>
    <row r="56" spans="1:35" x14ac:dyDescent="0.2">
      <c r="A56" s="63" t="s">
        <v>28</v>
      </c>
      <c r="B56" s="53">
        <f t="shared" si="85"/>
        <v>0.33799628000000009</v>
      </c>
      <c r="C56" s="54">
        <f t="shared" si="86"/>
        <v>0.94298728000000009</v>
      </c>
      <c r="D56" s="54">
        <f t="shared" si="87"/>
        <v>-0.74085672000000002</v>
      </c>
      <c r="E56" s="55">
        <f t="shared" si="88"/>
        <v>-3.3528377199999997</v>
      </c>
      <c r="H56" s="63" t="s">
        <v>28</v>
      </c>
      <c r="I56" s="53">
        <f t="shared" si="89"/>
        <v>2.2590210000000002</v>
      </c>
      <c r="J56" s="54">
        <f t="shared" si="90"/>
        <v>10.874207</v>
      </c>
      <c r="K56" s="54">
        <f t="shared" si="91"/>
        <v>19.275749000000001</v>
      </c>
      <c r="L56" s="55">
        <f t="shared" si="92"/>
        <v>24.680341000000002</v>
      </c>
      <c r="N56" s="68"/>
    </row>
    <row r="57" spans="1:35" x14ac:dyDescent="0.2">
      <c r="A57" s="63" t="s">
        <v>27</v>
      </c>
      <c r="B57" s="53">
        <f t="shared" si="85"/>
        <v>9.4641950000000001</v>
      </c>
      <c r="C57" s="54">
        <f t="shared" si="86"/>
        <v>22.637326999999999</v>
      </c>
      <c r="D57" s="54">
        <f t="shared" si="87"/>
        <v>24.066306999999998</v>
      </c>
      <c r="E57" s="55">
        <f t="shared" si="88"/>
        <v>22.771759999999997</v>
      </c>
      <c r="H57" s="63" t="s">
        <v>27</v>
      </c>
      <c r="I57" s="53">
        <f t="shared" si="89"/>
        <v>14.454606</v>
      </c>
      <c r="J57" s="54">
        <f t="shared" si="90"/>
        <v>35.941361000000001</v>
      </c>
      <c r="K57" s="54">
        <f t="shared" si="91"/>
        <v>57.778543999999997</v>
      </c>
      <c r="L57" s="55">
        <f t="shared" si="92"/>
        <v>84.192996999999991</v>
      </c>
      <c r="N57" s="68"/>
    </row>
    <row r="58" spans="1:35" x14ac:dyDescent="0.2">
      <c r="A58" s="63" t="s">
        <v>40</v>
      </c>
      <c r="B58" s="53">
        <f t="shared" si="85"/>
        <v>-1.8434739999999998</v>
      </c>
      <c r="C58" s="54">
        <f t="shared" si="86"/>
        <v>-5.6106749999999996</v>
      </c>
      <c r="D58" s="54">
        <f t="shared" si="87"/>
        <v>-9.7688050000000004</v>
      </c>
      <c r="E58" s="55">
        <f t="shared" si="88"/>
        <v>-18.624738999999998</v>
      </c>
      <c r="H58" s="63" t="s">
        <v>40</v>
      </c>
      <c r="I58" s="53">
        <f t="shared" si="89"/>
        <v>-1.2446959999999996</v>
      </c>
      <c r="J58" s="54">
        <f t="shared" si="90"/>
        <v>-4.8684069999999986</v>
      </c>
      <c r="K58" s="54">
        <f t="shared" si="91"/>
        <v>-4.6215669999999998</v>
      </c>
      <c r="L58" s="55">
        <f t="shared" si="92"/>
        <v>-7.9276999999998488E-2</v>
      </c>
      <c r="N58" s="68"/>
    </row>
    <row r="59" spans="1:35" x14ac:dyDescent="0.2">
      <c r="A59" s="63" t="s">
        <v>43</v>
      </c>
      <c r="B59" s="53">
        <f t="shared" si="85"/>
        <v>-4.0442699999999991</v>
      </c>
      <c r="C59" s="54">
        <f t="shared" si="86"/>
        <v>-8.5758130000000001</v>
      </c>
      <c r="D59" s="54">
        <f t="shared" si="87"/>
        <v>-14.332433</v>
      </c>
      <c r="E59" s="55">
        <f t="shared" si="88"/>
        <v>-16.567861000000001</v>
      </c>
      <c r="H59" s="63" t="s">
        <v>43</v>
      </c>
      <c r="I59" s="53">
        <f t="shared" si="89"/>
        <v>-1.3346310000000003</v>
      </c>
      <c r="J59" s="54">
        <f t="shared" si="90"/>
        <v>1.5404259999999996</v>
      </c>
      <c r="K59" s="54">
        <f t="shared" si="91"/>
        <v>6.9172130000000003</v>
      </c>
      <c r="L59" s="55">
        <f t="shared" si="92"/>
        <v>48.297785000000005</v>
      </c>
      <c r="N59" s="68"/>
    </row>
    <row r="60" spans="1:35" x14ac:dyDescent="0.2">
      <c r="A60" s="63" t="s">
        <v>98</v>
      </c>
      <c r="B60" s="53">
        <f t="shared" si="85"/>
        <v>0</v>
      </c>
      <c r="C60" s="54">
        <f>+D10+K10</f>
        <v>0</v>
      </c>
      <c r="D60" s="54">
        <f>+D10+K10+R10</f>
        <v>-2.53091</v>
      </c>
      <c r="E60" s="55">
        <f>+D10+K10+R10+Y10</f>
        <v>-5.8958729999999999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5" thickBot="1" x14ac:dyDescent="0.25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-88.725745499999988</v>
      </c>
      <c r="E61" s="58">
        <f>+D11+K11+R11+Y11</f>
        <v>-138.94399949999996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-27.178169999999987</v>
      </c>
      <c r="N61" s="68"/>
    </row>
    <row r="62" spans="1:35" ht="13.5" thickBot="1" x14ac:dyDescent="0.25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49.339673129999994</v>
      </c>
      <c r="E62" s="43">
        <f>SUM(E53:E61)</f>
        <v>-93.857499869999955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268.93857200000008</v>
      </c>
      <c r="N62" s="68"/>
    </row>
    <row r="63" spans="1:35" x14ac:dyDescent="0.2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-31.105953999999983</v>
      </c>
      <c r="E66" s="28">
        <f>+Y12</f>
        <v>-143.19717299999999</v>
      </c>
      <c r="F66" s="34">
        <f>SUM(B66:E66)</f>
        <v>-93.857499869999984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5" thickBot="1" x14ac:dyDescent="0.25">
      <c r="G68" s="73"/>
    </row>
    <row r="69" spans="1:14" x14ac:dyDescent="0.2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5" thickBot="1" x14ac:dyDescent="0.25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3">SUM(B73:E73)</f>
        <v>0</v>
      </c>
      <c r="G73" s="73"/>
    </row>
    <row r="74" spans="1:14" x14ac:dyDescent="0.2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3"/>
        <v>19.111000000000001</v>
      </c>
      <c r="G74" s="73"/>
    </row>
    <row r="75" spans="1:14" x14ac:dyDescent="0.2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3"/>
        <v>1.22</v>
      </c>
      <c r="G75" s="73"/>
    </row>
    <row r="76" spans="1:14" x14ac:dyDescent="0.2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3"/>
        <v>68.867999999999995</v>
      </c>
      <c r="G76" s="73"/>
    </row>
    <row r="77" spans="1:14" x14ac:dyDescent="0.2">
      <c r="A77" s="63" t="s">
        <v>40</v>
      </c>
      <c r="B77" s="54"/>
      <c r="C77" s="54"/>
      <c r="D77" s="54">
        <v>0</v>
      </c>
      <c r="E77" s="55">
        <v>0</v>
      </c>
      <c r="F77" s="28">
        <f t="shared" si="93"/>
        <v>0</v>
      </c>
      <c r="G77" s="73"/>
    </row>
    <row r="78" spans="1:14" x14ac:dyDescent="0.2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3"/>
        <v>5.4889999999999999</v>
      </c>
      <c r="G78" s="73"/>
    </row>
    <row r="79" spans="1:14" x14ac:dyDescent="0.2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3"/>
        <v>0.13200000000000001</v>
      </c>
      <c r="G80" s="73"/>
    </row>
    <row r="81" spans="1:7" ht="13.5" thickBot="1" x14ac:dyDescent="0.25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3"/>
        <v>-2.2000000000000002</v>
      </c>
      <c r="G81" s="73"/>
    </row>
    <row r="82" spans="1:7" ht="13.5" thickBot="1" x14ac:dyDescent="0.25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">
      <c r="B83" s="27"/>
      <c r="C83" s="27"/>
      <c r="D83" s="27"/>
      <c r="E83" s="27"/>
      <c r="F83" s="27"/>
      <c r="G83" s="73"/>
    </row>
    <row r="84" spans="1:7" x14ac:dyDescent="0.2">
      <c r="A84" s="30"/>
      <c r="B84" s="28"/>
      <c r="C84" s="28"/>
      <c r="D84" s="28"/>
      <c r="E84" s="28"/>
      <c r="F84" s="34"/>
      <c r="G84" s="73"/>
    </row>
    <row r="85" spans="1:7" x14ac:dyDescent="0.2">
      <c r="A85" s="73"/>
      <c r="B85" s="73"/>
      <c r="C85" s="73"/>
      <c r="D85" s="73"/>
      <c r="E85" s="73"/>
      <c r="F85" s="73"/>
      <c r="G85" s="73"/>
    </row>
    <row r="86" spans="1:7" ht="13.5" thickBot="1" x14ac:dyDescent="0.25">
      <c r="G86" s="73"/>
    </row>
    <row r="87" spans="1:7" x14ac:dyDescent="0.2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5" thickBot="1" x14ac:dyDescent="0.25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4">SUM(B91:E91)</f>
        <v>0</v>
      </c>
      <c r="G91" s="73"/>
    </row>
    <row r="92" spans="1:7" x14ac:dyDescent="0.2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4"/>
        <v>4.3879999999999999</v>
      </c>
      <c r="G92" s="73"/>
    </row>
    <row r="93" spans="1:7" x14ac:dyDescent="0.2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4"/>
        <v>4.9489999999999998</v>
      </c>
      <c r="G93" s="73"/>
    </row>
    <row r="94" spans="1:7" x14ac:dyDescent="0.2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4"/>
        <v>4.0659999999999998</v>
      </c>
      <c r="G94" s="73"/>
    </row>
    <row r="95" spans="1:7" x14ac:dyDescent="0.2">
      <c r="A95" s="63" t="s">
        <v>40</v>
      </c>
      <c r="B95" s="53"/>
      <c r="C95" s="54"/>
      <c r="D95" s="54"/>
      <c r="E95" s="55">
        <v>1.6020000000000001</v>
      </c>
      <c r="F95" s="28">
        <f t="shared" si="94"/>
        <v>1.6020000000000001</v>
      </c>
      <c r="G95" s="73"/>
    </row>
    <row r="96" spans="1:7" x14ac:dyDescent="0.2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4"/>
        <v>2.625</v>
      </c>
      <c r="G96" s="73"/>
    </row>
    <row r="97" spans="1:7" x14ac:dyDescent="0.2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4"/>
        <v>1.3440000000000001</v>
      </c>
      <c r="G98" s="73"/>
    </row>
    <row r="99" spans="1:7" ht="13.5" thickBot="1" x14ac:dyDescent="0.25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4"/>
        <v>1.4320000000000002</v>
      </c>
      <c r="G99" s="73"/>
    </row>
    <row r="100" spans="1:7" ht="13.5" thickBot="1" x14ac:dyDescent="0.25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">
      <c r="A101" s="8"/>
      <c r="B101" s="28"/>
      <c r="C101" s="28"/>
      <c r="D101" s="28"/>
      <c r="F101" s="35"/>
      <c r="G101" s="73"/>
    </row>
    <row r="102" spans="1:7" x14ac:dyDescent="0.2">
      <c r="G102" s="73"/>
    </row>
    <row r="103" spans="1:7" x14ac:dyDescent="0.2">
      <c r="A103" s="73"/>
      <c r="B103" s="73"/>
      <c r="C103" s="73"/>
      <c r="D103" s="73"/>
      <c r="E103" s="73"/>
      <c r="F103" s="73"/>
      <c r="G103" s="73"/>
    </row>
    <row r="104" spans="1:7" ht="13.5" thickBot="1" x14ac:dyDescent="0.25">
      <c r="G104" s="73"/>
    </row>
    <row r="105" spans="1:7" x14ac:dyDescent="0.2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5" thickBot="1" x14ac:dyDescent="0.25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5">SUM(B109:E109)</f>
        <v>0</v>
      </c>
      <c r="G109" s="73"/>
    </row>
    <row r="110" spans="1:7" x14ac:dyDescent="0.2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5"/>
        <v>11.365</v>
      </c>
      <c r="G110" s="73"/>
    </row>
    <row r="111" spans="1:7" x14ac:dyDescent="0.2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5"/>
        <v>-6.5940000000000003</v>
      </c>
      <c r="G111" s="73"/>
    </row>
    <row r="112" spans="1:7" x14ac:dyDescent="0.2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5"/>
        <v>58.284999999999997</v>
      </c>
      <c r="G112" s="73"/>
    </row>
    <row r="113" spans="1:7" x14ac:dyDescent="0.2">
      <c r="A113" s="63" t="s">
        <v>40</v>
      </c>
      <c r="B113" s="53"/>
      <c r="C113" s="54"/>
      <c r="D113" s="54"/>
      <c r="E113" s="55">
        <v>-1.6020000000000001</v>
      </c>
      <c r="F113" s="28">
        <f t="shared" si="95"/>
        <v>-1.6020000000000001</v>
      </c>
      <c r="G113" s="73"/>
    </row>
    <row r="114" spans="1:7" x14ac:dyDescent="0.2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5"/>
        <v>2.8639999999999999</v>
      </c>
      <c r="G114" s="73"/>
    </row>
    <row r="115" spans="1:7" x14ac:dyDescent="0.2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5"/>
        <v>-1.871</v>
      </c>
      <c r="G116" s="73"/>
    </row>
    <row r="117" spans="1:7" ht="13.5" thickBot="1" x14ac:dyDescent="0.25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5"/>
        <v>-12.429</v>
      </c>
      <c r="G117" s="73"/>
    </row>
    <row r="118" spans="1:7" ht="13.5" thickBot="1" x14ac:dyDescent="0.25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">
      <c r="A119" s="8"/>
      <c r="B119" s="28"/>
      <c r="C119" s="28"/>
      <c r="D119" s="28"/>
      <c r="F119" s="35"/>
      <c r="G119" s="73"/>
    </row>
    <row r="120" spans="1:7" x14ac:dyDescent="0.2">
      <c r="G120" s="73"/>
    </row>
    <row r="121" spans="1:7" x14ac:dyDescent="0.2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3" workbookViewId="0">
      <selection activeCell="P42" sqref="P42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0" workbookViewId="0">
      <selection activeCell="I34" sqref="I3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104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opLeftCell="A2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N23" sqref="N2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4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U12" sqref="AU12"/>
    </sheetView>
  </sheetViews>
  <sheetFormatPr defaultRowHeight="12.75" x14ac:dyDescent="0.2"/>
  <cols>
    <col min="1" max="1" width="18" style="2" customWidth="1"/>
    <col min="2" max="2" width="13.7109375" style="2" bestFit="1" customWidth="1"/>
    <col min="3" max="3" width="16.7109375" style="2" bestFit="1" customWidth="1"/>
    <col min="4" max="5" width="12.140625" style="2" customWidth="1"/>
    <col min="6" max="6" width="2.42578125" style="4" customWidth="1"/>
    <col min="7" max="7" width="13.7109375" style="2" bestFit="1" customWidth="1"/>
    <col min="8" max="8" width="16.7109375" style="2" bestFit="1" customWidth="1"/>
    <col min="9" max="10" width="12.140625" style="2" customWidth="1"/>
    <col min="11" max="11" width="2.42578125" style="4" customWidth="1"/>
    <col min="12" max="12" width="12.7109375" style="2" bestFit="1" customWidth="1"/>
    <col min="13" max="13" width="15.7109375" style="2" bestFit="1" customWidth="1"/>
    <col min="14" max="15" width="12.140625" style="2" customWidth="1"/>
    <col min="16" max="16" width="2.42578125" style="4" customWidth="1"/>
    <col min="17" max="17" width="12.7109375" style="2" bestFit="1" customWidth="1"/>
    <col min="18" max="18" width="13.7109375" style="2" bestFit="1" customWidth="1"/>
    <col min="19" max="20" width="12.140625" style="2" customWidth="1"/>
    <col min="21" max="21" width="2.42578125" style="4" customWidth="1"/>
    <col min="22" max="22" width="13.7109375" style="2" bestFit="1" customWidth="1"/>
    <col min="23" max="23" width="15.7109375" style="2" bestFit="1" customWidth="1"/>
    <col min="24" max="25" width="12.140625" style="2" customWidth="1"/>
    <col min="26" max="26" width="2.42578125" style="7" customWidth="1"/>
    <col min="27" max="27" width="12.7109375" style="7" bestFit="1" customWidth="1"/>
    <col min="28" max="28" width="13.7109375" style="7" bestFit="1" customWidth="1"/>
    <col min="29" max="30" width="12.140625" style="7" customWidth="1"/>
    <col min="31" max="31" width="2.42578125" style="7" customWidth="1"/>
    <col min="32" max="32" width="12.7109375" style="7" bestFit="1" customWidth="1"/>
    <col min="33" max="33" width="13.7109375" style="7" bestFit="1" customWidth="1"/>
    <col min="34" max="35" width="12.140625" style="7" customWidth="1"/>
    <col min="36" max="36" width="2.42578125" style="7" customWidth="1"/>
    <col min="37" max="37" width="12.7109375" style="7" bestFit="1" customWidth="1"/>
    <col min="38" max="38" width="13.7109375" style="7" bestFit="1" customWidth="1"/>
    <col min="39" max="40" width="12.140625" style="7" customWidth="1"/>
    <col min="41" max="41" width="2.42578125" style="7" customWidth="1"/>
    <col min="42" max="42" width="12.7109375" style="7" bestFit="1" customWidth="1"/>
    <col min="43" max="43" width="13.7109375" style="7" bestFit="1" customWidth="1"/>
    <col min="44" max="45" width="12.140625" style="7" customWidth="1"/>
    <col min="46" max="46" width="2.42578125" style="7" customWidth="1"/>
    <col min="47" max="47" width="12.7109375" style="7" bestFit="1" customWidth="1"/>
    <col min="48" max="48" width="13.7109375" style="7" bestFit="1" customWidth="1"/>
    <col min="49" max="50" width="12.140625" style="7" customWidth="1"/>
    <col min="51" max="51" width="2.42578125" style="7" customWidth="1"/>
    <col min="52" max="52" width="13.7109375" style="7" bestFit="1" customWidth="1"/>
    <col min="53" max="53" width="13.7109375" style="2" bestFit="1" customWidth="1"/>
    <col min="54" max="55" width="12.140625" style="2" customWidth="1"/>
    <col min="56" max="56" width="2.42578125" style="2" customWidth="1"/>
    <col min="57" max="57" width="12.7109375" style="2" bestFit="1" customWidth="1"/>
    <col min="58" max="58" width="13.7109375" style="2" bestFit="1" customWidth="1"/>
    <col min="59" max="60" width="12.140625" style="2" customWidth="1"/>
    <col min="61" max="61" width="2.42578125" style="2" customWidth="1"/>
    <col min="62" max="62" width="13.7109375" style="2" bestFit="1" customWidth="1"/>
    <col min="63" max="63" width="15.7109375" style="2" bestFit="1" customWidth="1"/>
    <col min="64" max="65" width="12.140625" style="2" customWidth="1"/>
    <col min="66" max="68" width="9.140625" style="2"/>
    <col min="69" max="69" width="11.5703125" style="2" bestFit="1" customWidth="1"/>
    <col min="70" max="16384" width="9.140625" style="2"/>
  </cols>
  <sheetData>
    <row r="1" spans="1:138" s="12" customFormat="1" ht="19.5" customHeight="1" x14ac:dyDescent="0.2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69486</v>
      </c>
      <c r="R3" s="134">
        <f t="shared" ref="R3:T6" si="3">+AV11+BA11+BF11</f>
        <v>294215</v>
      </c>
      <c r="S3" s="134">
        <f t="shared" si="3"/>
        <v>9779</v>
      </c>
      <c r="T3" s="136">
        <f t="shared" si="3"/>
        <v>4992</v>
      </c>
      <c r="U3" s="135"/>
      <c r="V3" s="134">
        <f>+B3+G3+L3+Q3</f>
        <v>503138.73600000003</v>
      </c>
      <c r="W3" s="134">
        <f t="shared" ref="W3:Y6" si="4">+C3+H3+M3+R3</f>
        <v>3811190.1230000001</v>
      </c>
      <c r="X3" s="134">
        <f t="shared" si="4"/>
        <v>104396</v>
      </c>
      <c r="Y3" s="136">
        <f t="shared" si="4"/>
        <v>60344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6593</v>
      </c>
      <c r="R4" s="134">
        <f t="shared" si="3"/>
        <v>0</v>
      </c>
      <c r="S4" s="134">
        <f t="shared" si="3"/>
        <v>466</v>
      </c>
      <c r="T4" s="136">
        <f t="shared" si="3"/>
        <v>104</v>
      </c>
      <c r="U4" s="135"/>
      <c r="V4" s="134">
        <f>+B4+G4+L4+Q4</f>
        <v>70457.053999999989</v>
      </c>
      <c r="W4" s="134">
        <f t="shared" si="4"/>
        <v>9759.5119999999988</v>
      </c>
      <c r="X4" s="134">
        <f t="shared" si="4"/>
        <v>3340</v>
      </c>
      <c r="Y4" s="136">
        <f t="shared" si="4"/>
        <v>684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259335</v>
      </c>
      <c r="S5" s="134">
        <f t="shared" si="3"/>
        <v>180</v>
      </c>
      <c r="T5" s="136">
        <f t="shared" si="3"/>
        <v>118</v>
      </c>
      <c r="U5" s="135"/>
      <c r="V5" s="134">
        <f>+B5+G5+L5+Q5</f>
        <v>0</v>
      </c>
      <c r="W5" s="134">
        <f t="shared" si="4"/>
        <v>1038290.9</v>
      </c>
      <c r="X5" s="134">
        <f t="shared" si="4"/>
        <v>1240</v>
      </c>
      <c r="Y5" s="136">
        <f t="shared" si="4"/>
        <v>624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5" thickBot="1" x14ac:dyDescent="0.25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2645.66</v>
      </c>
      <c r="M6" s="134">
        <f t="shared" si="2"/>
        <v>0</v>
      </c>
      <c r="N6" s="134">
        <f t="shared" si="2"/>
        <v>5356</v>
      </c>
      <c r="O6" s="136">
        <f t="shared" si="2"/>
        <v>0</v>
      </c>
      <c r="P6" s="135"/>
      <c r="Q6" s="134">
        <f>+AU14+AZ14+BE14</f>
        <v>2291</v>
      </c>
      <c r="R6" s="134">
        <f t="shared" si="3"/>
        <v>0</v>
      </c>
      <c r="S6" s="134">
        <f t="shared" si="3"/>
        <v>3335</v>
      </c>
      <c r="T6" s="136">
        <f t="shared" si="3"/>
        <v>0</v>
      </c>
      <c r="U6" s="135"/>
      <c r="V6" s="134">
        <f>+B6+G6+L6+Q6</f>
        <v>7872.3379999999997</v>
      </c>
      <c r="W6" s="134">
        <f t="shared" si="4"/>
        <v>0</v>
      </c>
      <c r="X6" s="134">
        <f t="shared" si="4"/>
        <v>16592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5" thickBot="1" x14ac:dyDescent="0.25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182379.554</v>
      </c>
      <c r="M7" s="142">
        <f>SUM(M3:M6)</f>
        <v>1547212.5</v>
      </c>
      <c r="N7" s="142">
        <f>SUM(N3:N6)</f>
        <v>41119</v>
      </c>
      <c r="O7" s="143">
        <f>SUM(O3:O6)</f>
        <v>20636</v>
      </c>
      <c r="P7" s="144"/>
      <c r="Q7" s="142">
        <f>SUM(Q3:Q6)</f>
        <v>78370</v>
      </c>
      <c r="R7" s="142">
        <f>SUM(R3:R6)</f>
        <v>553550</v>
      </c>
      <c r="S7" s="142">
        <f>SUM(S3:S6)</f>
        <v>13760</v>
      </c>
      <c r="T7" s="143">
        <f>SUM(T3:T6)</f>
        <v>5214</v>
      </c>
      <c r="U7" s="135"/>
      <c r="V7" s="142">
        <f>SUM(V3:V6)</f>
        <v>581468.12800000003</v>
      </c>
      <c r="W7" s="142">
        <f>SUM(W3:W6)</f>
        <v>4859240.5350000001</v>
      </c>
      <c r="X7" s="142">
        <f>SUM(X3:X6)</f>
        <v>125568</v>
      </c>
      <c r="Y7" s="143">
        <f>SUM(Y3:Y6)</f>
        <v>61652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>
        <v>69486</v>
      </c>
      <c r="AV11" s="134">
        <v>294215</v>
      </c>
      <c r="AW11" s="134">
        <v>9779</v>
      </c>
      <c r="AX11" s="136">
        <v>4992</v>
      </c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>
        <v>6593</v>
      </c>
      <c r="AV12" s="134">
        <v>0</v>
      </c>
      <c r="AW12" s="134">
        <v>466</v>
      </c>
      <c r="AX12" s="136">
        <v>104</v>
      </c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>
        <v>0</v>
      </c>
      <c r="AV13" s="134">
        <v>259335</v>
      </c>
      <c r="AW13" s="134">
        <v>180</v>
      </c>
      <c r="AX13" s="136">
        <v>118</v>
      </c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5" thickBot="1" x14ac:dyDescent="0.25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1447</v>
      </c>
      <c r="AQ14" s="134">
        <v>0</v>
      </c>
      <c r="AR14" s="134">
        <v>2101</v>
      </c>
      <c r="AS14" s="136">
        <v>0</v>
      </c>
      <c r="AT14" s="135"/>
      <c r="AU14" s="134">
        <v>2291</v>
      </c>
      <c r="AV14" s="134">
        <v>0</v>
      </c>
      <c r="AW14" s="134">
        <v>3335</v>
      </c>
      <c r="AX14" s="136">
        <v>0</v>
      </c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5" thickBot="1" x14ac:dyDescent="0.25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5" thickBot="1" x14ac:dyDescent="0.25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5" thickBot="1" x14ac:dyDescent="0.25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">
      <c r="V24" s="7"/>
      <c r="W24" s="7"/>
      <c r="X24" s="7"/>
      <c r="Y24" s="7"/>
    </row>
    <row r="26" spans="1:128" ht="15" x14ac:dyDescent="0.2">
      <c r="A26" s="155"/>
    </row>
  </sheetData>
  <phoneticPr fontId="0" type="noConversion"/>
  <pageMargins left="0.25" right="0.25" top="1" bottom="1" header="0.5" footer="0.5"/>
  <pageSetup scale="60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5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3"/>
  <sheetViews>
    <sheetView topLeftCell="C7" zoomScaleNormal="100" zoomScaleSheetLayoutView="85" workbookViewId="0">
      <selection activeCell="L23" sqref="L23"/>
    </sheetView>
  </sheetViews>
  <sheetFormatPr defaultRowHeight="12.75" x14ac:dyDescent="0.2"/>
  <cols>
    <col min="1" max="1" width="2.7109375" style="78" customWidth="1"/>
    <col min="2" max="2" width="51.28515625" style="78" customWidth="1"/>
    <col min="3" max="3" width="7.710937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O:\Fin_Ops\Finrpt\Global\Management Summaries\2001\4Q 2001\Radar Screens\[RADAR Screens-4Q 1116.xls]Funds Flow-Cap Employed</v>
      </c>
    </row>
    <row r="2" spans="2:15" x14ac:dyDescent="0.2">
      <c r="B2" s="79" t="s">
        <v>62</v>
      </c>
      <c r="C2" s="79"/>
      <c r="J2" s="81">
        <f ca="1">NOW()</f>
        <v>37214.318435763889</v>
      </c>
    </row>
    <row r="3" spans="2:15" x14ac:dyDescent="0.2">
      <c r="B3" s="79" t="s">
        <v>63</v>
      </c>
      <c r="C3" s="79"/>
      <c r="J3" s="82">
        <f ca="1">NOW()</f>
        <v>37214.318435763889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f>+L11-K11</f>
        <v>84.108000000000004</v>
      </c>
      <c r="M10" s="90">
        <v>0</v>
      </c>
      <c r="N10" s="90">
        <v>0</v>
      </c>
      <c r="O10" s="91">
        <v>0</v>
      </c>
    </row>
    <row r="11" spans="2:15" x14ac:dyDescent="0.2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-261.14999999999998</v>
      </c>
      <c r="M11" s="111">
        <v>0</v>
      </c>
      <c r="N11" s="111">
        <v>0</v>
      </c>
      <c r="O11" s="112">
        <v>0</v>
      </c>
    </row>
    <row r="12" spans="2:15" x14ac:dyDescent="0.2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25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25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23.25" customHeight="1" x14ac:dyDescent="0.2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61">
        <v>7</v>
      </c>
      <c r="J17" s="117">
        <v>8</v>
      </c>
      <c r="K17" s="117">
        <v>9</v>
      </c>
      <c r="L17" s="161">
        <v>10</v>
      </c>
      <c r="M17" s="117">
        <v>11</v>
      </c>
      <c r="N17" s="117">
        <v>12</v>
      </c>
      <c r="O17" s="118">
        <v>13</v>
      </c>
    </row>
    <row r="18" spans="2:15" x14ac:dyDescent="0.2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>
        <f>34.4-(51.1*0.65)</f>
        <v>1.1849999999999952</v>
      </c>
      <c r="M21" s="90"/>
      <c r="N21" s="90"/>
      <c r="O21" s="91"/>
    </row>
    <row r="22" spans="2:15" x14ac:dyDescent="0.2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f>L21+(23*0.65)</f>
        <v>16.134999999999998</v>
      </c>
      <c r="M23" s="90">
        <v>0</v>
      </c>
      <c r="N23" s="90">
        <v>0</v>
      </c>
      <c r="O23" s="91">
        <v>0</v>
      </c>
    </row>
    <row r="24" spans="2:15" x14ac:dyDescent="0.2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21.513333333333332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>
        <f>1164.947-51.5</f>
        <v>1113.4469999999999</v>
      </c>
      <c r="M25" s="90"/>
      <c r="N25" s="90"/>
      <c r="O25" s="91"/>
    </row>
    <row r="26" spans="2:15" x14ac:dyDescent="0.2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556.72349999999994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556.72349999999994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111">
        <f>SUM($C$28,$D25:L25)/L17</f>
        <v>1061.5149738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530.7574869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111">
        <f>SUM($C$31,$D30:L30)/L17</f>
        <v>789.14549999999997</v>
      </c>
      <c r="M31" s="90">
        <f t="shared" si="2"/>
        <v>789.14549999999997</v>
      </c>
      <c r="N31" s="90">
        <f t="shared" si="2"/>
        <v>789.14549999999997</v>
      </c>
      <c r="O31" s="91">
        <f t="shared" si="2"/>
        <v>789.14549999999997</v>
      </c>
    </row>
    <row r="32" spans="2:15" x14ac:dyDescent="0.2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N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>
        <f>IF(L24=0,"-",L24/L28)</f>
        <v>2.0266631997022267E-2</v>
      </c>
      <c r="M33" s="119" t="str">
        <f t="shared" si="3"/>
        <v>-</v>
      </c>
      <c r="N33" s="119" t="str">
        <f t="shared" si="3"/>
        <v>-</v>
      </c>
      <c r="O33" s="120" t="str">
        <f>IF(O24=0,"-",O24/O31)</f>
        <v>-</v>
      </c>
    </row>
    <row r="34" spans="2:15" x14ac:dyDescent="0.2">
      <c r="B34" s="87" t="s">
        <v>84</v>
      </c>
      <c r="C34" s="126"/>
      <c r="D34" s="121">
        <f>$L$33</f>
        <v>2.0266631997022267E-2</v>
      </c>
      <c r="E34" s="121">
        <f t="shared" ref="E34:O34" si="4">$L$33</f>
        <v>2.0266631997022267E-2</v>
      </c>
      <c r="F34" s="121">
        <f t="shared" si="4"/>
        <v>2.0266631997022267E-2</v>
      </c>
      <c r="G34" s="121">
        <f t="shared" si="4"/>
        <v>2.0266631997022267E-2</v>
      </c>
      <c r="H34" s="121">
        <f t="shared" si="4"/>
        <v>2.0266631997022267E-2</v>
      </c>
      <c r="I34" s="121">
        <f t="shared" si="4"/>
        <v>2.0266631997022267E-2</v>
      </c>
      <c r="J34" s="121">
        <f t="shared" si="4"/>
        <v>2.0266631997022267E-2</v>
      </c>
      <c r="K34" s="121">
        <f t="shared" si="4"/>
        <v>2.0266631997022267E-2</v>
      </c>
      <c r="L34" s="121">
        <f t="shared" si="4"/>
        <v>2.0266631997022267E-2</v>
      </c>
      <c r="M34" s="121">
        <f t="shared" si="4"/>
        <v>2.0266631997022267E-2</v>
      </c>
      <c r="N34" s="121">
        <f t="shared" si="4"/>
        <v>2.0266631997022267E-2</v>
      </c>
      <c r="O34" s="162">
        <f t="shared" si="4"/>
        <v>2.0266631997022267E-2</v>
      </c>
    </row>
    <row r="35" spans="2:15" x14ac:dyDescent="0.2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>
        <f t="shared" si="5"/>
        <v>0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5" thickBot="1" x14ac:dyDescent="0.25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ht="13.5" thickBot="1" x14ac:dyDescent="0.25"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2:15" x14ac:dyDescent="0.2">
      <c r="B39" s="83" t="s">
        <v>105</v>
      </c>
      <c r="C39" s="85"/>
      <c r="D39" s="177" t="s">
        <v>60</v>
      </c>
      <c r="E39" s="177" t="s">
        <v>6</v>
      </c>
      <c r="F39" s="177" t="s">
        <v>7</v>
      </c>
      <c r="G39" s="177" t="s">
        <v>8</v>
      </c>
      <c r="H39" s="177" t="s">
        <v>9</v>
      </c>
      <c r="I39" s="177" t="s">
        <v>10</v>
      </c>
      <c r="J39" s="177" t="s">
        <v>11</v>
      </c>
      <c r="K39" s="177" t="s">
        <v>12</v>
      </c>
      <c r="L39" s="177" t="s">
        <v>66</v>
      </c>
      <c r="M39" s="177" t="s">
        <v>14</v>
      </c>
      <c r="N39" s="177" t="s">
        <v>15</v>
      </c>
      <c r="O39" s="178" t="s">
        <v>16</v>
      </c>
    </row>
    <row r="40" spans="2:15" x14ac:dyDescent="0.2">
      <c r="B40" s="87" t="s">
        <v>67</v>
      </c>
      <c r="C40" s="88"/>
      <c r="D40" s="88">
        <f>304.6-300</f>
        <v>4.6000000000000227</v>
      </c>
      <c r="E40" s="88">
        <f>-111.7</f>
        <v>-111.7</v>
      </c>
      <c r="F40" s="88">
        <f>-351.2+300</f>
        <v>-51.199999999999989</v>
      </c>
      <c r="G40" s="88">
        <v>-48.2</v>
      </c>
      <c r="H40" s="88">
        <v>-113.3</v>
      </c>
      <c r="I40" s="88">
        <v>11.5</v>
      </c>
      <c r="J40" s="88">
        <v>104.3</v>
      </c>
      <c r="K40" s="88">
        <v>-49.5</v>
      </c>
      <c r="L40" s="88">
        <v>12.5</v>
      </c>
      <c r="M40" s="88"/>
      <c r="N40" s="88"/>
      <c r="O40" s="89"/>
    </row>
    <row r="41" spans="2:15" x14ac:dyDescent="0.2">
      <c r="B41" s="87" t="s">
        <v>68</v>
      </c>
      <c r="C41" s="88"/>
      <c r="D41" s="88">
        <f>+D40</f>
        <v>4.6000000000000227</v>
      </c>
      <c r="E41" s="88">
        <f>+D41+E40</f>
        <v>-107.09999999999998</v>
      </c>
      <c r="F41" s="88">
        <f t="shared" ref="F41:O41" si="7">+E41+F40</f>
        <v>-158.29999999999995</v>
      </c>
      <c r="G41" s="88">
        <f t="shared" si="7"/>
        <v>-206.49999999999994</v>
      </c>
      <c r="H41" s="88">
        <f t="shared" si="7"/>
        <v>-319.79999999999995</v>
      </c>
      <c r="I41" s="88">
        <f t="shared" si="7"/>
        <v>-308.29999999999995</v>
      </c>
      <c r="J41" s="88">
        <f t="shared" si="7"/>
        <v>-203.99999999999994</v>
      </c>
      <c r="K41" s="88">
        <f t="shared" si="7"/>
        <v>-253.49999999999994</v>
      </c>
      <c r="L41" s="88">
        <f t="shared" si="7"/>
        <v>-240.99999999999994</v>
      </c>
      <c r="M41" s="88">
        <f t="shared" si="7"/>
        <v>-240.99999999999994</v>
      </c>
      <c r="N41" s="88">
        <f t="shared" si="7"/>
        <v>-240.99999999999994</v>
      </c>
      <c r="O41" s="89">
        <f t="shared" si="7"/>
        <v>-240.99999999999994</v>
      </c>
    </row>
    <row r="42" spans="2:15" x14ac:dyDescent="0.2">
      <c r="B42" s="87" t="s">
        <v>69</v>
      </c>
      <c r="C42" s="88"/>
      <c r="D42" s="88">
        <v>0.5</v>
      </c>
      <c r="E42" s="88">
        <v>-12.7</v>
      </c>
      <c r="F42" s="88">
        <v>-20.100000000000001</v>
      </c>
      <c r="G42" s="88">
        <v>10.7</v>
      </c>
      <c r="H42" s="88">
        <v>-0.6</v>
      </c>
      <c r="I42" s="88">
        <v>10.8</v>
      </c>
      <c r="J42" s="88">
        <v>0.7</v>
      </c>
      <c r="K42" s="88">
        <v>0.7</v>
      </c>
      <c r="L42" s="88">
        <v>11.1</v>
      </c>
      <c r="M42" s="88">
        <v>15.9</v>
      </c>
      <c r="N42" s="88">
        <v>4</v>
      </c>
      <c r="O42" s="89">
        <v>37.6</v>
      </c>
    </row>
    <row r="43" spans="2:15" ht="13.5" thickBot="1" x14ac:dyDescent="0.25">
      <c r="B43" s="92" t="s">
        <v>70</v>
      </c>
      <c r="C43" s="93"/>
      <c r="D43" s="93">
        <f>+D42</f>
        <v>0.5</v>
      </c>
      <c r="E43" s="93">
        <f t="shared" ref="E43:O43" si="8">+D43+E42</f>
        <v>-12.2</v>
      </c>
      <c r="F43" s="93">
        <f t="shared" si="8"/>
        <v>-32.299999999999997</v>
      </c>
      <c r="G43" s="93">
        <f t="shared" si="8"/>
        <v>-21.599999999999998</v>
      </c>
      <c r="H43" s="93">
        <f t="shared" si="8"/>
        <v>-22.2</v>
      </c>
      <c r="I43" s="93">
        <f t="shared" si="8"/>
        <v>-11.399999999999999</v>
      </c>
      <c r="J43" s="93">
        <f t="shared" si="8"/>
        <v>-10.7</v>
      </c>
      <c r="K43" s="93">
        <f t="shared" si="8"/>
        <v>-10</v>
      </c>
      <c r="L43" s="93">
        <f t="shared" si="8"/>
        <v>1.0999999999999996</v>
      </c>
      <c r="M43" s="93">
        <f t="shared" si="8"/>
        <v>17</v>
      </c>
      <c r="N43" s="93">
        <f t="shared" si="8"/>
        <v>21</v>
      </c>
      <c r="O43" s="179">
        <f t="shared" si="8"/>
        <v>58.6</v>
      </c>
    </row>
  </sheetData>
  <phoneticPr fontId="20" type="noConversion"/>
  <pageMargins left="0.28000000000000003" right="0.28999999999999998" top="0.34" bottom="0.2" header="0.21" footer="0.16"/>
  <pageSetup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4"/>
  <sheetViews>
    <sheetView topLeftCell="B1" zoomScaleNormal="100" zoomScaleSheetLayoutView="85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H33" sqref="H33"/>
    </sheetView>
  </sheetViews>
  <sheetFormatPr defaultRowHeight="12.75" x14ac:dyDescent="0.2"/>
  <cols>
    <col min="1" max="1" width="2.7109375" style="78" customWidth="1"/>
    <col min="2" max="2" width="40.7109375" style="78" customWidth="1"/>
    <col min="3" max="3" width="1.4257812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O:\Fin_Ops\Finrpt\Global\Management Summaries\2001\4Q 2001\Radar Screens\[RADAR Screens-4Q 1116.xls]Cash Flow by Team</v>
      </c>
    </row>
    <row r="2" spans="2:15" x14ac:dyDescent="0.2">
      <c r="B2" s="79" t="s">
        <v>62</v>
      </c>
      <c r="C2" s="79"/>
      <c r="J2" s="81">
        <f ca="1">NOW()</f>
        <v>37214.318435763889</v>
      </c>
    </row>
    <row r="3" spans="2:15" x14ac:dyDescent="0.2">
      <c r="B3" s="79" t="s">
        <v>63</v>
      </c>
      <c r="C3" s="79"/>
      <c r="J3" s="82">
        <f ca="1">NOW()</f>
        <v>37214.318435763889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163" t="s">
        <v>34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x14ac:dyDescent="0.2">
      <c r="B8" s="164" t="s">
        <v>65</v>
      </c>
      <c r="C8" s="88"/>
      <c r="D8" s="109" t="s">
        <v>60</v>
      </c>
      <c r="E8" s="109" t="s">
        <v>6</v>
      </c>
      <c r="F8" s="109" t="s">
        <v>7</v>
      </c>
      <c r="G8" s="109" t="s">
        <v>8</v>
      </c>
      <c r="H8" s="109" t="s">
        <v>9</v>
      </c>
      <c r="I8" s="109" t="s">
        <v>10</v>
      </c>
      <c r="J8" s="109" t="s">
        <v>11</v>
      </c>
      <c r="K8" s="109" t="s">
        <v>12</v>
      </c>
      <c r="L8" s="109" t="s">
        <v>66</v>
      </c>
      <c r="M8" s="109" t="s">
        <v>14</v>
      </c>
      <c r="N8" s="109" t="s">
        <v>15</v>
      </c>
      <c r="O8" s="110" t="s">
        <v>16</v>
      </c>
    </row>
    <row r="9" spans="2:15" x14ac:dyDescent="0.2">
      <c r="B9" s="87" t="s">
        <v>67</v>
      </c>
      <c r="C9" s="88"/>
      <c r="D9" s="90">
        <v>-52.095999999999997</v>
      </c>
      <c r="E9" s="90">
        <v>-22.103000000000002</v>
      </c>
      <c r="F9" s="90">
        <v>-77.444000000000003</v>
      </c>
      <c r="G9" s="90">
        <v>-0.44500000000000001</v>
      </c>
      <c r="H9" s="90">
        <v>35.423999999999999</v>
      </c>
      <c r="I9" s="90">
        <v>-66.617000000000004</v>
      </c>
      <c r="J9" s="90">
        <v>-21.798999999999999</v>
      </c>
      <c r="K9" s="90">
        <v>15.708</v>
      </c>
      <c r="L9" s="90">
        <v>-3.9060000000000001</v>
      </c>
      <c r="M9" s="90"/>
      <c r="N9" s="90"/>
      <c r="O9" s="91"/>
    </row>
    <row r="10" spans="2:15" x14ac:dyDescent="0.2">
      <c r="B10" s="87" t="s">
        <v>68</v>
      </c>
      <c r="C10" s="88"/>
      <c r="D10" s="165">
        <f>SUM($C9:D9)</f>
        <v>-52.095999999999997</v>
      </c>
      <c r="E10" s="165">
        <f>SUM($C9:E9)</f>
        <v>-74.198999999999998</v>
      </c>
      <c r="F10" s="165">
        <f>SUM($C9:F9)</f>
        <v>-151.643</v>
      </c>
      <c r="G10" s="165">
        <f>SUM($C9:G9)</f>
        <v>-152.08799999999999</v>
      </c>
      <c r="H10" s="165">
        <f>SUM($C9:H9)</f>
        <v>-116.66399999999999</v>
      </c>
      <c r="I10" s="165">
        <f>SUM($C9:I9)</f>
        <v>-183.28100000000001</v>
      </c>
      <c r="J10" s="165">
        <f>SUM($C9:J9)</f>
        <v>-205.08</v>
      </c>
      <c r="K10" s="165">
        <f>SUM($C9:K9)</f>
        <v>-189.37200000000001</v>
      </c>
      <c r="L10" s="165">
        <f>SUM($C9:L9)</f>
        <v>-193.27800000000002</v>
      </c>
      <c r="M10" s="165"/>
      <c r="N10" s="165"/>
      <c r="O10" s="166"/>
    </row>
    <row r="11" spans="2:15" x14ac:dyDescent="0.2">
      <c r="B11" s="87"/>
      <c r="C11" s="88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6"/>
    </row>
    <row r="12" spans="2:15" x14ac:dyDescent="0.2">
      <c r="B12" s="164" t="s">
        <v>105</v>
      </c>
      <c r="C12" s="88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6"/>
    </row>
    <row r="13" spans="2:15" x14ac:dyDescent="0.2">
      <c r="B13" s="87" t="s">
        <v>67</v>
      </c>
      <c r="C13" s="88"/>
      <c r="D13" s="90">
        <v>-95.409000000000006</v>
      </c>
      <c r="E13" s="90">
        <v>40.747999999999998</v>
      </c>
      <c r="F13" s="90">
        <v>-136.43799999999999</v>
      </c>
      <c r="G13" s="90">
        <v>23.298999999999999</v>
      </c>
      <c r="H13" s="90">
        <v>-37.631</v>
      </c>
      <c r="I13" s="90">
        <v>10.903</v>
      </c>
      <c r="J13" s="90">
        <v>-25.443000000000001</v>
      </c>
      <c r="K13" s="90">
        <v>-39.478000000000002</v>
      </c>
      <c r="L13" s="90">
        <v>19.797000000000001</v>
      </c>
      <c r="M13" s="90"/>
      <c r="N13" s="90"/>
      <c r="O13" s="91"/>
    </row>
    <row r="14" spans="2:15" ht="16.5" customHeight="1" x14ac:dyDescent="0.2">
      <c r="B14" s="87" t="s">
        <v>68</v>
      </c>
      <c r="C14" s="88"/>
      <c r="D14" s="165">
        <f>SUM($C13:D13)</f>
        <v>-95.409000000000006</v>
      </c>
      <c r="E14" s="165">
        <f>SUM($D13:E13)</f>
        <v>-54.661000000000008</v>
      </c>
      <c r="F14" s="165">
        <f>SUM($D13:F13)</f>
        <v>-191.09899999999999</v>
      </c>
      <c r="G14" s="165">
        <f>SUM($D13:G13)</f>
        <v>-167.79999999999998</v>
      </c>
      <c r="H14" s="165">
        <f>SUM($D13:H13)</f>
        <v>-205.43099999999998</v>
      </c>
      <c r="I14" s="165">
        <f>SUM($D13:I13)</f>
        <v>-194.52799999999999</v>
      </c>
      <c r="J14" s="165">
        <f>SUM($D13:J13)</f>
        <v>-219.971</v>
      </c>
      <c r="K14" s="165">
        <f>SUM($D13:K13)</f>
        <v>-259.44900000000001</v>
      </c>
      <c r="L14" s="165">
        <f>SUM($D13:L13)</f>
        <v>-239.65200000000002</v>
      </c>
      <c r="M14" s="165"/>
      <c r="N14" s="165"/>
      <c r="O14" s="166"/>
    </row>
    <row r="15" spans="2:15" s="167" customFormat="1" ht="13.5" thickBot="1" x14ac:dyDescent="0.25">
      <c r="B15" s="181"/>
      <c r="C15" s="182"/>
      <c r="D15" s="183"/>
      <c r="E15" s="183"/>
      <c r="F15" s="183"/>
      <c r="G15" s="183"/>
      <c r="H15" s="183"/>
      <c r="I15" s="184"/>
      <c r="J15" s="183"/>
      <c r="K15" s="183"/>
      <c r="L15" s="184"/>
      <c r="M15" s="183"/>
      <c r="N15" s="183"/>
      <c r="O15" s="185"/>
    </row>
    <row r="16" spans="2:15" s="167" customFormat="1" x14ac:dyDescent="0.2">
      <c r="B16" s="180" t="s">
        <v>108</v>
      </c>
      <c r="C16" s="169"/>
      <c r="D16" s="170"/>
      <c r="E16" s="170"/>
      <c r="F16" s="170"/>
      <c r="G16" s="170"/>
      <c r="H16" s="170"/>
      <c r="I16" s="133"/>
      <c r="J16" s="170"/>
      <c r="K16" s="170"/>
      <c r="L16" s="133"/>
      <c r="M16" s="170"/>
      <c r="N16" s="170"/>
      <c r="O16" s="171"/>
    </row>
    <row r="17" spans="2:15" s="167" customFormat="1" x14ac:dyDescent="0.2">
      <c r="B17" s="164" t="s">
        <v>65</v>
      </c>
      <c r="C17" s="169"/>
      <c r="D17" s="109" t="s">
        <v>60</v>
      </c>
      <c r="E17" s="109" t="s">
        <v>6</v>
      </c>
      <c r="F17" s="109" t="s">
        <v>7</v>
      </c>
      <c r="G17" s="109" t="s">
        <v>8</v>
      </c>
      <c r="H17" s="109" t="s">
        <v>9</v>
      </c>
      <c r="I17" s="109" t="s">
        <v>10</v>
      </c>
      <c r="J17" s="109" t="s">
        <v>11</v>
      </c>
      <c r="K17" s="109" t="s">
        <v>12</v>
      </c>
      <c r="L17" s="109" t="s">
        <v>66</v>
      </c>
      <c r="M17" s="109" t="s">
        <v>14</v>
      </c>
      <c r="N17" s="109" t="s">
        <v>15</v>
      </c>
      <c r="O17" s="110" t="s">
        <v>16</v>
      </c>
    </row>
    <row r="18" spans="2:15" s="167" customFormat="1" x14ac:dyDescent="0.2">
      <c r="B18" s="87" t="s">
        <v>67</v>
      </c>
      <c r="C18" s="169"/>
      <c r="D18" s="186">
        <f>+D27+D36+D45</f>
        <v>8.5660000000000007</v>
      </c>
      <c r="E18" s="186">
        <f t="shared" ref="E18:O18" si="0">+E27+E36+E45</f>
        <v>6.2629999999999999</v>
      </c>
      <c r="F18" s="186">
        <f t="shared" si="0"/>
        <v>38.098999999999997</v>
      </c>
      <c r="G18" s="186">
        <f t="shared" si="0"/>
        <v>-0.31099999999999994</v>
      </c>
      <c r="H18" s="186">
        <f t="shared" si="0"/>
        <v>-20.79</v>
      </c>
      <c r="I18" s="186">
        <f t="shared" si="0"/>
        <v>8.3219999999999992</v>
      </c>
      <c r="J18" s="186">
        <f t="shared" si="0"/>
        <v>-2.5449999999999999</v>
      </c>
      <c r="K18" s="186">
        <f t="shared" si="0"/>
        <v>12.832000000000001</v>
      </c>
      <c r="L18" s="186">
        <f t="shared" si="0"/>
        <v>-30.945</v>
      </c>
      <c r="M18" s="186">
        <f t="shared" si="0"/>
        <v>0</v>
      </c>
      <c r="N18" s="186">
        <f t="shared" si="0"/>
        <v>0</v>
      </c>
      <c r="O18" s="187">
        <f t="shared" si="0"/>
        <v>0</v>
      </c>
    </row>
    <row r="19" spans="2:15" s="167" customFormat="1" x14ac:dyDescent="0.2">
      <c r="B19" s="87" t="s">
        <v>68</v>
      </c>
      <c r="C19" s="169"/>
      <c r="D19" s="186">
        <f>+D28+D37+D46</f>
        <v>8.5660000000000007</v>
      </c>
      <c r="E19" s="186">
        <f t="shared" ref="E19:O19" si="1">+E28+E37+E46</f>
        <v>14.829000000000001</v>
      </c>
      <c r="F19" s="186">
        <f t="shared" si="1"/>
        <v>52.928000000000004</v>
      </c>
      <c r="G19" s="186">
        <f t="shared" si="1"/>
        <v>52.617000000000004</v>
      </c>
      <c r="H19" s="186">
        <f t="shared" si="1"/>
        <v>31.827000000000002</v>
      </c>
      <c r="I19" s="186">
        <f t="shared" si="1"/>
        <v>40.149000000000001</v>
      </c>
      <c r="J19" s="186">
        <f t="shared" si="1"/>
        <v>37.603999999999999</v>
      </c>
      <c r="K19" s="186">
        <f t="shared" si="1"/>
        <v>50.436</v>
      </c>
      <c r="L19" s="186">
        <f t="shared" si="1"/>
        <v>19.490999999999996</v>
      </c>
      <c r="M19" s="186">
        <f t="shared" si="1"/>
        <v>0</v>
      </c>
      <c r="N19" s="186">
        <f t="shared" si="1"/>
        <v>0</v>
      </c>
      <c r="O19" s="187">
        <f t="shared" si="1"/>
        <v>0</v>
      </c>
    </row>
    <row r="20" spans="2:15" s="167" customFormat="1" x14ac:dyDescent="0.2">
      <c r="B20" s="87"/>
      <c r="C20" s="169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1"/>
    </row>
    <row r="21" spans="2:15" s="167" customFormat="1" x14ac:dyDescent="0.2">
      <c r="B21" s="164" t="s">
        <v>105</v>
      </c>
      <c r="C21" s="169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1"/>
    </row>
    <row r="22" spans="2:15" s="167" customFormat="1" x14ac:dyDescent="0.2">
      <c r="B22" s="87" t="s">
        <v>67</v>
      </c>
      <c r="C22" s="169"/>
      <c r="D22" s="186">
        <f>+D31+D40+D49</f>
        <v>12.599</v>
      </c>
      <c r="E22" s="186">
        <f t="shared" ref="E22:O22" si="2">+E31+E40+E49</f>
        <v>-6.7300000000000013</v>
      </c>
      <c r="F22" s="186">
        <f t="shared" si="2"/>
        <v>-16.241</v>
      </c>
      <c r="G22" s="186">
        <f t="shared" si="2"/>
        <v>-31.310000000000002</v>
      </c>
      <c r="H22" s="186">
        <f t="shared" si="2"/>
        <v>-73.048000000000002</v>
      </c>
      <c r="I22" s="186">
        <f t="shared" si="2"/>
        <v>7.5369999999999999</v>
      </c>
      <c r="J22" s="186">
        <f t="shared" si="2"/>
        <v>2.3749999999999991</v>
      </c>
      <c r="K22" s="186">
        <f t="shared" si="2"/>
        <v>7.3559999999999999</v>
      </c>
      <c r="L22" s="186">
        <f t="shared" si="2"/>
        <v>-14.707000000000001</v>
      </c>
      <c r="M22" s="186">
        <f t="shared" si="2"/>
        <v>0</v>
      </c>
      <c r="N22" s="186">
        <f t="shared" si="2"/>
        <v>0</v>
      </c>
      <c r="O22" s="187">
        <f t="shared" si="2"/>
        <v>0</v>
      </c>
    </row>
    <row r="23" spans="2:15" s="167" customFormat="1" x14ac:dyDescent="0.2">
      <c r="B23" s="87" t="s">
        <v>68</v>
      </c>
      <c r="C23" s="169"/>
      <c r="D23" s="186">
        <f>+D32+D41+D50</f>
        <v>12.599</v>
      </c>
      <c r="E23" s="186">
        <f t="shared" ref="E23:O23" si="3">+E32+E41+E50</f>
        <v>5.8689999999999998</v>
      </c>
      <c r="F23" s="186">
        <f t="shared" si="3"/>
        <v>-10.372</v>
      </c>
      <c r="G23" s="186">
        <f t="shared" si="3"/>
        <v>-41.682000000000009</v>
      </c>
      <c r="H23" s="186">
        <f t="shared" si="3"/>
        <v>-114.73</v>
      </c>
      <c r="I23" s="186">
        <f t="shared" si="3"/>
        <v>-107.19300000000001</v>
      </c>
      <c r="J23" s="186">
        <f t="shared" si="3"/>
        <v>-104.81800000000001</v>
      </c>
      <c r="K23" s="186">
        <f t="shared" si="3"/>
        <v>-97.462000000000018</v>
      </c>
      <c r="L23" s="186">
        <f t="shared" si="3"/>
        <v>-112.169</v>
      </c>
      <c r="M23" s="186">
        <f t="shared" si="3"/>
        <v>0</v>
      </c>
      <c r="N23" s="186">
        <f t="shared" si="3"/>
        <v>0</v>
      </c>
      <c r="O23" s="187">
        <f t="shared" si="3"/>
        <v>0</v>
      </c>
    </row>
    <row r="24" spans="2:15" s="167" customFormat="1" ht="13.5" thickBot="1" x14ac:dyDescent="0.25">
      <c r="B24" s="168"/>
      <c r="C24" s="169"/>
      <c r="D24" s="170"/>
      <c r="E24" s="170"/>
      <c r="F24" s="170"/>
      <c r="G24" s="170"/>
      <c r="H24" s="170"/>
      <c r="I24" s="133"/>
      <c r="J24" s="170"/>
      <c r="K24" s="170"/>
      <c r="L24" s="133"/>
      <c r="M24" s="170"/>
      <c r="N24" s="170"/>
      <c r="O24" s="185"/>
    </row>
    <row r="25" spans="2:15" s="167" customFormat="1" x14ac:dyDescent="0.2">
      <c r="B25" s="172" t="s">
        <v>106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6"/>
    </row>
    <row r="26" spans="2:15" s="167" customFormat="1" x14ac:dyDescent="0.2">
      <c r="B26" s="164" t="s">
        <v>65</v>
      </c>
      <c r="C26" s="88"/>
      <c r="D26" s="109" t="s">
        <v>60</v>
      </c>
      <c r="E26" s="109" t="s">
        <v>6</v>
      </c>
      <c r="F26" s="109" t="s">
        <v>7</v>
      </c>
      <c r="G26" s="109" t="s">
        <v>8</v>
      </c>
      <c r="H26" s="109" t="s">
        <v>9</v>
      </c>
      <c r="I26" s="109" t="s">
        <v>10</v>
      </c>
      <c r="J26" s="109" t="s">
        <v>11</v>
      </c>
      <c r="K26" s="109" t="s">
        <v>12</v>
      </c>
      <c r="L26" s="109" t="s">
        <v>66</v>
      </c>
      <c r="M26" s="109" t="s">
        <v>14</v>
      </c>
      <c r="N26" s="109" t="s">
        <v>15</v>
      </c>
      <c r="O26" s="110" t="s">
        <v>16</v>
      </c>
    </row>
    <row r="27" spans="2:15" s="167" customFormat="1" x14ac:dyDescent="0.2">
      <c r="B27" s="87" t="s">
        <v>67</v>
      </c>
      <c r="C27" s="88"/>
      <c r="D27" s="90">
        <v>-4.2000000000000003E-2</v>
      </c>
      <c r="E27" s="90">
        <v>1.3759999999999999</v>
      </c>
      <c r="F27" s="90">
        <v>17.145</v>
      </c>
      <c r="G27" s="90">
        <v>-3.6869999999999998</v>
      </c>
      <c r="H27" s="90">
        <v>-0.85399999999999998</v>
      </c>
      <c r="I27" s="90">
        <v>-1.464</v>
      </c>
      <c r="J27" s="90">
        <v>-2.7829999999999999</v>
      </c>
      <c r="K27" s="90">
        <v>-8.8379999999999992</v>
      </c>
      <c r="L27" s="90">
        <v>-27.064</v>
      </c>
      <c r="M27" s="90"/>
      <c r="N27" s="90"/>
      <c r="O27" s="91"/>
    </row>
    <row r="28" spans="2:15" s="167" customFormat="1" x14ac:dyDescent="0.2">
      <c r="B28" s="87" t="s">
        <v>68</v>
      </c>
      <c r="C28" s="88"/>
      <c r="D28" s="165">
        <f>SUM($C27:D27)</f>
        <v>-4.2000000000000003E-2</v>
      </c>
      <c r="E28" s="165">
        <f>SUM($D27:E27)</f>
        <v>1.3339999999999999</v>
      </c>
      <c r="F28" s="165">
        <f>SUM($D27:F27)</f>
        <v>18.478999999999999</v>
      </c>
      <c r="G28" s="165">
        <f>SUM($D27:G27)</f>
        <v>14.792</v>
      </c>
      <c r="H28" s="165">
        <f>SUM($D27:H27)</f>
        <v>13.938000000000001</v>
      </c>
      <c r="I28" s="165">
        <f>SUM($D27:I27)</f>
        <v>12.474</v>
      </c>
      <c r="J28" s="165">
        <f>SUM($D27:J27)</f>
        <v>9.6910000000000007</v>
      </c>
      <c r="K28" s="165">
        <f>SUM($D27:K27)</f>
        <v>0.85300000000000153</v>
      </c>
      <c r="L28" s="165">
        <f>SUM($D27:L27)</f>
        <v>-26.210999999999999</v>
      </c>
      <c r="M28" s="165"/>
      <c r="N28" s="165"/>
      <c r="O28" s="166"/>
    </row>
    <row r="29" spans="2:15" s="167" customFormat="1" x14ac:dyDescent="0.2">
      <c r="B29" s="87"/>
      <c r="C29" s="88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6"/>
    </row>
    <row r="30" spans="2:15" s="167" customFormat="1" x14ac:dyDescent="0.2">
      <c r="B30" s="164" t="s">
        <v>105</v>
      </c>
      <c r="C30" s="88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6"/>
    </row>
    <row r="31" spans="2:15" s="167" customFormat="1" x14ac:dyDescent="0.2">
      <c r="B31" s="87" t="s">
        <v>67</v>
      </c>
      <c r="C31" s="88"/>
      <c r="D31" s="90">
        <v>0.27100000000000002</v>
      </c>
      <c r="E31" s="90">
        <v>10.625999999999999</v>
      </c>
      <c r="F31" s="90">
        <v>11.707000000000001</v>
      </c>
      <c r="G31" s="90">
        <v>-3.2160000000000002</v>
      </c>
      <c r="H31" s="90">
        <v>-52.593000000000004</v>
      </c>
      <c r="I31" s="90">
        <v>-1.4590000000000001</v>
      </c>
      <c r="J31" s="90">
        <v>-6.1820000000000004</v>
      </c>
      <c r="K31" s="90">
        <v>0.91700000000000004</v>
      </c>
      <c r="L31" s="90">
        <v>-26.452999999999999</v>
      </c>
      <c r="M31" s="90"/>
      <c r="N31" s="90"/>
      <c r="O31" s="91"/>
    </row>
    <row r="32" spans="2:15" s="167" customFormat="1" x14ac:dyDescent="0.2">
      <c r="B32" s="87" t="s">
        <v>68</v>
      </c>
      <c r="C32" s="88"/>
      <c r="D32" s="165">
        <f>SUM($C31:D31)</f>
        <v>0.27100000000000002</v>
      </c>
      <c r="E32" s="165">
        <f>SUM($D31:E31)</f>
        <v>10.897</v>
      </c>
      <c r="F32" s="165">
        <f>SUM($D31:F31)</f>
        <v>22.603999999999999</v>
      </c>
      <c r="G32" s="165">
        <f>SUM($D31:G31)</f>
        <v>19.387999999999998</v>
      </c>
      <c r="H32" s="165">
        <f>SUM($D31:H31)</f>
        <v>-33.205000000000005</v>
      </c>
      <c r="I32" s="165">
        <f>SUM($D31:I31)</f>
        <v>-34.664000000000009</v>
      </c>
      <c r="J32" s="165">
        <f>SUM($D31:J31)</f>
        <v>-40.846000000000011</v>
      </c>
      <c r="K32" s="165">
        <f>SUM($D31:K31)</f>
        <v>-39.929000000000009</v>
      </c>
      <c r="L32" s="165">
        <f>SUM($D31:L31)</f>
        <v>-66.382000000000005</v>
      </c>
      <c r="M32" s="165"/>
      <c r="N32" s="165"/>
      <c r="O32" s="166"/>
    </row>
    <row r="33" spans="2:15" s="167" customFormat="1" ht="13.5" thickBot="1" x14ac:dyDescent="0.25">
      <c r="B33" s="168"/>
      <c r="C33" s="108"/>
      <c r="D33" s="173"/>
      <c r="E33" s="173"/>
      <c r="F33" s="173"/>
      <c r="G33" s="173"/>
      <c r="H33" s="173"/>
      <c r="I33" s="173"/>
      <c r="J33" s="96"/>
      <c r="K33" s="96"/>
      <c r="L33" s="96"/>
      <c r="M33" s="96"/>
      <c r="N33" s="96"/>
      <c r="O33" s="97"/>
    </row>
    <row r="34" spans="2:15" s="167" customFormat="1" x14ac:dyDescent="0.2">
      <c r="B34" s="163" t="s">
        <v>107</v>
      </c>
      <c r="C34" s="84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6"/>
    </row>
    <row r="35" spans="2:15" s="167" customFormat="1" x14ac:dyDescent="0.2">
      <c r="B35" s="164" t="s">
        <v>65</v>
      </c>
      <c r="C35" s="88"/>
      <c r="D35" s="109" t="s">
        <v>60</v>
      </c>
      <c r="E35" s="109" t="s">
        <v>6</v>
      </c>
      <c r="F35" s="109" t="s">
        <v>7</v>
      </c>
      <c r="G35" s="109" t="s">
        <v>8</v>
      </c>
      <c r="H35" s="109" t="s">
        <v>9</v>
      </c>
      <c r="I35" s="109" t="s">
        <v>10</v>
      </c>
      <c r="J35" s="109" t="s">
        <v>11</v>
      </c>
      <c r="K35" s="109" t="s">
        <v>12</v>
      </c>
      <c r="L35" s="109" t="s">
        <v>66</v>
      </c>
      <c r="M35" s="109" t="s">
        <v>14</v>
      </c>
      <c r="N35" s="109" t="s">
        <v>15</v>
      </c>
      <c r="O35" s="110" t="s">
        <v>16</v>
      </c>
    </row>
    <row r="36" spans="2:15" s="167" customFormat="1" x14ac:dyDescent="0.2">
      <c r="B36" s="87" t="s">
        <v>67</v>
      </c>
      <c r="C36" s="88"/>
      <c r="D36" s="90">
        <v>-0.13500000000000001</v>
      </c>
      <c r="E36" s="90">
        <v>1.7569999999999999</v>
      </c>
      <c r="F36" s="90">
        <v>-1.278</v>
      </c>
      <c r="G36" s="90">
        <v>-2.2679999999999998</v>
      </c>
      <c r="H36" s="90">
        <v>-7.1360000000000001</v>
      </c>
      <c r="I36" s="90">
        <v>-0.89400000000000002</v>
      </c>
      <c r="J36" s="90">
        <v>-3.5409999999999999</v>
      </c>
      <c r="K36" s="90">
        <v>0.90900000000000003</v>
      </c>
      <c r="L36" s="90">
        <v>7.7460000000000004</v>
      </c>
      <c r="M36" s="90"/>
      <c r="N36" s="90"/>
      <c r="O36" s="91"/>
    </row>
    <row r="37" spans="2:15" s="167" customFormat="1" x14ac:dyDescent="0.2">
      <c r="B37" s="87" t="s">
        <v>68</v>
      </c>
      <c r="C37" s="88"/>
      <c r="D37" s="165">
        <f>SUM($C36:D36)</f>
        <v>-0.13500000000000001</v>
      </c>
      <c r="E37" s="165">
        <f>SUM($D36:E36)</f>
        <v>1.6219999999999999</v>
      </c>
      <c r="F37" s="165">
        <f>SUM($D36:F36)</f>
        <v>0.34399999999999986</v>
      </c>
      <c r="G37" s="165">
        <f>SUM($D36:G36)</f>
        <v>-1.9239999999999999</v>
      </c>
      <c r="H37" s="165">
        <f>SUM($D36:H36)</f>
        <v>-9.06</v>
      </c>
      <c r="I37" s="165">
        <f>SUM($D36:I36)</f>
        <v>-9.9540000000000006</v>
      </c>
      <c r="J37" s="165">
        <f>SUM($D36:J36)</f>
        <v>-13.495000000000001</v>
      </c>
      <c r="K37" s="165">
        <f>SUM($D36:K36)</f>
        <v>-12.586</v>
      </c>
      <c r="L37" s="165">
        <f>SUM($D36:L36)</f>
        <v>-4.84</v>
      </c>
      <c r="M37" s="165"/>
      <c r="N37" s="165"/>
      <c r="O37" s="166"/>
    </row>
    <row r="38" spans="2:15" s="167" customFormat="1" x14ac:dyDescent="0.2">
      <c r="B38" s="87"/>
      <c r="C38" s="88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6"/>
    </row>
    <row r="39" spans="2:15" s="167" customFormat="1" x14ac:dyDescent="0.2">
      <c r="B39" s="164" t="s">
        <v>105</v>
      </c>
      <c r="C39" s="88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6"/>
    </row>
    <row r="40" spans="2:15" s="167" customFormat="1" x14ac:dyDescent="0.2">
      <c r="B40" s="87" t="s">
        <v>67</v>
      </c>
      <c r="C40" s="88"/>
      <c r="D40" s="90">
        <v>9.0069999999999997</v>
      </c>
      <c r="E40" s="90">
        <v>-16.797000000000001</v>
      </c>
      <c r="F40" s="90">
        <v>2.61</v>
      </c>
      <c r="G40" s="90">
        <v>-0.26700000000000002</v>
      </c>
      <c r="H40" s="90">
        <v>-12.682</v>
      </c>
      <c r="I40" s="90">
        <v>1.177</v>
      </c>
      <c r="J40" s="90">
        <v>3.5209999999999999</v>
      </c>
      <c r="K40" s="90">
        <v>2.4870000000000001</v>
      </c>
      <c r="L40" s="90">
        <v>10.468999999999999</v>
      </c>
      <c r="M40" s="90"/>
      <c r="N40" s="90"/>
      <c r="O40" s="91"/>
    </row>
    <row r="41" spans="2:15" s="167" customFormat="1" x14ac:dyDescent="0.2">
      <c r="B41" s="87" t="s">
        <v>68</v>
      </c>
      <c r="C41" s="88"/>
      <c r="D41" s="165">
        <f>SUM($C40:D40)</f>
        <v>9.0069999999999997</v>
      </c>
      <c r="E41" s="165">
        <f>SUM($D40:E40)</f>
        <v>-7.7900000000000009</v>
      </c>
      <c r="F41" s="165">
        <f>SUM($D40:F40)</f>
        <v>-5.1800000000000015</v>
      </c>
      <c r="G41" s="165">
        <f>SUM($D40:G40)</f>
        <v>-5.4470000000000018</v>
      </c>
      <c r="H41" s="165">
        <f>SUM($D40:H40)</f>
        <v>-18.129000000000001</v>
      </c>
      <c r="I41" s="165">
        <f>SUM($D40:I40)</f>
        <v>-16.952000000000002</v>
      </c>
      <c r="J41" s="165">
        <f>SUM($D40:J40)</f>
        <v>-13.431000000000001</v>
      </c>
      <c r="K41" s="165">
        <f>SUM($D40:K40)</f>
        <v>-10.944000000000001</v>
      </c>
      <c r="L41" s="165">
        <f>SUM($D40:L40)</f>
        <v>-0.47500000000000142</v>
      </c>
      <c r="M41" s="165"/>
      <c r="N41" s="165"/>
      <c r="O41" s="166"/>
    </row>
    <row r="42" spans="2:15" s="167" customFormat="1" ht="13.5" thickBot="1" x14ac:dyDescent="0.25">
      <c r="B42" s="168"/>
      <c r="C42" s="108"/>
      <c r="D42" s="173"/>
      <c r="E42" s="173"/>
      <c r="F42" s="173"/>
      <c r="G42" s="173"/>
      <c r="H42" s="173"/>
      <c r="I42" s="173"/>
      <c r="J42" s="96"/>
      <c r="K42" s="96"/>
      <c r="L42" s="96"/>
      <c r="M42" s="96"/>
      <c r="N42" s="96"/>
      <c r="O42" s="97"/>
    </row>
    <row r="43" spans="2:15" s="167" customFormat="1" x14ac:dyDescent="0.2">
      <c r="B43" s="172" t="s">
        <v>44</v>
      </c>
      <c r="C43" s="84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6"/>
    </row>
    <row r="44" spans="2:15" s="167" customFormat="1" x14ac:dyDescent="0.2">
      <c r="B44" s="164" t="s">
        <v>65</v>
      </c>
      <c r="C44" s="88"/>
      <c r="D44" s="109" t="s">
        <v>60</v>
      </c>
      <c r="E44" s="109" t="s">
        <v>6</v>
      </c>
      <c r="F44" s="109" t="s">
        <v>7</v>
      </c>
      <c r="G44" s="109" t="s">
        <v>8</v>
      </c>
      <c r="H44" s="109" t="s">
        <v>9</v>
      </c>
      <c r="I44" s="109" t="s">
        <v>10</v>
      </c>
      <c r="J44" s="109" t="s">
        <v>11</v>
      </c>
      <c r="K44" s="109" t="s">
        <v>12</v>
      </c>
      <c r="L44" s="109" t="s">
        <v>66</v>
      </c>
      <c r="M44" s="109" t="s">
        <v>14</v>
      </c>
      <c r="N44" s="109" t="s">
        <v>15</v>
      </c>
      <c r="O44" s="110" t="s">
        <v>16</v>
      </c>
    </row>
    <row r="45" spans="2:15" s="167" customFormat="1" x14ac:dyDescent="0.2">
      <c r="B45" s="87" t="s">
        <v>67</v>
      </c>
      <c r="C45" s="88"/>
      <c r="D45" s="90">
        <v>8.7430000000000003</v>
      </c>
      <c r="E45" s="90">
        <v>3.13</v>
      </c>
      <c r="F45" s="90">
        <v>22.231999999999999</v>
      </c>
      <c r="G45" s="90">
        <v>5.6440000000000001</v>
      </c>
      <c r="H45" s="90">
        <v>-12.8</v>
      </c>
      <c r="I45" s="90">
        <v>10.68</v>
      </c>
      <c r="J45" s="90">
        <v>3.7789999999999999</v>
      </c>
      <c r="K45" s="90">
        <v>20.760999999999999</v>
      </c>
      <c r="L45" s="90">
        <v>-11.627000000000001</v>
      </c>
      <c r="M45" s="90"/>
      <c r="N45" s="90"/>
      <c r="O45" s="91"/>
    </row>
    <row r="46" spans="2:15" s="167" customFormat="1" x14ac:dyDescent="0.2">
      <c r="B46" s="87" t="s">
        <v>68</v>
      </c>
      <c r="C46" s="88"/>
      <c r="D46" s="165">
        <f>SUM($C45:D45)</f>
        <v>8.7430000000000003</v>
      </c>
      <c r="E46" s="165">
        <f>SUM($D45:E45)</f>
        <v>11.873000000000001</v>
      </c>
      <c r="F46" s="165">
        <f>SUM($D45:F45)</f>
        <v>34.105000000000004</v>
      </c>
      <c r="G46" s="165">
        <f>SUM($D45:G45)</f>
        <v>39.749000000000002</v>
      </c>
      <c r="H46" s="165">
        <f>SUM($D45:H45)</f>
        <v>26.949000000000002</v>
      </c>
      <c r="I46" s="165">
        <f>SUM($D45:I45)</f>
        <v>37.629000000000005</v>
      </c>
      <c r="J46" s="165">
        <f>SUM($D45:J45)</f>
        <v>41.408000000000001</v>
      </c>
      <c r="K46" s="165">
        <f>SUM($D45:K45)</f>
        <v>62.168999999999997</v>
      </c>
      <c r="L46" s="165">
        <f>SUM($D45:L45)</f>
        <v>50.541999999999994</v>
      </c>
      <c r="M46" s="165"/>
      <c r="N46" s="165"/>
      <c r="O46" s="166"/>
    </row>
    <row r="47" spans="2:15" s="167" customFormat="1" x14ac:dyDescent="0.2">
      <c r="B47" s="87"/>
      <c r="C47" s="88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6"/>
    </row>
    <row r="48" spans="2:15" s="167" customFormat="1" x14ac:dyDescent="0.2">
      <c r="B48" s="164" t="s">
        <v>105</v>
      </c>
      <c r="C48" s="88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6"/>
    </row>
    <row r="49" spans="2:15" s="167" customFormat="1" x14ac:dyDescent="0.2">
      <c r="B49" s="87" t="s">
        <v>67</v>
      </c>
      <c r="C49" s="88"/>
      <c r="D49" s="90">
        <v>3.3210000000000002</v>
      </c>
      <c r="E49" s="90">
        <v>-0.55900000000000005</v>
      </c>
      <c r="F49" s="90">
        <v>-30.558</v>
      </c>
      <c r="G49" s="90">
        <v>-27.827000000000002</v>
      </c>
      <c r="H49" s="90">
        <v>-7.7729999999999997</v>
      </c>
      <c r="I49" s="90">
        <v>7.819</v>
      </c>
      <c r="J49" s="90">
        <v>5.0359999999999996</v>
      </c>
      <c r="K49" s="90">
        <v>3.952</v>
      </c>
      <c r="L49" s="90">
        <v>1.2769999999999999</v>
      </c>
      <c r="M49" s="90"/>
      <c r="N49" s="90"/>
      <c r="O49" s="91"/>
    </row>
    <row r="50" spans="2:15" s="167" customFormat="1" x14ac:dyDescent="0.2">
      <c r="B50" s="87" t="s">
        <v>68</v>
      </c>
      <c r="C50" s="88"/>
      <c r="D50" s="165">
        <f>SUM($C49:D49)</f>
        <v>3.3210000000000002</v>
      </c>
      <c r="E50" s="165">
        <f>SUM($D49:E49)</f>
        <v>2.762</v>
      </c>
      <c r="F50" s="165">
        <f>SUM($D49:F49)</f>
        <v>-27.795999999999999</v>
      </c>
      <c r="G50" s="165">
        <f>SUM($D49:G49)</f>
        <v>-55.623000000000005</v>
      </c>
      <c r="H50" s="165">
        <f>SUM($D49:H49)</f>
        <v>-63.396000000000001</v>
      </c>
      <c r="I50" s="165">
        <f>SUM($D49:I49)</f>
        <v>-55.576999999999998</v>
      </c>
      <c r="J50" s="165">
        <f>SUM($D49:J49)</f>
        <v>-50.540999999999997</v>
      </c>
      <c r="K50" s="165">
        <f>SUM($D49:K49)</f>
        <v>-46.588999999999999</v>
      </c>
      <c r="L50" s="165">
        <f>SUM($D49:L49)</f>
        <v>-45.311999999999998</v>
      </c>
      <c r="M50" s="165"/>
      <c r="N50" s="165"/>
      <c r="O50" s="166"/>
    </row>
    <row r="51" spans="2:15" s="167" customFormat="1" ht="13.5" thickBot="1" x14ac:dyDescent="0.25">
      <c r="B51" s="168"/>
      <c r="C51" s="108"/>
      <c r="D51" s="173"/>
      <c r="E51" s="173"/>
      <c r="F51" s="173"/>
      <c r="G51" s="173"/>
      <c r="H51" s="173"/>
      <c r="I51" s="173"/>
      <c r="J51" s="96"/>
      <c r="K51" s="96"/>
      <c r="L51" s="96"/>
      <c r="M51" s="96"/>
      <c r="N51" s="96"/>
      <c r="O51" s="97"/>
    </row>
    <row r="52" spans="2:15" s="167" customFormat="1" x14ac:dyDescent="0.2">
      <c r="B52" s="172" t="s">
        <v>0</v>
      </c>
      <c r="C52" s="84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6"/>
    </row>
    <row r="53" spans="2:15" s="167" customFormat="1" x14ac:dyDescent="0.2">
      <c r="B53" s="164" t="s">
        <v>65</v>
      </c>
      <c r="C53" s="88"/>
      <c r="D53" s="109" t="s">
        <v>60</v>
      </c>
      <c r="E53" s="109" t="s">
        <v>6</v>
      </c>
      <c r="F53" s="109" t="s">
        <v>7</v>
      </c>
      <c r="G53" s="109" t="s">
        <v>8</v>
      </c>
      <c r="H53" s="109" t="s">
        <v>9</v>
      </c>
      <c r="I53" s="109" t="s">
        <v>10</v>
      </c>
      <c r="J53" s="109" t="s">
        <v>11</v>
      </c>
      <c r="K53" s="109" t="s">
        <v>12</v>
      </c>
      <c r="L53" s="109" t="s">
        <v>66</v>
      </c>
      <c r="M53" s="109" t="s">
        <v>14</v>
      </c>
      <c r="N53" s="109" t="s">
        <v>15</v>
      </c>
      <c r="O53" s="110" t="s">
        <v>16</v>
      </c>
    </row>
    <row r="54" spans="2:15" s="167" customFormat="1" x14ac:dyDescent="0.2">
      <c r="B54" s="87" t="s">
        <v>67</v>
      </c>
      <c r="C54" s="88"/>
      <c r="D54" s="90">
        <v>-18.495999999999999</v>
      </c>
      <c r="E54" s="90">
        <v>-30.257999999999999</v>
      </c>
      <c r="F54" s="90">
        <v>19.824999999999999</v>
      </c>
      <c r="G54" s="90">
        <v>-1.018</v>
      </c>
      <c r="H54" s="90">
        <v>0.28399999999999997</v>
      </c>
      <c r="I54" s="90">
        <v>-12.212</v>
      </c>
      <c r="J54" s="90">
        <v>-7.532</v>
      </c>
      <c r="K54" s="90">
        <v>-3.2250000000000001</v>
      </c>
      <c r="L54" s="90">
        <v>15.262</v>
      </c>
      <c r="M54" s="90"/>
      <c r="N54" s="90"/>
      <c r="O54" s="91"/>
    </row>
    <row r="55" spans="2:15" s="167" customFormat="1" x14ac:dyDescent="0.2">
      <c r="B55" s="87" t="s">
        <v>68</v>
      </c>
      <c r="C55" s="88"/>
      <c r="D55" s="165">
        <f>SUM($C54:D54)</f>
        <v>-18.495999999999999</v>
      </c>
      <c r="E55" s="165">
        <f>SUM($D54:E54)</f>
        <v>-48.753999999999998</v>
      </c>
      <c r="F55" s="165">
        <f>SUM($D54:F54)</f>
        <v>-28.928999999999998</v>
      </c>
      <c r="G55" s="165">
        <f>SUM($D54:G54)</f>
        <v>-29.946999999999999</v>
      </c>
      <c r="H55" s="165">
        <f>SUM($D54:H54)</f>
        <v>-29.663</v>
      </c>
      <c r="I55" s="165">
        <f>SUM($D54:I54)</f>
        <v>-41.875</v>
      </c>
      <c r="J55" s="165">
        <f>SUM($D54:J54)</f>
        <v>-49.406999999999996</v>
      </c>
      <c r="K55" s="165">
        <f>SUM($D54:K54)</f>
        <v>-52.631999999999998</v>
      </c>
      <c r="L55" s="165">
        <f>SUM($D54:L54)</f>
        <v>-37.369999999999997</v>
      </c>
      <c r="M55" s="165">
        <v>0</v>
      </c>
      <c r="N55" s="165">
        <v>0</v>
      </c>
      <c r="O55" s="166">
        <v>0</v>
      </c>
    </row>
    <row r="56" spans="2:15" s="167" customFormat="1" x14ac:dyDescent="0.2">
      <c r="B56" s="87"/>
      <c r="C56" s="88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6"/>
    </row>
    <row r="57" spans="2:15" s="167" customFormat="1" x14ac:dyDescent="0.2">
      <c r="B57" s="164" t="s">
        <v>105</v>
      </c>
      <c r="C57" s="88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6"/>
    </row>
    <row r="58" spans="2:15" s="167" customFormat="1" x14ac:dyDescent="0.2">
      <c r="B58" s="87" t="s">
        <v>67</v>
      </c>
      <c r="C58" s="88"/>
      <c r="D58" s="90">
        <v>-18.495999999999999</v>
      </c>
      <c r="E58" s="90">
        <v>-30.257999999999999</v>
      </c>
      <c r="F58" s="90">
        <v>19.824999999999999</v>
      </c>
      <c r="G58" s="90">
        <v>-1.018</v>
      </c>
      <c r="H58" s="90">
        <v>0.28399999999999997</v>
      </c>
      <c r="I58" s="90">
        <v>-12.212</v>
      </c>
      <c r="J58" s="90">
        <v>-7.532</v>
      </c>
      <c r="K58" s="90">
        <v>-3.2250000000000001</v>
      </c>
      <c r="L58" s="90">
        <v>15.262</v>
      </c>
      <c r="M58" s="90"/>
      <c r="N58" s="90"/>
      <c r="O58" s="91"/>
    </row>
    <row r="59" spans="2:15" s="167" customFormat="1" x14ac:dyDescent="0.2">
      <c r="B59" s="87" t="s">
        <v>68</v>
      </c>
      <c r="C59" s="88"/>
      <c r="D59" s="165">
        <f>SUM($C58:D58)</f>
        <v>-18.495999999999999</v>
      </c>
      <c r="E59" s="165">
        <f>SUM($D58:E58)</f>
        <v>-48.753999999999998</v>
      </c>
      <c r="F59" s="165">
        <f>SUM($D58:F58)</f>
        <v>-28.928999999999998</v>
      </c>
      <c r="G59" s="165">
        <f>SUM($D58:G58)</f>
        <v>-29.946999999999999</v>
      </c>
      <c r="H59" s="165">
        <f>SUM($D58:H58)</f>
        <v>-29.663</v>
      </c>
      <c r="I59" s="165">
        <f>SUM($D58:I58)</f>
        <v>-41.875</v>
      </c>
      <c r="J59" s="165">
        <f>SUM($D58:J58)</f>
        <v>-49.406999999999996</v>
      </c>
      <c r="K59" s="165">
        <f>SUM($D58:K58)</f>
        <v>-52.631999999999998</v>
      </c>
      <c r="L59" s="165">
        <f>SUM($D58:L58)</f>
        <v>-37.369999999999997</v>
      </c>
      <c r="M59" s="165"/>
      <c r="N59" s="165"/>
      <c r="O59" s="166"/>
    </row>
    <row r="60" spans="2:15" s="167" customFormat="1" ht="13.5" thickBot="1" x14ac:dyDescent="0.25">
      <c r="B60" s="168"/>
      <c r="C60" s="174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6"/>
    </row>
    <row r="61" spans="2:15" s="167" customFormat="1" x14ac:dyDescent="0.2">
      <c r="B61" s="163" t="s">
        <v>104</v>
      </c>
      <c r="C61" s="84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6"/>
    </row>
    <row r="62" spans="2:15" s="167" customFormat="1" x14ac:dyDescent="0.2">
      <c r="B62" s="164" t="s">
        <v>65</v>
      </c>
      <c r="C62" s="88"/>
      <c r="D62" s="109" t="s">
        <v>60</v>
      </c>
      <c r="E62" s="109" t="s">
        <v>6</v>
      </c>
      <c r="F62" s="109" t="s">
        <v>7</v>
      </c>
      <c r="G62" s="109" t="s">
        <v>8</v>
      </c>
      <c r="H62" s="109" t="s">
        <v>9</v>
      </c>
      <c r="I62" s="109" t="s">
        <v>10</v>
      </c>
      <c r="J62" s="109" t="s">
        <v>11</v>
      </c>
      <c r="K62" s="109" t="s">
        <v>12</v>
      </c>
      <c r="L62" s="109" t="s">
        <v>66</v>
      </c>
      <c r="M62" s="109" t="s">
        <v>14</v>
      </c>
      <c r="N62" s="109" t="s">
        <v>15</v>
      </c>
      <c r="O62" s="110" t="s">
        <v>16</v>
      </c>
    </row>
    <row r="63" spans="2:15" s="167" customFormat="1" x14ac:dyDescent="0.2">
      <c r="B63" s="87" t="s">
        <v>67</v>
      </c>
      <c r="C63" s="88"/>
      <c r="D63" s="90">
        <v>0.311</v>
      </c>
      <c r="E63" s="90">
        <v>-0.70499999999999996</v>
      </c>
      <c r="F63" s="90">
        <v>0.122</v>
      </c>
      <c r="G63" s="90">
        <v>-0.72399999999999998</v>
      </c>
      <c r="H63" s="90">
        <v>-0.876</v>
      </c>
      <c r="I63" s="90">
        <v>3.5150000000000001</v>
      </c>
      <c r="J63" s="90">
        <v>-1.008</v>
      </c>
      <c r="K63" s="90">
        <v>0.33700000000000002</v>
      </c>
      <c r="L63" s="90">
        <v>-1.292</v>
      </c>
      <c r="M63" s="90">
        <v>0</v>
      </c>
      <c r="N63" s="90">
        <v>0</v>
      </c>
      <c r="O63" s="91">
        <v>0</v>
      </c>
    </row>
    <row r="64" spans="2:15" x14ac:dyDescent="0.2">
      <c r="B64" s="87" t="s">
        <v>68</v>
      </c>
      <c r="C64" s="88"/>
      <c r="D64" s="165">
        <f>SUM($C63:D63)</f>
        <v>0.311</v>
      </c>
      <c r="E64" s="165">
        <f>SUM($D63:E63)</f>
        <v>-0.39399999999999996</v>
      </c>
      <c r="F64" s="165">
        <f>SUM($D63:F63)</f>
        <v>-0.27199999999999996</v>
      </c>
      <c r="G64" s="165">
        <f>SUM($D63:G63)</f>
        <v>-0.996</v>
      </c>
      <c r="H64" s="165">
        <f>SUM($D63:H63)</f>
        <v>-1.8719999999999999</v>
      </c>
      <c r="I64" s="165">
        <f>SUM($D63:I63)</f>
        <v>1.6430000000000002</v>
      </c>
      <c r="J64" s="165">
        <f>SUM($D63:J63)</f>
        <v>0.63500000000000023</v>
      </c>
      <c r="K64" s="165">
        <f>SUM($D63:K63)</f>
        <v>0.9720000000000002</v>
      </c>
      <c r="L64" s="165">
        <f>SUM($D63:L63)</f>
        <v>-0.31999999999999984</v>
      </c>
      <c r="M64" s="165">
        <v>0</v>
      </c>
      <c r="N64" s="165">
        <v>0</v>
      </c>
      <c r="O64" s="166">
        <v>0</v>
      </c>
    </row>
    <row r="65" spans="2:15" x14ac:dyDescent="0.2">
      <c r="B65" s="87"/>
      <c r="C65" s="88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6"/>
    </row>
    <row r="66" spans="2:15" x14ac:dyDescent="0.2">
      <c r="B66" s="164" t="s">
        <v>105</v>
      </c>
      <c r="C66" s="88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6"/>
    </row>
    <row r="67" spans="2:15" x14ac:dyDescent="0.2">
      <c r="B67" s="87" t="s">
        <v>67</v>
      </c>
      <c r="C67" s="88"/>
      <c r="D67" s="90">
        <v>0.311</v>
      </c>
      <c r="E67" s="90">
        <v>-0.70499999999999996</v>
      </c>
      <c r="F67" s="90">
        <v>0.122</v>
      </c>
      <c r="G67" s="90">
        <v>-0.72399999999999998</v>
      </c>
      <c r="H67" s="90">
        <v>-0.876</v>
      </c>
      <c r="I67" s="90">
        <v>3.5150000000000001</v>
      </c>
      <c r="J67" s="90">
        <v>-1.008</v>
      </c>
      <c r="K67" s="90">
        <v>0.33700000000000002</v>
      </c>
      <c r="L67" s="90">
        <v>-1.292</v>
      </c>
      <c r="M67" s="90"/>
      <c r="N67" s="90"/>
      <c r="O67" s="91"/>
    </row>
    <row r="68" spans="2:15" x14ac:dyDescent="0.2">
      <c r="B68" s="87" t="s">
        <v>68</v>
      </c>
      <c r="C68" s="88"/>
      <c r="D68" s="165">
        <f>SUM($C67:D67)</f>
        <v>0.311</v>
      </c>
      <c r="E68" s="165">
        <f>SUM($D67:E67)</f>
        <v>-0.39399999999999996</v>
      </c>
      <c r="F68" s="165">
        <f>SUM($D67:F67)</f>
        <v>-0.27199999999999996</v>
      </c>
      <c r="G68" s="165">
        <f>SUM($D67:G67)</f>
        <v>-0.996</v>
      </c>
      <c r="H68" s="165">
        <f>SUM($D67:H67)</f>
        <v>-1.8719999999999999</v>
      </c>
      <c r="I68" s="165">
        <f>SUM($D67:I67)</f>
        <v>1.6430000000000002</v>
      </c>
      <c r="J68" s="165">
        <f>SUM($D67:J67)</f>
        <v>0.63500000000000023</v>
      </c>
      <c r="K68" s="165">
        <f>SUM($D67:K67)</f>
        <v>0.9720000000000002</v>
      </c>
      <c r="L68" s="165">
        <f>SUM($D67:L67)</f>
        <v>-0.31999999999999984</v>
      </c>
      <c r="M68" s="165"/>
      <c r="N68" s="165"/>
      <c r="O68" s="166"/>
    </row>
    <row r="69" spans="2:15" ht="13.5" thickBot="1" x14ac:dyDescent="0.25"/>
    <row r="70" spans="2:15" x14ac:dyDescent="0.2">
      <c r="B70" s="172" t="s">
        <v>2</v>
      </c>
      <c r="C70" s="84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6"/>
    </row>
    <row r="71" spans="2:15" x14ac:dyDescent="0.2">
      <c r="B71" s="164" t="s">
        <v>65</v>
      </c>
      <c r="C71" s="88"/>
      <c r="D71" s="109" t="s">
        <v>60</v>
      </c>
      <c r="E71" s="109" t="s">
        <v>6</v>
      </c>
      <c r="F71" s="109" t="s">
        <v>7</v>
      </c>
      <c r="G71" s="109" t="s">
        <v>8</v>
      </c>
      <c r="H71" s="109" t="s">
        <v>9</v>
      </c>
      <c r="I71" s="109" t="s">
        <v>10</v>
      </c>
      <c r="J71" s="109" t="s">
        <v>11</v>
      </c>
      <c r="K71" s="109" t="s">
        <v>12</v>
      </c>
      <c r="L71" s="109" t="s">
        <v>66</v>
      </c>
      <c r="M71" s="109" t="s">
        <v>14</v>
      </c>
      <c r="N71" s="109" t="s">
        <v>15</v>
      </c>
      <c r="O71" s="110" t="s">
        <v>16</v>
      </c>
    </row>
    <row r="72" spans="2:15" x14ac:dyDescent="0.2">
      <c r="B72" s="87" t="s">
        <v>67</v>
      </c>
      <c r="C72" s="88"/>
      <c r="D72" s="90">
        <v>3.0609999999999999</v>
      </c>
      <c r="E72" s="90">
        <v>-11.233000000000001</v>
      </c>
      <c r="F72" s="90">
        <v>-25.213999999999999</v>
      </c>
      <c r="G72" s="90">
        <v>14.17</v>
      </c>
      <c r="H72" s="90">
        <v>-84.685000000000002</v>
      </c>
      <c r="I72" s="90">
        <v>22.888000000000002</v>
      </c>
      <c r="J72" s="90">
        <v>-51.070999999999998</v>
      </c>
      <c r="K72" s="90">
        <v>-11.631</v>
      </c>
      <c r="L72" s="90">
        <v>48.500999999999998</v>
      </c>
      <c r="M72" s="90">
        <v>0</v>
      </c>
      <c r="N72" s="90">
        <v>0</v>
      </c>
      <c r="O72" s="91">
        <v>0</v>
      </c>
    </row>
    <row r="73" spans="2:15" x14ac:dyDescent="0.2">
      <c r="B73" s="87" t="s">
        <v>68</v>
      </c>
      <c r="C73" s="88"/>
      <c r="D73" s="165">
        <f>SUM($C72:D72)</f>
        <v>3.0609999999999999</v>
      </c>
      <c r="E73" s="165">
        <f>SUM($D72:E72)</f>
        <v>-8.1720000000000006</v>
      </c>
      <c r="F73" s="165">
        <f>SUM($D72:F72)</f>
        <v>-33.385999999999996</v>
      </c>
      <c r="G73" s="165">
        <f>SUM($D72:G72)</f>
        <v>-19.215999999999994</v>
      </c>
      <c r="H73" s="165">
        <f>SUM($D72:H72)</f>
        <v>-103.901</v>
      </c>
      <c r="I73" s="165">
        <f>SUM($D72:I72)</f>
        <v>-81.012999999999991</v>
      </c>
      <c r="J73" s="165">
        <f>SUM($D72:J72)</f>
        <v>-132.084</v>
      </c>
      <c r="K73" s="165">
        <f>SUM($D72:K72)</f>
        <v>-143.715</v>
      </c>
      <c r="L73" s="165">
        <f>SUM($D72:L72)</f>
        <v>-95.213999999999999</v>
      </c>
      <c r="M73" s="165">
        <v>0</v>
      </c>
      <c r="N73" s="165">
        <v>0</v>
      </c>
      <c r="O73" s="166">
        <v>0</v>
      </c>
    </row>
    <row r="74" spans="2:15" x14ac:dyDescent="0.2">
      <c r="B74" s="87"/>
      <c r="C74" s="88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6"/>
    </row>
    <row r="75" spans="2:15" x14ac:dyDescent="0.2">
      <c r="B75" s="164" t="s">
        <v>105</v>
      </c>
      <c r="C75" s="88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6"/>
    </row>
    <row r="76" spans="2:15" x14ac:dyDescent="0.2">
      <c r="B76" s="87" t="s">
        <v>67</v>
      </c>
      <c r="C76" s="88"/>
      <c r="D76" s="90">
        <v>2.5299999999999998</v>
      </c>
      <c r="E76" s="90">
        <v>-20.100999999999999</v>
      </c>
      <c r="F76" s="90">
        <v>-2.1040000000000001</v>
      </c>
      <c r="G76" s="90">
        <v>12.176</v>
      </c>
      <c r="H76" s="90">
        <v>-82.956000000000003</v>
      </c>
      <c r="I76" s="90">
        <v>39.329000000000001</v>
      </c>
      <c r="J76" s="90">
        <v>-47.298999999999999</v>
      </c>
      <c r="K76" s="90">
        <v>-3.9849999999999999</v>
      </c>
      <c r="L76" s="90">
        <v>0.44900000000000001</v>
      </c>
      <c r="M76" s="90"/>
      <c r="N76" s="90"/>
      <c r="O76" s="91"/>
    </row>
    <row r="77" spans="2:15" x14ac:dyDescent="0.2">
      <c r="B77" s="87" t="s">
        <v>68</v>
      </c>
      <c r="C77" s="88"/>
      <c r="D77" s="165">
        <f>SUM($C76:D76)</f>
        <v>2.5299999999999998</v>
      </c>
      <c r="E77" s="165">
        <f>SUM($D76:E76)</f>
        <v>-17.570999999999998</v>
      </c>
      <c r="F77" s="165">
        <f>SUM($D76:F76)</f>
        <v>-19.674999999999997</v>
      </c>
      <c r="G77" s="165">
        <f>SUM($D76:G76)</f>
        <v>-7.498999999999997</v>
      </c>
      <c r="H77" s="165">
        <f>SUM($D76:H76)</f>
        <v>-90.454999999999998</v>
      </c>
      <c r="I77" s="165">
        <f>SUM($D76:I76)</f>
        <v>-51.125999999999998</v>
      </c>
      <c r="J77" s="165">
        <f>SUM($D76:J76)</f>
        <v>-98.424999999999997</v>
      </c>
      <c r="K77" s="165">
        <f>SUM($D76:K76)</f>
        <v>-102.41</v>
      </c>
      <c r="L77" s="165">
        <f>SUM($D76:L76)</f>
        <v>-101.961</v>
      </c>
      <c r="M77" s="165"/>
      <c r="N77" s="165"/>
      <c r="O77" s="166"/>
    </row>
    <row r="78" spans="2:15" ht="13.5" thickBot="1" x14ac:dyDescent="0.25"/>
    <row r="79" spans="2:15" x14ac:dyDescent="0.2">
      <c r="B79" s="172" t="s">
        <v>40</v>
      </c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6"/>
    </row>
    <row r="80" spans="2:15" x14ac:dyDescent="0.2">
      <c r="B80" s="164" t="s">
        <v>65</v>
      </c>
      <c r="C80" s="88"/>
      <c r="D80" s="109" t="s">
        <v>60</v>
      </c>
      <c r="E80" s="109" t="s">
        <v>6</v>
      </c>
      <c r="F80" s="109" t="s">
        <v>7</v>
      </c>
      <c r="G80" s="109" t="s">
        <v>8</v>
      </c>
      <c r="H80" s="109" t="s">
        <v>9</v>
      </c>
      <c r="I80" s="109" t="s">
        <v>10</v>
      </c>
      <c r="J80" s="109" t="s">
        <v>11</v>
      </c>
      <c r="K80" s="109" t="s">
        <v>12</v>
      </c>
      <c r="L80" s="109" t="s">
        <v>66</v>
      </c>
      <c r="M80" s="109" t="s">
        <v>14</v>
      </c>
      <c r="N80" s="109" t="s">
        <v>15</v>
      </c>
      <c r="O80" s="110" t="s">
        <v>16</v>
      </c>
    </row>
    <row r="81" spans="2:15" x14ac:dyDescent="0.2">
      <c r="B81" s="87" t="s">
        <v>67</v>
      </c>
      <c r="C81" s="88"/>
      <c r="D81" s="90">
        <v>-0.10299999999999999</v>
      </c>
      <c r="E81" s="90">
        <v>-0.186</v>
      </c>
      <c r="F81" s="90">
        <v>-1.7709999999999999</v>
      </c>
      <c r="G81" s="90">
        <v>-1.53</v>
      </c>
      <c r="H81" s="90">
        <v>-1.7829999999999999</v>
      </c>
      <c r="I81" s="90">
        <v>-1.7929999999999999</v>
      </c>
      <c r="J81" s="90">
        <v>-1.7509999999999999</v>
      </c>
      <c r="K81" s="90">
        <v>-1.972</v>
      </c>
      <c r="L81" s="90">
        <v>-2.0529999999999999</v>
      </c>
      <c r="M81" s="90"/>
      <c r="N81" s="90">
        <v>0</v>
      </c>
      <c r="O81" s="91">
        <v>0</v>
      </c>
    </row>
    <row r="82" spans="2:15" x14ac:dyDescent="0.2">
      <c r="B82" s="87" t="s">
        <v>68</v>
      </c>
      <c r="C82" s="88"/>
      <c r="D82" s="165">
        <f>SUM($C81:D81)</f>
        <v>-0.10299999999999999</v>
      </c>
      <c r="E82" s="165">
        <f>SUM($D81:E81)</f>
        <v>-0.28899999999999998</v>
      </c>
      <c r="F82" s="165">
        <f>SUM($D81:F81)</f>
        <v>-2.06</v>
      </c>
      <c r="G82" s="165">
        <f>SUM($D81:G81)</f>
        <v>-3.59</v>
      </c>
      <c r="H82" s="165">
        <f>SUM($D81:H81)</f>
        <v>-5.3729999999999993</v>
      </c>
      <c r="I82" s="165">
        <f>SUM($D81:I81)</f>
        <v>-7.1659999999999995</v>
      </c>
      <c r="J82" s="165">
        <f>SUM($D81:J81)</f>
        <v>-8.9169999999999998</v>
      </c>
      <c r="K82" s="165">
        <f>SUM($D81:K81)</f>
        <v>-10.888999999999999</v>
      </c>
      <c r="L82" s="165">
        <f>SUM($D81:L81)</f>
        <v>-12.942</v>
      </c>
      <c r="M82" s="165">
        <v>0</v>
      </c>
      <c r="N82" s="165">
        <v>0</v>
      </c>
      <c r="O82" s="166">
        <v>0</v>
      </c>
    </row>
    <row r="83" spans="2:15" x14ac:dyDescent="0.2">
      <c r="B83" s="87"/>
      <c r="C83" s="88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6"/>
    </row>
    <row r="84" spans="2:15" x14ac:dyDescent="0.2">
      <c r="B84" s="164" t="s">
        <v>105</v>
      </c>
      <c r="C84" s="88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6"/>
    </row>
    <row r="85" spans="2:15" x14ac:dyDescent="0.2">
      <c r="B85" s="87" t="s">
        <v>67</v>
      </c>
      <c r="C85" s="88"/>
      <c r="D85" s="90">
        <v>-0.10299999999999999</v>
      </c>
      <c r="E85" s="90">
        <v>-0.186</v>
      </c>
      <c r="F85" s="90">
        <v>-14.026999999999999</v>
      </c>
      <c r="G85" s="90">
        <v>-1.9930000000000001</v>
      </c>
      <c r="H85" s="90">
        <v>-1.925</v>
      </c>
      <c r="I85" s="90">
        <v>-1.925</v>
      </c>
      <c r="J85" s="90">
        <v>-1.143</v>
      </c>
      <c r="K85" s="90">
        <v>-1.9219999999999999</v>
      </c>
      <c r="L85" s="90">
        <v>-1.968</v>
      </c>
      <c r="M85" s="90"/>
      <c r="N85" s="90"/>
      <c r="O85" s="91"/>
    </row>
    <row r="86" spans="2:15" x14ac:dyDescent="0.2">
      <c r="B86" s="87" t="s">
        <v>68</v>
      </c>
      <c r="C86" s="88"/>
      <c r="D86" s="165">
        <f>SUM($C85:D85)</f>
        <v>-0.10299999999999999</v>
      </c>
      <c r="E86" s="165">
        <f>SUM($D85:E85)</f>
        <v>-0.28899999999999998</v>
      </c>
      <c r="F86" s="165">
        <f>SUM($D85:F85)</f>
        <v>-14.315999999999999</v>
      </c>
      <c r="G86" s="165">
        <f>SUM($D85:G85)</f>
        <v>-16.308999999999997</v>
      </c>
      <c r="H86" s="165">
        <f>SUM($D85:H85)</f>
        <v>-18.233999999999998</v>
      </c>
      <c r="I86" s="165">
        <f>SUM($D85:I85)</f>
        <v>-20.158999999999999</v>
      </c>
      <c r="J86" s="165">
        <f>SUM($D85:J85)</f>
        <v>-21.302</v>
      </c>
      <c r="K86" s="165">
        <f>SUM($D85:K85)</f>
        <v>-23.224</v>
      </c>
      <c r="L86" s="165">
        <f>SUM($D85:L85)</f>
        <v>-25.192</v>
      </c>
      <c r="M86" s="165"/>
      <c r="N86" s="165"/>
      <c r="O86" s="166"/>
    </row>
    <row r="87" spans="2:15" ht="13.5" thickBot="1" x14ac:dyDescent="0.25"/>
    <row r="88" spans="2:15" x14ac:dyDescent="0.2">
      <c r="B88" s="172" t="s">
        <v>46</v>
      </c>
      <c r="C88" s="84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6"/>
    </row>
    <row r="89" spans="2:15" x14ac:dyDescent="0.2">
      <c r="B89" s="164" t="s">
        <v>65</v>
      </c>
      <c r="C89" s="88"/>
      <c r="D89" s="109" t="s">
        <v>60</v>
      </c>
      <c r="E89" s="109" t="s">
        <v>6</v>
      </c>
      <c r="F89" s="109" t="s">
        <v>7</v>
      </c>
      <c r="G89" s="109" t="s">
        <v>8</v>
      </c>
      <c r="H89" s="109" t="s">
        <v>9</v>
      </c>
      <c r="I89" s="109" t="s">
        <v>10</v>
      </c>
      <c r="J89" s="109" t="s">
        <v>11</v>
      </c>
      <c r="K89" s="109" t="s">
        <v>12</v>
      </c>
      <c r="L89" s="109" t="s">
        <v>66</v>
      </c>
      <c r="M89" s="109" t="s">
        <v>14</v>
      </c>
      <c r="N89" s="109" t="s">
        <v>15</v>
      </c>
      <c r="O89" s="110" t="s">
        <v>16</v>
      </c>
    </row>
    <row r="90" spans="2:15" x14ac:dyDescent="0.2">
      <c r="B90" s="87" t="s">
        <v>67</v>
      </c>
      <c r="C90" s="88"/>
      <c r="D90" s="90">
        <v>0.36</v>
      </c>
      <c r="E90" s="90">
        <v>-0.43099999999999999</v>
      </c>
      <c r="F90" s="90">
        <v>-1.264</v>
      </c>
      <c r="G90" s="90">
        <v>-1.671</v>
      </c>
      <c r="H90" s="90">
        <v>-4.1120000000000001</v>
      </c>
      <c r="I90" s="90">
        <v>1.014</v>
      </c>
      <c r="J90" s="90">
        <v>-1.41</v>
      </c>
      <c r="K90" s="90">
        <v>-1.9810000000000001</v>
      </c>
      <c r="L90" s="90">
        <v>-0.30599999999999999</v>
      </c>
      <c r="M90" s="90"/>
      <c r="N90" s="90"/>
      <c r="O90" s="91"/>
    </row>
    <row r="91" spans="2:15" x14ac:dyDescent="0.2">
      <c r="B91" s="87" t="s">
        <v>68</v>
      </c>
      <c r="C91" s="88"/>
      <c r="D91" s="165">
        <f>SUM($C90:D90)</f>
        <v>0.36</v>
      </c>
      <c r="E91" s="165">
        <f>SUM($D90:E90)</f>
        <v>-7.1000000000000008E-2</v>
      </c>
      <c r="F91" s="165">
        <f>SUM($D90:F90)</f>
        <v>-1.335</v>
      </c>
      <c r="G91" s="165">
        <f>SUM($D90:G90)</f>
        <v>-3.0060000000000002</v>
      </c>
      <c r="H91" s="165">
        <f>SUM($D90:H90)</f>
        <v>-7.1180000000000003</v>
      </c>
      <c r="I91" s="165">
        <f>SUM($D90:I90)</f>
        <v>-6.1040000000000001</v>
      </c>
      <c r="J91" s="165">
        <f>SUM($D90:J90)</f>
        <v>-7.5140000000000002</v>
      </c>
      <c r="K91" s="165">
        <f>SUM($D90:K90)</f>
        <v>-9.495000000000001</v>
      </c>
      <c r="L91" s="165">
        <f>SUM($D90:L90)</f>
        <v>-9.8010000000000002</v>
      </c>
      <c r="M91" s="165">
        <v>0</v>
      </c>
      <c r="N91" s="165">
        <v>0</v>
      </c>
      <c r="O91" s="166">
        <v>0</v>
      </c>
    </row>
    <row r="92" spans="2:15" x14ac:dyDescent="0.2">
      <c r="B92" s="87"/>
      <c r="C92" s="88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6"/>
    </row>
    <row r="93" spans="2:15" x14ac:dyDescent="0.2">
      <c r="B93" s="164" t="s">
        <v>105</v>
      </c>
      <c r="C93" s="88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6"/>
    </row>
    <row r="94" spans="2:15" x14ac:dyDescent="0.2">
      <c r="B94" s="87" t="s">
        <v>67</v>
      </c>
      <c r="C94" s="88"/>
      <c r="D94" s="90">
        <v>0.129</v>
      </c>
      <c r="E94" s="90">
        <v>-24.236000000000001</v>
      </c>
      <c r="F94" s="90">
        <v>11.356999999999999</v>
      </c>
      <c r="G94" s="90">
        <v>-1.88</v>
      </c>
      <c r="H94" s="90">
        <v>-11.257</v>
      </c>
      <c r="I94" s="90">
        <v>6.45</v>
      </c>
      <c r="J94" s="90">
        <v>-0.56699999999999995</v>
      </c>
      <c r="K94" s="90">
        <v>-15.481</v>
      </c>
      <c r="L94" s="90">
        <v>14.911</v>
      </c>
      <c r="M94" s="90"/>
      <c r="N94" s="90"/>
      <c r="O94" s="91"/>
    </row>
    <row r="95" spans="2:15" x14ac:dyDescent="0.2">
      <c r="B95" s="87" t="s">
        <v>68</v>
      </c>
      <c r="C95" s="88"/>
      <c r="D95" s="165">
        <f>SUM($C94:D94)</f>
        <v>0.129</v>
      </c>
      <c r="E95" s="165">
        <f>SUM($D94:E94)</f>
        <v>-24.106999999999999</v>
      </c>
      <c r="F95" s="165">
        <f>SUM($D94:F94)</f>
        <v>-12.75</v>
      </c>
      <c r="G95" s="165">
        <f>SUM($D94:G94)</f>
        <v>-14.629999999999999</v>
      </c>
      <c r="H95" s="165">
        <f>SUM($D94:H94)</f>
        <v>-25.887</v>
      </c>
      <c r="I95" s="165">
        <f>SUM($D94:I94)</f>
        <v>-19.437000000000001</v>
      </c>
      <c r="J95" s="165">
        <f>SUM($D94:J94)</f>
        <v>-20.004000000000001</v>
      </c>
      <c r="K95" s="165">
        <f>SUM($D94:K94)</f>
        <v>-35.484999999999999</v>
      </c>
      <c r="L95" s="165">
        <f>SUM($D94:L94)</f>
        <v>-20.573999999999998</v>
      </c>
      <c r="M95" s="165"/>
      <c r="N95" s="165"/>
      <c r="O95" s="166"/>
    </row>
    <row r="96" spans="2:15" ht="13.5" thickBot="1" x14ac:dyDescent="0.25"/>
    <row r="97" spans="2:15" x14ac:dyDescent="0.2">
      <c r="B97" s="172" t="s">
        <v>98</v>
      </c>
      <c r="C97" s="84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6"/>
    </row>
    <row r="98" spans="2:15" x14ac:dyDescent="0.2">
      <c r="B98" s="164" t="s">
        <v>65</v>
      </c>
      <c r="C98" s="88"/>
      <c r="D98" s="109" t="s">
        <v>60</v>
      </c>
      <c r="E98" s="109" t="s">
        <v>6</v>
      </c>
      <c r="F98" s="109" t="s">
        <v>7</v>
      </c>
      <c r="G98" s="109" t="s">
        <v>8</v>
      </c>
      <c r="H98" s="109" t="s">
        <v>9</v>
      </c>
      <c r="I98" s="109" t="s">
        <v>10</v>
      </c>
      <c r="J98" s="109" t="s">
        <v>11</v>
      </c>
      <c r="K98" s="109" t="s">
        <v>12</v>
      </c>
      <c r="L98" s="109" t="s">
        <v>66</v>
      </c>
      <c r="M98" s="109" t="s">
        <v>14</v>
      </c>
      <c r="N98" s="109" t="s">
        <v>15</v>
      </c>
      <c r="O98" s="110" t="s">
        <v>16</v>
      </c>
    </row>
    <row r="99" spans="2:15" x14ac:dyDescent="0.2">
      <c r="B99" s="87" t="s">
        <v>67</v>
      </c>
      <c r="C99" s="88"/>
      <c r="D99" s="90"/>
      <c r="E99" s="90"/>
      <c r="F99" s="90"/>
      <c r="G99" s="90"/>
      <c r="H99" s="90"/>
      <c r="I99" s="90"/>
      <c r="J99" s="90">
        <v>-1.573</v>
      </c>
      <c r="K99" s="90">
        <v>-0.99</v>
      </c>
      <c r="L99" s="90">
        <v>0.29699999999999999</v>
      </c>
      <c r="M99" s="90"/>
      <c r="N99" s="90"/>
      <c r="O99" s="91"/>
    </row>
    <row r="100" spans="2:15" x14ac:dyDescent="0.2">
      <c r="B100" s="87" t="s">
        <v>68</v>
      </c>
      <c r="C100" s="88"/>
      <c r="D100" s="165"/>
      <c r="E100" s="165"/>
      <c r="F100" s="165"/>
      <c r="G100" s="165"/>
      <c r="H100" s="165"/>
      <c r="I100" s="165"/>
      <c r="J100" s="165">
        <f>SUM($D99:J99)</f>
        <v>-1.573</v>
      </c>
      <c r="K100" s="165">
        <f>SUM($D99:K99)</f>
        <v>-2.5629999999999997</v>
      </c>
      <c r="L100" s="165">
        <f>SUM($D99:L99)</f>
        <v>-2.2659999999999996</v>
      </c>
      <c r="M100" s="165">
        <v>0</v>
      </c>
      <c r="N100" s="165">
        <v>0</v>
      </c>
      <c r="O100" s="166">
        <v>0</v>
      </c>
    </row>
    <row r="101" spans="2:15" x14ac:dyDescent="0.2">
      <c r="B101" s="87"/>
      <c r="C101" s="88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6"/>
    </row>
    <row r="102" spans="2:15" x14ac:dyDescent="0.2">
      <c r="B102" s="164" t="s">
        <v>105</v>
      </c>
      <c r="C102" s="88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6"/>
    </row>
    <row r="103" spans="2:15" x14ac:dyDescent="0.2">
      <c r="B103" s="87" t="s">
        <v>67</v>
      </c>
      <c r="C103" s="88"/>
      <c r="D103" s="90"/>
      <c r="E103" s="90"/>
      <c r="F103" s="90"/>
      <c r="G103" s="90"/>
      <c r="H103" s="90"/>
      <c r="I103" s="90"/>
      <c r="J103" s="90">
        <v>-1.573</v>
      </c>
      <c r="K103" s="90">
        <v>-0.99</v>
      </c>
      <c r="L103" s="90">
        <v>0.125</v>
      </c>
      <c r="M103" s="90"/>
      <c r="N103" s="90"/>
      <c r="O103" s="91"/>
    </row>
    <row r="104" spans="2:15" x14ac:dyDescent="0.2">
      <c r="B104" s="87" t="s">
        <v>68</v>
      </c>
      <c r="C104" s="88"/>
      <c r="D104" s="165"/>
      <c r="E104" s="165"/>
      <c r="F104" s="165"/>
      <c r="G104" s="165"/>
      <c r="H104" s="165"/>
      <c r="I104" s="165"/>
      <c r="J104" s="165">
        <f>SUM($D103:J103)</f>
        <v>-1.573</v>
      </c>
      <c r="K104" s="165">
        <f>SUM($D103:K103)</f>
        <v>-2.5629999999999997</v>
      </c>
      <c r="L104" s="165">
        <f>SUM($D103:L103)</f>
        <v>-2.4379999999999997</v>
      </c>
      <c r="M104" s="165"/>
      <c r="N104" s="165"/>
      <c r="O104" s="166"/>
    </row>
  </sheetData>
  <phoneticPr fontId="20" type="noConversion"/>
  <pageMargins left="0.28000000000000003" right="0.28999999999999998" top="0.34" bottom="0.2" header="0.21" footer="0.16"/>
  <pageSetup scale="4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workbookViewId="0">
      <selection activeCell="E4" sqref="E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23" sqref="H2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opLeftCell="A3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6" workbookViewId="0">
      <selection activeCell="P32" sqref="P32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103</v>
      </c>
      <c r="I2" s="19"/>
      <c r="J2" s="19"/>
      <c r="K2" s="19"/>
      <c r="L2" s="19"/>
      <c r="M2" s="19"/>
      <c r="N2" s="19"/>
      <c r="O2" s="128" t="s">
        <v>109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IS Input</vt:lpstr>
      <vt:lpstr>volumes Input</vt:lpstr>
      <vt:lpstr>Funds Flow-Cap Employed</vt:lpstr>
      <vt:lpstr>Cash Flow by Team</vt:lpstr>
      <vt:lpstr>EGM Summary</vt:lpstr>
      <vt:lpstr>EGM Summary (2)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Insurance Risk Mkts</vt:lpstr>
      <vt:lpstr>Financial Trading</vt:lpstr>
      <vt:lpstr>PR</vt:lpstr>
      <vt:lpstr>Freight</vt:lpstr>
      <vt:lpstr>Freight volumes</vt:lpstr>
      <vt:lpstr>LNG</vt:lpstr>
      <vt:lpstr>Japan</vt:lpstr>
      <vt:lpstr>Middle East</vt:lpstr>
      <vt:lpstr>'Cash Flow by Team'!Print_Area</vt:lpstr>
      <vt:lpstr>Coal!Print_Area</vt:lpstr>
      <vt:lpstr>'Coal volumes'!Print_Area</vt:lpstr>
      <vt:lpstr>'Crude &amp; Products'!Print_Area</vt:lpstr>
      <vt:lpstr>'Crude &amp; Products volumes '!Print_Area</vt:lpstr>
      <vt:lpstr>'EGM Summary'!Print_Area</vt:lpstr>
      <vt:lpstr>'EGM Summary (2)'!Print_Area</vt:lpstr>
      <vt:lpstr>'Financial Trading'!Print_Area</vt:lpstr>
      <vt:lpstr>Freight!Print_Area</vt:lpstr>
      <vt:lpstr>'Freight volumes'!Print_Area</vt:lpstr>
      <vt:lpstr>'Funds Flow-Cap Employed'!Print_Area</vt:lpstr>
      <vt:lpstr>'Insurance Risk Mkts'!Print_Area</vt:lpstr>
      <vt:lpstr>'IS Input'!Print_Area</vt:lpstr>
      <vt:lpstr>Japan!Print_Area</vt:lpstr>
      <vt:lpstr>LNG!Print_Area</vt:lpstr>
      <vt:lpstr>'volumes Input'!Print_Area</vt:lpstr>
      <vt:lpstr>Weather!Print_Area</vt:lpstr>
      <vt:lpstr>'Weather volumes'!Print_Area</vt:lpstr>
      <vt:lpstr>'volumes Input'!Print_Titles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2001-11-16T22:04:07Z</cp:lastPrinted>
  <dcterms:created xsi:type="dcterms:W3CDTF">2000-08-25T15:53:29Z</dcterms:created>
  <dcterms:modified xsi:type="dcterms:W3CDTF">2023-09-10T15:06:26Z</dcterms:modified>
</cp:coreProperties>
</file>