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75D202-92A9-4AA3-B2BA-E62BD0A65895}" xr6:coauthVersionLast="47" xr6:coauthVersionMax="47" xr10:uidLastSave="{00000000-0000-0000-0000-000000000000}"/>
  <bookViews>
    <workbookView xWindow="-120" yWindow="-120" windowWidth="38640" windowHeight="15720" tabRatio="811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 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7">'Alloc Exp'!$B$2:$P$31</definedName>
    <definedName name="_xlnm.Print_Area" localSheetId="6">'Expense Weekly Change'!$A$2:$J$40</definedName>
    <definedName name="_xlnm.Print_Area" localSheetId="5">Expenses!$B$2:$K$36</definedName>
    <definedName name="_xlnm.Print_Area" localSheetId="3">'GM-WeeklyChnge'!$A$1:$K$43</definedName>
    <definedName name="_xlnm.Print_Area" localSheetId="4">GrossMargin!$B$2:$N$39</definedName>
    <definedName name="_xlnm.Print_Area" localSheetId="8">Headcount!$B$1:$N$19</definedName>
    <definedName name="_xlnm.Print_Area" localSheetId="2">'Mgmt Summary'!$A$1:$V$41</definedName>
    <definedName name="_xlnm.Print_Area" localSheetId="1">'QTD Mgmt Summary'!$A$1:$Q$40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L11" i="4"/>
  <c r="M11" i="4"/>
  <c r="K12" i="4"/>
  <c r="M12" i="4"/>
  <c r="D13" i="4"/>
  <c r="F13" i="4"/>
  <c r="K13" i="4"/>
  <c r="M13" i="4"/>
  <c r="D14" i="4"/>
  <c r="F14" i="4"/>
  <c r="K14" i="4"/>
  <c r="L14" i="4"/>
  <c r="M14" i="4"/>
  <c r="F15" i="4"/>
  <c r="K15" i="4"/>
  <c r="M15" i="4"/>
  <c r="D16" i="4"/>
  <c r="F16" i="4"/>
  <c r="K16" i="4"/>
  <c r="L16" i="4"/>
  <c r="M16" i="4"/>
  <c r="F17" i="4"/>
  <c r="K17" i="4"/>
  <c r="M17" i="4"/>
  <c r="D18" i="4"/>
  <c r="F18" i="4"/>
  <c r="K18" i="4"/>
  <c r="M18" i="4"/>
  <c r="D19" i="4"/>
  <c r="F19" i="4"/>
  <c r="K19" i="4"/>
  <c r="L19" i="4"/>
  <c r="M19" i="4"/>
  <c r="K20" i="4"/>
  <c r="M20" i="4"/>
  <c r="K21" i="4"/>
  <c r="M21" i="4"/>
  <c r="D22" i="4"/>
  <c r="F22" i="4"/>
  <c r="K22" i="4"/>
  <c r="M22" i="4"/>
  <c r="F23" i="4"/>
  <c r="K23" i="4"/>
  <c r="M23" i="4"/>
  <c r="D25" i="4"/>
  <c r="E25" i="4"/>
  <c r="F25" i="4"/>
  <c r="K25" i="4"/>
  <c r="L25" i="4"/>
  <c r="M25" i="4"/>
  <c r="D27" i="4"/>
  <c r="E27" i="4"/>
  <c r="F27" i="4"/>
  <c r="M27" i="4"/>
  <c r="F28" i="4"/>
  <c r="K28" i="4"/>
  <c r="L28" i="4"/>
  <c r="M28" i="4"/>
  <c r="D30" i="4"/>
  <c r="E30" i="4"/>
  <c r="F30" i="4"/>
  <c r="K30" i="4"/>
  <c r="L30" i="4"/>
  <c r="M30" i="4"/>
  <c r="A4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D23" i="19"/>
  <c r="E23" i="19"/>
  <c r="E25" i="19"/>
  <c r="E26" i="19"/>
  <c r="C28" i="19"/>
  <c r="D28" i="19"/>
  <c r="E28" i="19"/>
  <c r="C33" i="19"/>
  <c r="D33" i="19"/>
  <c r="E33" i="19"/>
  <c r="C34" i="19"/>
  <c r="D34" i="19"/>
  <c r="E34" i="19"/>
  <c r="C35" i="19"/>
  <c r="D35" i="19"/>
  <c r="E35" i="19"/>
  <c r="B4" i="3"/>
  <c r="D9" i="3"/>
  <c r="F9" i="3"/>
  <c r="D10" i="3"/>
  <c r="E10" i="3"/>
  <c r="F10" i="3"/>
  <c r="D11" i="3"/>
  <c r="F11" i="3"/>
  <c r="D12" i="3"/>
  <c r="F12" i="3"/>
  <c r="D13" i="3"/>
  <c r="E13" i="3"/>
  <c r="F13" i="3"/>
  <c r="D14" i="3"/>
  <c r="F14" i="3"/>
  <c r="D15" i="3"/>
  <c r="E15" i="3"/>
  <c r="F15" i="3"/>
  <c r="D16" i="3"/>
  <c r="E16" i="3"/>
  <c r="F16" i="3"/>
  <c r="D17" i="3"/>
  <c r="F17" i="3"/>
  <c r="D18" i="3"/>
  <c r="E18" i="3"/>
  <c r="F18" i="3"/>
  <c r="D19" i="3"/>
  <c r="F19" i="3"/>
  <c r="D20" i="3"/>
  <c r="F20" i="3"/>
  <c r="D21" i="3"/>
  <c r="F21" i="3"/>
  <c r="D22" i="3"/>
  <c r="F22" i="3"/>
  <c r="D24" i="3"/>
  <c r="E24" i="3"/>
  <c r="F24" i="3"/>
  <c r="D26" i="3"/>
  <c r="E26" i="3"/>
  <c r="F26" i="3"/>
  <c r="F27" i="3"/>
  <c r="D29" i="3"/>
  <c r="E29" i="3"/>
  <c r="F29" i="3"/>
  <c r="F34" i="3"/>
  <c r="F35" i="3"/>
  <c r="F36" i="3"/>
  <c r="A3" i="9"/>
  <c r="C9" i="9"/>
  <c r="D9" i="9"/>
  <c r="F9" i="9"/>
  <c r="H9" i="9"/>
  <c r="J9" i="9"/>
  <c r="K9" i="9"/>
  <c r="C10" i="9"/>
  <c r="D10" i="9"/>
  <c r="F10" i="9"/>
  <c r="H10" i="9"/>
  <c r="J10" i="9"/>
  <c r="K10" i="9"/>
  <c r="C11" i="9"/>
  <c r="D11" i="9"/>
  <c r="F11" i="9"/>
  <c r="H11" i="9"/>
  <c r="J11" i="9"/>
  <c r="K11" i="9"/>
  <c r="C12" i="9"/>
  <c r="D12" i="9"/>
  <c r="F12" i="9"/>
  <c r="H12" i="9"/>
  <c r="J12" i="9"/>
  <c r="K12" i="9"/>
  <c r="C13" i="9"/>
  <c r="D13" i="9"/>
  <c r="F13" i="9"/>
  <c r="H13" i="9"/>
  <c r="J13" i="9"/>
  <c r="K13" i="9"/>
  <c r="C14" i="9"/>
  <c r="D14" i="9"/>
  <c r="F14" i="9"/>
  <c r="H14" i="9"/>
  <c r="J14" i="9"/>
  <c r="K14" i="9"/>
  <c r="C15" i="9"/>
  <c r="D15" i="9"/>
  <c r="F15" i="9"/>
  <c r="H15" i="9"/>
  <c r="J15" i="9"/>
  <c r="K15" i="9"/>
  <c r="C16" i="9"/>
  <c r="D16" i="9"/>
  <c r="F16" i="9"/>
  <c r="H16" i="9"/>
  <c r="J16" i="9"/>
  <c r="K16" i="9"/>
  <c r="C17" i="9"/>
  <c r="D17" i="9"/>
  <c r="F17" i="9"/>
  <c r="H17" i="9"/>
  <c r="J17" i="9"/>
  <c r="K17" i="9"/>
  <c r="C18" i="9"/>
  <c r="D18" i="9"/>
  <c r="F18" i="9"/>
  <c r="H18" i="9"/>
  <c r="J18" i="9"/>
  <c r="K18" i="9"/>
  <c r="C19" i="9"/>
  <c r="D19" i="9"/>
  <c r="F19" i="9"/>
  <c r="H19" i="9"/>
  <c r="J19" i="9"/>
  <c r="K19" i="9"/>
  <c r="C20" i="9"/>
  <c r="D20" i="9"/>
  <c r="F20" i="9"/>
  <c r="H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F22" i="9"/>
  <c r="H22" i="9"/>
  <c r="J22" i="9"/>
  <c r="K22" i="9"/>
  <c r="C23" i="9"/>
  <c r="D23" i="9"/>
  <c r="F23" i="9"/>
  <c r="H23" i="9"/>
  <c r="J23" i="9"/>
  <c r="K23" i="9"/>
  <c r="C24" i="9"/>
  <c r="D24" i="9"/>
  <c r="F24" i="9"/>
  <c r="H24" i="9"/>
  <c r="J24" i="9"/>
  <c r="K24" i="9"/>
  <c r="C25" i="9"/>
  <c r="D25" i="9"/>
  <c r="F25" i="9"/>
  <c r="H25" i="9"/>
  <c r="J25" i="9"/>
  <c r="K25" i="9"/>
  <c r="C26" i="9"/>
  <c r="D26" i="9"/>
  <c r="F26" i="9"/>
  <c r="H26" i="9"/>
  <c r="J26" i="9"/>
  <c r="K26" i="9"/>
  <c r="C27" i="9"/>
  <c r="D27" i="9"/>
  <c r="F27" i="9"/>
  <c r="H27" i="9"/>
  <c r="J27" i="9"/>
  <c r="K27" i="9"/>
  <c r="C28" i="9"/>
  <c r="D28" i="9"/>
  <c r="F28" i="9"/>
  <c r="H28" i="9"/>
  <c r="J28" i="9"/>
  <c r="K28" i="9"/>
  <c r="C29" i="9"/>
  <c r="D29" i="9"/>
  <c r="F29" i="9"/>
  <c r="H29" i="9"/>
  <c r="J29" i="9"/>
  <c r="K29" i="9"/>
  <c r="C30" i="9"/>
  <c r="D30" i="9"/>
  <c r="F30" i="9"/>
  <c r="H30" i="9"/>
  <c r="J30" i="9"/>
  <c r="K30" i="9"/>
  <c r="C32" i="9"/>
  <c r="D32" i="9"/>
  <c r="E32" i="9"/>
  <c r="F32" i="9"/>
  <c r="G32" i="9"/>
  <c r="H32" i="9"/>
  <c r="I32" i="9"/>
  <c r="J32" i="9"/>
  <c r="K32" i="9"/>
  <c r="C34" i="9"/>
  <c r="D34" i="9"/>
  <c r="F34" i="9"/>
  <c r="H34" i="9"/>
  <c r="J34" i="9"/>
  <c r="K34" i="9"/>
  <c r="C36" i="9"/>
  <c r="D36" i="9"/>
  <c r="E36" i="9"/>
  <c r="F36" i="9"/>
  <c r="G36" i="9"/>
  <c r="H36" i="9"/>
  <c r="I36" i="9"/>
  <c r="J36" i="9"/>
  <c r="K36" i="9"/>
  <c r="B4" i="2"/>
  <c r="I10" i="2"/>
  <c r="L10" i="2"/>
  <c r="N10" i="2"/>
  <c r="I11" i="2"/>
  <c r="L11" i="2"/>
  <c r="M11" i="2"/>
  <c r="N11" i="2"/>
  <c r="I12" i="2"/>
  <c r="L12" i="2"/>
  <c r="N12" i="2"/>
  <c r="I13" i="2"/>
  <c r="L13" i="2"/>
  <c r="N13" i="2"/>
  <c r="I14" i="2"/>
  <c r="L14" i="2"/>
  <c r="M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I21" i="2"/>
  <c r="L21" i="2"/>
  <c r="N21" i="2"/>
  <c r="D22" i="2"/>
  <c r="E22" i="2"/>
  <c r="F22" i="2"/>
  <c r="G22" i="2"/>
  <c r="H22" i="2"/>
  <c r="I22" i="2"/>
  <c r="K22" i="2"/>
  <c r="L22" i="2"/>
  <c r="M22" i="2"/>
  <c r="N22" i="2"/>
  <c r="I23" i="2"/>
  <c r="L23" i="2"/>
  <c r="M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I28" i="2"/>
  <c r="L28" i="2"/>
  <c r="N28" i="2"/>
  <c r="I29" i="2"/>
  <c r="L29" i="2"/>
  <c r="N29" i="2"/>
  <c r="I30" i="2"/>
  <c r="L30" i="2"/>
  <c r="N30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I35" i="2"/>
  <c r="L35" i="2"/>
  <c r="N35" i="2"/>
  <c r="D37" i="2"/>
  <c r="E37" i="2"/>
  <c r="F37" i="2"/>
  <c r="G37" i="2"/>
  <c r="H37" i="2"/>
  <c r="I37" i="2"/>
  <c r="J37" i="2"/>
  <c r="K37" i="2"/>
  <c r="L37" i="2"/>
  <c r="M37" i="2"/>
  <c r="N37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E22" i="1"/>
  <c r="G22" i="1"/>
  <c r="J22" i="1"/>
  <c r="O22" i="1"/>
  <c r="Q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6" i="1"/>
  <c r="D26" i="1"/>
  <c r="E26" i="1"/>
  <c r="G26" i="1"/>
  <c r="H26" i="1"/>
  <c r="I26" i="1"/>
  <c r="J26" i="1"/>
  <c r="K26" i="1"/>
  <c r="L26" i="1"/>
  <c r="M26" i="1"/>
  <c r="N26" i="1"/>
  <c r="O26" i="1"/>
  <c r="Q26" i="1"/>
  <c r="R26" i="1"/>
  <c r="S26" i="1"/>
  <c r="T26" i="1"/>
  <c r="U26" i="1"/>
  <c r="V26" i="1"/>
  <c r="D28" i="1"/>
  <c r="E28" i="1"/>
  <c r="J28" i="1"/>
  <c r="L28" i="1"/>
  <c r="M28" i="1"/>
  <c r="O28" i="1"/>
  <c r="Q28" i="1"/>
  <c r="T28" i="1"/>
  <c r="V28" i="1"/>
  <c r="D29" i="1"/>
  <c r="E29" i="1"/>
  <c r="J29" i="1"/>
  <c r="N29" i="1"/>
  <c r="O29" i="1"/>
  <c r="Q29" i="1"/>
  <c r="T29" i="1"/>
  <c r="U29" i="1"/>
  <c r="V29" i="1"/>
  <c r="C30" i="1"/>
  <c r="D30" i="1"/>
  <c r="E30" i="1"/>
  <c r="G30" i="1"/>
  <c r="H30" i="1"/>
  <c r="I30" i="1"/>
  <c r="J30" i="1"/>
  <c r="M30" i="1"/>
  <c r="O30" i="1"/>
  <c r="Q30" i="1"/>
  <c r="T30" i="1"/>
  <c r="V30" i="1"/>
  <c r="D31" i="1"/>
  <c r="E31" i="1"/>
  <c r="J31" i="1"/>
  <c r="L31" i="1"/>
  <c r="O31" i="1"/>
  <c r="Q31" i="1"/>
  <c r="S31" i="1"/>
  <c r="V31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E35" i="1"/>
  <c r="G35" i="1"/>
  <c r="H35" i="1"/>
  <c r="I35" i="1"/>
  <c r="J35" i="1"/>
  <c r="O35" i="1"/>
  <c r="Q35" i="1"/>
  <c r="T35" i="1"/>
  <c r="V35" i="1"/>
  <c r="C37" i="1"/>
  <c r="D37" i="1"/>
  <c r="E37" i="1"/>
  <c r="G37" i="1"/>
  <c r="H37" i="1"/>
  <c r="I37" i="1"/>
  <c r="J37" i="1"/>
  <c r="K37" i="1"/>
  <c r="L37" i="1"/>
  <c r="M37" i="1"/>
  <c r="N37" i="1"/>
  <c r="O37" i="1"/>
  <c r="Q37" i="1"/>
  <c r="R37" i="1"/>
  <c r="S37" i="1"/>
  <c r="T37" i="1"/>
  <c r="U37" i="1"/>
  <c r="V37" i="1"/>
  <c r="Q4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I22" i="37"/>
  <c r="K22" i="37"/>
  <c r="L22" i="37"/>
  <c r="M22" i="37"/>
  <c r="O22" i="37"/>
  <c r="P22" i="37"/>
  <c r="C23" i="37"/>
  <c r="D23" i="37"/>
  <c r="E23" i="37"/>
  <c r="G23" i="37"/>
  <c r="H23" i="37"/>
  <c r="I23" i="37"/>
  <c r="K23" i="37"/>
  <c r="L23" i="37"/>
  <c r="M23" i="37"/>
  <c r="O23" i="37"/>
  <c r="P23" i="37"/>
  <c r="Q23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E28" i="37"/>
  <c r="I28" i="37"/>
  <c r="K28" i="37"/>
  <c r="L28" i="37"/>
  <c r="M28" i="37"/>
  <c r="P28" i="37"/>
  <c r="Q28" i="37"/>
  <c r="E29" i="37"/>
  <c r="G29" i="37"/>
  <c r="H29" i="37"/>
  <c r="I29" i="37"/>
  <c r="K29" i="37"/>
  <c r="L29" i="37"/>
  <c r="M29" i="37"/>
  <c r="P29" i="37"/>
  <c r="Q29" i="37"/>
  <c r="E30" i="37"/>
  <c r="G30" i="37"/>
  <c r="H30" i="37"/>
  <c r="I30" i="37"/>
  <c r="K30" i="37"/>
  <c r="L30" i="37"/>
  <c r="M30" i="37"/>
  <c r="P30" i="37"/>
  <c r="Q30" i="37"/>
  <c r="C31" i="37"/>
  <c r="D31" i="37"/>
  <c r="E31" i="37"/>
  <c r="G31" i="37"/>
  <c r="H31" i="37"/>
  <c r="I31" i="37"/>
  <c r="K31" i="37"/>
  <c r="L31" i="37"/>
  <c r="M31" i="37"/>
  <c r="P31" i="37"/>
  <c r="Q31" i="37"/>
  <c r="C32" i="37"/>
  <c r="D32" i="37"/>
  <c r="E32" i="37"/>
  <c r="G32" i="37"/>
  <c r="H32" i="37"/>
  <c r="I32" i="37"/>
  <c r="K32" i="37"/>
  <c r="L32" i="37"/>
  <c r="M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C9" i="36"/>
  <c r="D9" i="36"/>
  <c r="E9" i="36"/>
  <c r="G9" i="36"/>
  <c r="H9" i="36"/>
  <c r="I9" i="36"/>
  <c r="J9" i="36"/>
  <c r="M9" i="36"/>
  <c r="N9" i="36"/>
  <c r="O9" i="36"/>
  <c r="Q9" i="36"/>
  <c r="T9" i="36"/>
  <c r="U9" i="36"/>
  <c r="V9" i="36"/>
  <c r="C10" i="36"/>
  <c r="D10" i="36"/>
  <c r="E10" i="36"/>
  <c r="G10" i="36"/>
  <c r="H10" i="36"/>
  <c r="I10" i="36"/>
  <c r="J10" i="36"/>
  <c r="M10" i="36"/>
  <c r="N10" i="36"/>
  <c r="O10" i="36"/>
  <c r="Q10" i="36"/>
  <c r="T10" i="36"/>
  <c r="U10" i="36"/>
  <c r="V10" i="36"/>
  <c r="C11" i="36"/>
  <c r="D11" i="36"/>
  <c r="E11" i="36"/>
  <c r="G11" i="36"/>
  <c r="H11" i="36"/>
  <c r="I11" i="36"/>
  <c r="J11" i="36"/>
  <c r="M11" i="36"/>
  <c r="N11" i="36"/>
  <c r="O11" i="36"/>
  <c r="Q11" i="36"/>
  <c r="T11" i="36"/>
  <c r="U11" i="36"/>
  <c r="V11" i="36"/>
  <c r="C12" i="36"/>
  <c r="D12" i="36"/>
  <c r="E12" i="36"/>
  <c r="G12" i="36"/>
  <c r="H12" i="36"/>
  <c r="I12" i="36"/>
  <c r="J12" i="36"/>
  <c r="M12" i="36"/>
  <c r="N12" i="36"/>
  <c r="O12" i="36"/>
  <c r="Q12" i="36"/>
  <c r="T12" i="36"/>
  <c r="U12" i="36"/>
  <c r="V12" i="36"/>
  <c r="C13" i="36"/>
  <c r="D13" i="36"/>
  <c r="E13" i="36"/>
  <c r="G13" i="36"/>
  <c r="H13" i="36"/>
  <c r="I13" i="36"/>
  <c r="J13" i="36"/>
  <c r="M13" i="36"/>
  <c r="N13" i="36"/>
  <c r="O13" i="36"/>
  <c r="Q13" i="36"/>
  <c r="T13" i="36"/>
  <c r="U13" i="36"/>
  <c r="V13" i="36"/>
  <c r="C14" i="36"/>
  <c r="D14" i="36"/>
  <c r="E14" i="36"/>
  <c r="G14" i="36"/>
  <c r="H14" i="36"/>
  <c r="I14" i="36"/>
  <c r="J14" i="36"/>
  <c r="M14" i="36"/>
  <c r="N14" i="36"/>
  <c r="O14" i="36"/>
  <c r="Q14" i="36"/>
  <c r="T14" i="36"/>
  <c r="U14" i="36"/>
  <c r="V14" i="36"/>
  <c r="C15" i="36"/>
  <c r="D15" i="36"/>
  <c r="E15" i="36"/>
  <c r="G15" i="36"/>
  <c r="H15" i="36"/>
  <c r="I15" i="36"/>
  <c r="J15" i="36"/>
  <c r="M15" i="36"/>
  <c r="N15" i="36"/>
  <c r="O15" i="36"/>
  <c r="Q15" i="36"/>
  <c r="T15" i="36"/>
  <c r="U15" i="36"/>
  <c r="V15" i="36"/>
  <c r="C16" i="36"/>
  <c r="D16" i="36"/>
  <c r="E16" i="36"/>
  <c r="G16" i="36"/>
  <c r="H16" i="36"/>
  <c r="I16" i="36"/>
  <c r="J16" i="36"/>
  <c r="M16" i="36"/>
  <c r="N16" i="36"/>
  <c r="O16" i="36"/>
  <c r="Q16" i="36"/>
  <c r="T16" i="36"/>
  <c r="U16" i="36"/>
  <c r="V16" i="36"/>
  <c r="C17" i="36"/>
  <c r="D17" i="36"/>
  <c r="E17" i="36"/>
  <c r="G17" i="36"/>
  <c r="H17" i="36"/>
  <c r="I17" i="36"/>
  <c r="J17" i="36"/>
  <c r="M17" i="36"/>
  <c r="N17" i="36"/>
  <c r="O17" i="36"/>
  <c r="Q17" i="36"/>
  <c r="T17" i="36"/>
  <c r="U17" i="36"/>
  <c r="V17" i="36"/>
  <c r="C18" i="36"/>
  <c r="D18" i="36"/>
  <c r="E18" i="36"/>
  <c r="G18" i="36"/>
  <c r="H18" i="36"/>
  <c r="I18" i="36"/>
  <c r="J18" i="36"/>
  <c r="M18" i="36"/>
  <c r="N18" i="36"/>
  <c r="O18" i="36"/>
  <c r="Q18" i="36"/>
  <c r="T18" i="36"/>
  <c r="U18" i="36"/>
  <c r="V18" i="36"/>
  <c r="C19" i="36"/>
  <c r="D19" i="36"/>
  <c r="E19" i="36"/>
  <c r="G19" i="36"/>
  <c r="H19" i="36"/>
  <c r="I19" i="36"/>
  <c r="J19" i="36"/>
  <c r="M19" i="36"/>
  <c r="N19" i="36"/>
  <c r="O19" i="36"/>
  <c r="Q19" i="36"/>
  <c r="T19" i="36"/>
  <c r="U19" i="36"/>
  <c r="V19" i="36"/>
  <c r="C20" i="36"/>
  <c r="D20" i="36"/>
  <c r="E20" i="36"/>
  <c r="G20" i="36"/>
  <c r="H20" i="36"/>
  <c r="I20" i="36"/>
  <c r="J20" i="36"/>
  <c r="M20" i="36"/>
  <c r="N20" i="36"/>
  <c r="O20" i="36"/>
  <c r="Q20" i="36"/>
  <c r="T20" i="36"/>
  <c r="U20" i="36"/>
  <c r="V20" i="36"/>
  <c r="C22" i="36"/>
  <c r="D22" i="36"/>
  <c r="E22" i="36"/>
  <c r="G22" i="36"/>
  <c r="H22" i="36"/>
  <c r="I22" i="36"/>
  <c r="J22" i="36"/>
  <c r="M22" i="36"/>
  <c r="N22" i="36"/>
  <c r="O22" i="36"/>
  <c r="Q22" i="36"/>
  <c r="T22" i="36"/>
  <c r="U22" i="36"/>
  <c r="V22" i="36"/>
  <c r="C23" i="36"/>
  <c r="D23" i="36"/>
  <c r="E23" i="36"/>
  <c r="G23" i="36"/>
  <c r="H23" i="36"/>
  <c r="I23" i="36"/>
  <c r="J23" i="36"/>
  <c r="M23" i="36"/>
  <c r="N23" i="36"/>
  <c r="O23" i="36"/>
  <c r="Q23" i="36"/>
  <c r="T23" i="36"/>
  <c r="U23" i="36"/>
  <c r="V23" i="36"/>
  <c r="C24" i="36"/>
  <c r="D24" i="36"/>
  <c r="E24" i="36"/>
  <c r="G24" i="36"/>
  <c r="H24" i="36"/>
  <c r="I24" i="36"/>
  <c r="J24" i="36"/>
  <c r="M24" i="36"/>
  <c r="N24" i="36"/>
  <c r="O24" i="36"/>
  <c r="Q24" i="36"/>
  <c r="T24" i="36"/>
  <c r="U24" i="36"/>
  <c r="V24" i="36"/>
  <c r="C26" i="36"/>
  <c r="D26" i="36"/>
  <c r="E26" i="36"/>
  <c r="G26" i="36"/>
  <c r="H26" i="36"/>
  <c r="I26" i="36"/>
  <c r="J26" i="36"/>
  <c r="K26" i="36"/>
  <c r="L26" i="36"/>
  <c r="M26" i="36"/>
  <c r="N26" i="36"/>
  <c r="O26" i="36"/>
  <c r="Q26" i="36"/>
  <c r="R26" i="36"/>
  <c r="S26" i="36"/>
  <c r="T26" i="36"/>
  <c r="U26" i="36"/>
  <c r="V26" i="36"/>
  <c r="C28" i="36"/>
  <c r="D28" i="36"/>
  <c r="E28" i="36"/>
  <c r="G28" i="36"/>
  <c r="H28" i="36"/>
  <c r="I28" i="36"/>
  <c r="J28" i="36"/>
  <c r="M28" i="36"/>
  <c r="N28" i="36"/>
  <c r="O28" i="36"/>
  <c r="Q28" i="36"/>
  <c r="T28" i="36"/>
  <c r="U28" i="36"/>
  <c r="V28" i="36"/>
  <c r="C29" i="36"/>
  <c r="D29" i="36"/>
  <c r="E29" i="36"/>
  <c r="G29" i="36"/>
  <c r="H29" i="36"/>
  <c r="I29" i="36"/>
  <c r="J29" i="36"/>
  <c r="M29" i="36"/>
  <c r="N29" i="36"/>
  <c r="O29" i="36"/>
  <c r="Q29" i="36"/>
  <c r="T29" i="36"/>
  <c r="U29" i="36"/>
  <c r="V29" i="36"/>
  <c r="C30" i="36"/>
  <c r="D30" i="36"/>
  <c r="E30" i="36"/>
  <c r="G30" i="36"/>
  <c r="H30" i="36"/>
  <c r="I30" i="36"/>
  <c r="J30" i="36"/>
  <c r="M30" i="36"/>
  <c r="N30" i="36"/>
  <c r="O30" i="36"/>
  <c r="Q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V32" i="36"/>
  <c r="C33" i="36"/>
  <c r="D33" i="36"/>
  <c r="E33" i="36"/>
  <c r="G33" i="36"/>
  <c r="H33" i="36"/>
  <c r="I33" i="36"/>
  <c r="J33" i="36"/>
  <c r="K33" i="36"/>
  <c r="L33" i="36"/>
  <c r="M33" i="36"/>
  <c r="N33" i="36"/>
  <c r="O33" i="36"/>
  <c r="Q33" i="36"/>
  <c r="R33" i="36"/>
  <c r="S33" i="36"/>
  <c r="T33" i="36"/>
  <c r="U33" i="36"/>
  <c r="V33" i="36"/>
  <c r="C35" i="36"/>
  <c r="D35" i="36"/>
  <c r="E35" i="36"/>
  <c r="G35" i="36"/>
  <c r="H35" i="36"/>
  <c r="I35" i="36"/>
  <c r="J35" i="36"/>
  <c r="M35" i="36"/>
  <c r="N35" i="36"/>
  <c r="O35" i="36"/>
  <c r="Q35" i="36"/>
  <c r="T35" i="36"/>
  <c r="U35" i="36"/>
  <c r="V35" i="36"/>
  <c r="C37" i="36"/>
  <c r="D37" i="36"/>
  <c r="E37" i="36"/>
  <c r="G37" i="36"/>
  <c r="H37" i="36"/>
  <c r="I37" i="36"/>
  <c r="J37" i="36"/>
  <c r="K37" i="36"/>
  <c r="L37" i="36"/>
  <c r="M37" i="36"/>
  <c r="N37" i="36"/>
  <c r="O37" i="36"/>
  <c r="Q37" i="36"/>
  <c r="R37" i="36"/>
  <c r="S37" i="36"/>
  <c r="T37" i="36"/>
  <c r="U37" i="36"/>
  <c r="V37" i="36"/>
  <c r="G39" i="36"/>
</calcChain>
</file>

<file path=xl/comments1.xml><?xml version="1.0" encoding="utf-8"?>
<comments xmlns="http://schemas.openxmlformats.org/spreadsheetml/2006/main">
  <authors>
    <author>Trey Hardy</author>
  </authors>
  <commentList>
    <comment ref="G39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<sst xmlns="http://schemas.openxmlformats.org/spreadsheetml/2006/main" count="433" uniqueCount="125">
  <si>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</si>
  <si>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</si>
  <si>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</si>
  <si>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</si>
  <si>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</si>
  <si>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</si>
  <si>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</si>
  <si>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</si>
  <si>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</si>
  <si>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</si>
  <si>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</si>
  <si>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</si>
  <si>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</si>
  <si>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</si>
  <si>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</si>
  <si>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</si>
  <si>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</si>
  <si>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</si>
  <si>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</si>
  <si>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</si>
  <si>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</si>
  <si>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</si>
  <si>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</si>
  <si>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</si>
  <si>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</si>
  <si>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</si>
  <si>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</si>
  <si>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</si>
  <si>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</si>
  <si>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</si>
  <si>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</si>
  <si>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</si>
  <si>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</si>
  <si>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</si>
  <si>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</si>
  <si>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</si>
  <si>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</si>
  <si>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</si>
  <si>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</si>
  <si>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</si>
  <si>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</si>
  <si>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</si>
  <si>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</si>
  <si>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</si>
  <si>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</si>
  <si>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</si>
  <si>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</si>
  <si>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</si>
  <si>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</si>
  <si>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</si>
  <si>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</si>
  <si>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</si>
  <si>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</si>
  <si>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</si>
  <si>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</si>
  <si>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</si>
  <si>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</si>
  <si>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</si>
  <si>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</si>
  <si>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</si>
  <si>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</si>
  <si>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</si>
  <si>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</si>
  <si>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</si>
  <si>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</si>
  <si>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</si>
  <si>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</si>
  <si>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</si>
  <si>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</si>
  <si>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</si>
  <si>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</si>
  <si>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</si>
  <si>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</si>
  <si>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</si>
  <si>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</si>
  <si>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</si>
  <si>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</si>
  <si>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</si>
  <si>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</si>
  <si>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</si>
  <si>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</si>
  <si>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</si>
  <si>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</si>
  <si>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</si>
  <si>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</si>
  <si>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</si>
  <si>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</si>
  <si>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</si>
  <si>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</si>
  <si>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</si>
  <si>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</si>
  <si>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</si>
  <si>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</si>
  <si>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</si>
  <si>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</si>
  <si>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</si>
  <si>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</si>
  <si>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</si>
  <si>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</si>
  <si>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</si>
  <si>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</si>
  <si>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</si>
  <si>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</si>
  <si>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</si>
  <si>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</si>
  <si>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</si>
  <si>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</si>
  <si>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</si>
  <si>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</si>
  <si>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</si>
  <si>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</si>
  <si>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</si>
  <si>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</si>
  <si>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</si>
  <si>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</si>
  <si>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</si>
  <si>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</si>
  <si>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</si>
  <si>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</si>
  <si>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</si>
  <si>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</si>
  <si>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</si>
  <si>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</si>
  <si>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</si>
  <si>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Results based on activity through October 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</si>
</sst>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8" xfId="1" applyNumberFormat="1" applyFont="1" applyBorder="1"/>
    <xf numFmtId="175" fontId="17" fillId="0" borderId="0" xfId="1" applyNumberFormat="1" applyFont="1" applyBorder="1"/>
    <xf numFmtId="175" fontId="18" fillId="0" borderId="13" xfId="1" applyNumberFormat="1" applyFont="1" applyBorder="1"/>
    <xf numFmtId="175" fontId="18" fillId="0" borderId="4" xfId="1" applyNumberFormat="1" applyFont="1" applyBorder="1"/>
    <xf numFmtId="175" fontId="18" fillId="0" borderId="0" xfId="1" applyNumberFormat="1" applyFont="1" applyBorder="1"/>
    <xf numFmtId="175" fontId="17" fillId="0" borderId="8" xfId="1" applyNumberFormat="1" applyFont="1" applyFill="1" applyBorder="1"/>
    <xf numFmtId="175" fontId="17" fillId="0" borderId="0" xfId="1" applyNumberFormat="1" applyFont="1" applyFill="1" applyBorder="1"/>
    <xf numFmtId="175" fontId="18" fillId="0" borderId="8" xfId="1" applyNumberFormat="1" applyFont="1" applyBorder="1"/>
    <xf numFmtId="175" fontId="18" fillId="2" borderId="8" xfId="1" applyNumberFormat="1" applyFont="1" applyFill="1" applyBorder="1"/>
    <xf numFmtId="175" fontId="18" fillId="2" borderId="0" xfId="1" applyNumberFormat="1" applyFont="1" applyFill="1" applyBorder="1"/>
    <xf numFmtId="175" fontId="18" fillId="2" borderId="13" xfId="1" applyNumberFormat="1" applyFont="1" applyFill="1" applyBorder="1"/>
    <xf numFmtId="175" fontId="18" fillId="2" borderId="4" xfId="1" applyNumberFormat="1" applyFont="1" applyFill="1" applyBorder="1"/>
    <xf numFmtId="175" fontId="18" fillId="2" borderId="8" xfId="2" applyNumberFormat="1" applyFont="1" applyFill="1" applyBorder="1"/>
    <xf numFmtId="175" fontId="18" fillId="2" borderId="0" xfId="2" applyNumberFormat="1" applyFont="1" applyFill="1" applyBorder="1"/>
    <xf numFmtId="175" fontId="18" fillId="2" borderId="13" xfId="2" applyNumberFormat="1" applyFont="1" applyFill="1" applyBorder="1"/>
    <xf numFmtId="175" fontId="18" fillId="2" borderId="4" xfId="2" applyNumberFormat="1" applyFont="1" applyFill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CADEA6D3-CD0A-98DE-87E6-98ADC6135F0F}"/>
            </a:ext>
          </a:extLst>
        </xdr:cNvPr>
        <xdr:cNvSpPr txBox="1">
          <a:spLocks noChangeArrowheads="1"/>
        </xdr:cNvSpPr>
      </xdr:nvSpPr>
      <xdr:spPr bwMode="auto">
        <a:xfrm>
          <a:off x="773430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3635F049-65DF-512A-014B-642E86FB9630}"/>
            </a:ext>
          </a:extLst>
        </xdr:cNvPr>
        <xdr:cNvSpPr txBox="1">
          <a:spLocks noChangeArrowheads="1"/>
        </xdr:cNvSpPr>
      </xdr:nvSpPr>
      <xdr:spPr bwMode="auto">
        <a:xfrm>
          <a:off x="701992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F3B261F1-4CAA-78A8-FD80-2EE0C1A10F0E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5977F0F0-8B4D-DDAD-E12A-139B628E2217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670E7288-07DF-ED27-2973-8B648380703F}"/>
            </a:ext>
          </a:extLst>
        </xdr:cNvPr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BDB5A782-FDF4-1E56-553F-BC7D8205E2C1}"/>
            </a:ext>
          </a:extLst>
        </xdr:cNvPr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C4388DBC-D28F-FD23-8ED1-805438BA9BE5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F875DD2B-6349-BA32-6DF9-3E4FA4C04B1C}"/>
            </a:ext>
          </a:extLst>
        </xdr:cNvPr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>
          <a:extLst>
            <a:ext uri="{FF2B5EF4-FFF2-40B4-BE49-F238E27FC236}">
              <a16:creationId xmlns:a16="http://schemas.microsoft.com/office/drawing/2014/main" id="{884A3C7A-F074-8D70-4610-E3200F713DE0}"/>
            </a:ext>
          </a:extLst>
        </xdr:cNvPr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0831A7B-BBCB-8BA7-7F6B-59849E726A30}"/>
            </a:ext>
          </a:extLst>
        </xdr:cNvPr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DE5BE4E8-6DD1-0F21-18A9-C88B35D3C8C4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734D0EF9-4EA4-0CDD-8670-EE73189E9457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8D3CA389-CE61-E9BA-9E5C-B13A3AC10CA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D6A7E133-BDFC-84FC-58FC-C6639885C49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FCCB4809-C568-641F-77B5-0F311DE5840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88FA5EB1-E728-2115-9BA7-EDB134F5F57D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>
          <a:extLst>
            <a:ext uri="{FF2B5EF4-FFF2-40B4-BE49-F238E27FC236}">
              <a16:creationId xmlns:a16="http://schemas.microsoft.com/office/drawing/2014/main" id="{F68536A7-97BB-2AAB-480D-5D1F9654D99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>
          <a:extLst>
            <a:ext uri="{FF2B5EF4-FFF2-40B4-BE49-F238E27FC236}">
              <a16:creationId xmlns:a16="http://schemas.microsoft.com/office/drawing/2014/main" id="{15A7112C-9507-305D-9E8F-48A0DD3B8B21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>
          <a:extLst>
            <a:ext uri="{FF2B5EF4-FFF2-40B4-BE49-F238E27FC236}">
              <a16:creationId xmlns:a16="http://schemas.microsoft.com/office/drawing/2014/main" id="{362B374A-6E7B-4341-6510-33067F83477E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>
          <a:extLst>
            <a:ext uri="{FF2B5EF4-FFF2-40B4-BE49-F238E27FC236}">
              <a16:creationId xmlns:a16="http://schemas.microsoft.com/office/drawing/2014/main" id="{D8F507F6-0833-23E5-C8F1-FE7436DEFBF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>
          <a:extLst>
            <a:ext uri="{FF2B5EF4-FFF2-40B4-BE49-F238E27FC236}">
              <a16:creationId xmlns:a16="http://schemas.microsoft.com/office/drawing/2014/main" id="{A738E59E-6688-C425-C0E6-F0E149089CE4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>
          <a:extLst>
            <a:ext uri="{FF2B5EF4-FFF2-40B4-BE49-F238E27FC236}">
              <a16:creationId xmlns:a16="http://schemas.microsoft.com/office/drawing/2014/main" id="{08D0E79B-4513-8B1C-C3EF-AB4914A40915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>
          <a:extLst>
            <a:ext uri="{FF2B5EF4-FFF2-40B4-BE49-F238E27FC236}">
              <a16:creationId xmlns:a16="http://schemas.microsoft.com/office/drawing/2014/main" id="{03BC7B22-DED3-7640-9AF4-5ED55964EA5F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>
          <a:extLst>
            <a:ext uri="{FF2B5EF4-FFF2-40B4-BE49-F238E27FC236}">
              <a16:creationId xmlns:a16="http://schemas.microsoft.com/office/drawing/2014/main" id="{940EAD04-5A89-C29A-D4D9-9AE9BD0D1AF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>
          <a:extLst>
            <a:ext uri="{FF2B5EF4-FFF2-40B4-BE49-F238E27FC236}">
              <a16:creationId xmlns:a16="http://schemas.microsoft.com/office/drawing/2014/main" id="{B90E2BB9-CF48-06E8-09C3-97DC40D3B27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>
          <a:extLst>
            <a:ext uri="{FF2B5EF4-FFF2-40B4-BE49-F238E27FC236}">
              <a16:creationId xmlns:a16="http://schemas.microsoft.com/office/drawing/2014/main" id="{DB423DC9-D3FA-6EA9-82FE-D86E97D5BD3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>
          <a:extLst>
            <a:ext uri="{FF2B5EF4-FFF2-40B4-BE49-F238E27FC236}">
              <a16:creationId xmlns:a16="http://schemas.microsoft.com/office/drawing/2014/main" id="{1C65B3F3-914D-F26F-1F04-A5D3B4CBFFE2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>
          <a:extLst>
            <a:ext uri="{FF2B5EF4-FFF2-40B4-BE49-F238E27FC236}">
              <a16:creationId xmlns:a16="http://schemas.microsoft.com/office/drawing/2014/main" id="{E4421644-27D3-643F-8799-A45F018BD353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300B4E64-CD62-480F-C387-4CDA260FE475}"/>
            </a:ext>
          </a:extLst>
        </xdr:cNvPr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EGM%20Plan%200613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401-Global-10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/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22">
          <cell r="T22">
            <v>0</v>
          </cell>
          <cell r="U22">
            <v>0</v>
          </cell>
        </row>
        <row r="24">
          <cell r="T24">
            <v>0</v>
          </cell>
          <cell r="U24">
            <v>0</v>
          </cell>
        </row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9">
          <cell r="T29">
            <v>0</v>
          </cell>
          <cell r="U29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8">
          <cell r="C18">
            <v>1413</v>
          </cell>
          <cell r="D18">
            <v>1600.847</v>
          </cell>
          <cell r="G18">
            <v>0</v>
          </cell>
          <cell r="I18">
            <v>0</v>
          </cell>
          <cell r="M18">
            <v>809.42399999999998</v>
          </cell>
          <cell r="N18">
            <v>791.423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9">
          <cell r="C9">
            <v>105000</v>
          </cell>
          <cell r="D9">
            <v>50616.978999999999</v>
          </cell>
          <cell r="G9">
            <v>0</v>
          </cell>
          <cell r="I9">
            <v>0</v>
          </cell>
          <cell r="M9">
            <v>20675.415000000001</v>
          </cell>
          <cell r="N9">
            <v>29941.564000000002</v>
          </cell>
          <cell r="Q9">
            <v>-105000</v>
          </cell>
          <cell r="T9">
            <v>0</v>
          </cell>
          <cell r="U9">
            <v>0</v>
          </cell>
        </row>
        <row r="10">
          <cell r="C10">
            <v>48750</v>
          </cell>
          <cell r="D10">
            <v>27197.952000000001</v>
          </cell>
          <cell r="G10">
            <v>0</v>
          </cell>
          <cell r="I10">
            <v>0</v>
          </cell>
          <cell r="M10">
            <v>15344.135</v>
          </cell>
          <cell r="N10">
            <v>11853.816999999999</v>
          </cell>
          <cell r="Q10">
            <v>-48750</v>
          </cell>
          <cell r="T10">
            <v>0</v>
          </cell>
          <cell r="U10">
            <v>0</v>
          </cell>
        </row>
        <row r="11">
          <cell r="C11">
            <v>7500</v>
          </cell>
          <cell r="D11">
            <v>1450.722</v>
          </cell>
          <cell r="G11">
            <v>0</v>
          </cell>
          <cell r="I11">
            <v>0</v>
          </cell>
          <cell r="M11">
            <v>696.41800000000001</v>
          </cell>
          <cell r="N11">
            <v>754.30399999999997</v>
          </cell>
          <cell r="Q11">
            <v>-7500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G12">
            <v>0</v>
          </cell>
          <cell r="I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10595.356</v>
          </cell>
          <cell r="G13">
            <v>0</v>
          </cell>
          <cell r="I13">
            <v>0</v>
          </cell>
          <cell r="M13">
            <v>4799.2539999999999</v>
          </cell>
          <cell r="N13">
            <v>5796.1019999999999</v>
          </cell>
          <cell r="Q13">
            <v>-24247.421999999999</v>
          </cell>
          <cell r="T13">
            <v>0</v>
          </cell>
          <cell r="U13">
            <v>0</v>
          </cell>
        </row>
        <row r="14">
          <cell r="C14">
            <v>28625</v>
          </cell>
          <cell r="D14">
            <v>9349.2520000000004</v>
          </cell>
          <cell r="G14">
            <v>0</v>
          </cell>
          <cell r="I14">
            <v>0</v>
          </cell>
          <cell r="M14">
            <v>6623.8359999999993</v>
          </cell>
          <cell r="N14">
            <v>2725.4160000000002</v>
          </cell>
          <cell r="Q14">
            <v>-28625</v>
          </cell>
          <cell r="T14">
            <v>0</v>
          </cell>
          <cell r="U14">
            <v>0</v>
          </cell>
        </row>
        <row r="15">
          <cell r="C15">
            <v>77500</v>
          </cell>
          <cell r="D15">
            <v>17091.457999999999</v>
          </cell>
          <cell r="G15">
            <v>0</v>
          </cell>
          <cell r="I15">
            <v>0</v>
          </cell>
          <cell r="M15">
            <v>10530.45</v>
          </cell>
          <cell r="N15">
            <v>6561.0079999999998</v>
          </cell>
          <cell r="Q15">
            <v>-77500</v>
          </cell>
          <cell r="T15">
            <v>0</v>
          </cell>
          <cell r="U15">
            <v>0</v>
          </cell>
        </row>
        <row r="16">
          <cell r="C16">
            <v>7516</v>
          </cell>
          <cell r="D16">
            <v>12137.092000000001</v>
          </cell>
          <cell r="G16">
            <v>0</v>
          </cell>
          <cell r="I16">
            <v>0</v>
          </cell>
          <cell r="M16">
            <v>10537.502</v>
          </cell>
          <cell r="N16">
            <v>1599.5900000000001</v>
          </cell>
          <cell r="Q16">
            <v>-7516</v>
          </cell>
          <cell r="T16">
            <v>0</v>
          </cell>
          <cell r="U16">
            <v>0</v>
          </cell>
        </row>
        <row r="17">
          <cell r="C17">
            <v>16000</v>
          </cell>
          <cell r="D17">
            <v>7879.3729999999996</v>
          </cell>
          <cell r="G17">
            <v>0</v>
          </cell>
          <cell r="I17">
            <v>0</v>
          </cell>
          <cell r="M17">
            <v>4290.75</v>
          </cell>
          <cell r="N17">
            <v>3588.6229999999996</v>
          </cell>
          <cell r="Q17">
            <v>-16000</v>
          </cell>
          <cell r="T17">
            <v>0</v>
          </cell>
          <cell r="U17">
            <v>0</v>
          </cell>
        </row>
        <row r="18">
          <cell r="Q18">
            <v>-1413</v>
          </cell>
          <cell r="T18">
            <v>0</v>
          </cell>
          <cell r="U18">
            <v>0</v>
          </cell>
        </row>
        <row r="19">
          <cell r="C19">
            <v>513.99799999999959</v>
          </cell>
          <cell r="D19">
            <v>1717.412</v>
          </cell>
          <cell r="G19">
            <v>0</v>
          </cell>
          <cell r="I19">
            <v>0</v>
          </cell>
          <cell r="M19">
            <v>574.82299999999998</v>
          </cell>
          <cell r="N19">
            <v>1142.5889999999999</v>
          </cell>
          <cell r="Q19">
            <v>-513.99799999999959</v>
          </cell>
          <cell r="T19">
            <v>0</v>
          </cell>
          <cell r="U19">
            <v>0</v>
          </cell>
        </row>
        <row r="20">
          <cell r="C20">
            <v>3750</v>
          </cell>
          <cell r="D20">
            <v>3366.377</v>
          </cell>
          <cell r="G20">
            <v>0</v>
          </cell>
          <cell r="I20">
            <v>0</v>
          </cell>
          <cell r="M20">
            <v>3366.377</v>
          </cell>
          <cell r="N20">
            <v>0</v>
          </cell>
          <cell r="Q20">
            <v>-3750</v>
          </cell>
          <cell r="T20">
            <v>0</v>
          </cell>
          <cell r="U20">
            <v>0</v>
          </cell>
        </row>
        <row r="21">
          <cell r="C21">
            <v>0</v>
          </cell>
          <cell r="D21">
            <v>2316.62</v>
          </cell>
          <cell r="G21">
            <v>0</v>
          </cell>
          <cell r="I21">
            <v>0</v>
          </cell>
          <cell r="M21">
            <v>2103.902</v>
          </cell>
          <cell r="N21">
            <v>212.71799999999999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0</v>
          </cell>
          <cell r="D22">
            <v>3031.4669999999996</v>
          </cell>
          <cell r="G22">
            <v>0</v>
          </cell>
          <cell r="I22">
            <v>0</v>
          </cell>
          <cell r="M22">
            <v>1607.7750000000001</v>
          </cell>
          <cell r="N22">
            <v>1423.692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8602.1039999999994</v>
          </cell>
          <cell r="D23">
            <v>0</v>
          </cell>
          <cell r="M23">
            <v>0</v>
          </cell>
          <cell r="N23">
            <v>0</v>
          </cell>
          <cell r="Q23">
            <v>-8602.1039999999994</v>
          </cell>
          <cell r="T23">
            <v>0</v>
          </cell>
          <cell r="U23">
            <v>0</v>
          </cell>
        </row>
        <row r="27">
          <cell r="C27">
            <v>0</v>
          </cell>
          <cell r="D27">
            <v>84298.57699999999</v>
          </cell>
          <cell r="G27">
            <v>0</v>
          </cell>
          <cell r="I27">
            <v>0</v>
          </cell>
          <cell r="M27">
            <v>84298.57699999999</v>
          </cell>
          <cell r="N27">
            <v>0</v>
          </cell>
          <cell r="Q27">
            <v>0</v>
          </cell>
        </row>
        <row r="28">
          <cell r="C28">
            <v>0</v>
          </cell>
          <cell r="D28">
            <v>-66390.846000000005</v>
          </cell>
          <cell r="G28">
            <v>0</v>
          </cell>
          <cell r="I28">
            <v>0</v>
          </cell>
          <cell r="M28">
            <v>0</v>
          </cell>
          <cell r="N28">
            <v>-66390.846000000005</v>
          </cell>
          <cell r="Q28">
            <v>0</v>
          </cell>
        </row>
        <row r="29">
          <cell r="D29">
            <v>0</v>
          </cell>
        </row>
        <row r="34">
          <cell r="C34">
            <v>0</v>
          </cell>
          <cell r="D34">
            <v>20500</v>
          </cell>
          <cell r="M34">
            <v>20500</v>
          </cell>
          <cell r="N34">
            <v>0</v>
          </cell>
          <cell r="Q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  <sheetName val="MgmtSum-Q401-Global-101201"/>
    </sheetNames>
    <sheetDataSet>
      <sheetData sheetId="0"/>
      <sheetData sheetId="1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0</v>
          </cell>
        </row>
        <row r="23">
          <cell r="G23">
            <v>1010.9559999999999</v>
          </cell>
        </row>
        <row r="24">
          <cell r="G24">
            <v>0</v>
          </cell>
        </row>
        <row r="28"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2"/>
      <sheetData sheetId="3"/>
      <sheetData sheetId="4">
        <row r="10">
          <cell r="D10">
            <v>-4982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1496</v>
          </cell>
          <cell r="E11">
            <v>1520.0070000000001</v>
          </cell>
          <cell r="G11">
            <v>0</v>
          </cell>
          <cell r="K11">
            <v>0</v>
          </cell>
        </row>
        <row r="12">
          <cell r="D12">
            <v>-263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1367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28</v>
          </cell>
          <cell r="E15">
            <v>6.04</v>
          </cell>
          <cell r="G15">
            <v>0</v>
          </cell>
          <cell r="K15">
            <v>0</v>
          </cell>
        </row>
        <row r="16">
          <cell r="D16">
            <v>1370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1289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1578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-9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23</v>
          </cell>
          <cell r="E23">
            <v>-2.2629999999999999</v>
          </cell>
          <cell r="G23">
            <v>0</v>
          </cell>
          <cell r="K23">
            <v>0</v>
          </cell>
        </row>
        <row r="24">
          <cell r="D24">
            <v>271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29">
          <cell r="D29">
            <v>-30000</v>
          </cell>
          <cell r="E29">
            <v>0</v>
          </cell>
          <cell r="G29">
            <v>0</v>
          </cell>
          <cell r="K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K31">
            <v>0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7"/>
  <sheetViews>
    <sheetView topLeftCell="A2" zoomScaleNormal="100" workbookViewId="0">
      <selection activeCell="A23" sqref="A23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100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293">
        <f>+'Mgmt Summary'!C9+'[7]YTD Mgmt Summary'!C9</f>
        <v>150000</v>
      </c>
      <c r="D9" s="294">
        <f>+'Mgmt Summary'!D9+'[7]YTD Mgmt Summary'!D9</f>
        <v>67538.721999999994</v>
      </c>
      <c r="E9" s="295">
        <f>C9-D9</f>
        <v>82461.278000000006</v>
      </c>
      <c r="F9" s="294"/>
      <c r="G9" s="293">
        <f>+'Mgmt Summary'!G9+'[7]YTD Mgmt Summary'!G9</f>
        <v>-7726</v>
      </c>
      <c r="H9" s="294">
        <f>GrossMargin!J10</f>
        <v>0</v>
      </c>
      <c r="I9" s="294">
        <f>+'Mgmt Summary'!I9+'[7]YTD Mgmt Summary'!I9</f>
        <v>0</v>
      </c>
      <c r="J9" s="296">
        <f>SUM(G9:I9)</f>
        <v>-7726</v>
      </c>
      <c r="K9" s="297"/>
      <c r="L9" s="298"/>
      <c r="M9" s="299">
        <f>+'Mgmt Summary'!M9+'[7]YTD Mgmt Summary'!M9</f>
        <v>27578.534</v>
      </c>
      <c r="N9" s="299">
        <f>+'Mgmt Summary'!N9+'[7]YTD Mgmt Summary'!N9</f>
        <v>39960.188000000002</v>
      </c>
      <c r="O9" s="296">
        <f>J9-K9-M9-N9-L9</f>
        <v>-75264.722000000009</v>
      </c>
      <c r="P9" s="37"/>
      <c r="Q9" s="132">
        <f>+'Mgmt Summary'!Q9+'[7]YTD Mgmt Summary'!Q9</f>
        <v>-157726</v>
      </c>
      <c r="R9" s="36"/>
      <c r="S9" s="36"/>
      <c r="T9" s="36">
        <f>+'Mgmt Summary'!T9+'[7]YTD Mgmt Summary'!T9</f>
        <v>0</v>
      </c>
      <c r="U9" s="36">
        <f>+'Mgmt Summary'!U9+'[7]YTD Mgmt Summary'!U9</f>
        <v>0</v>
      </c>
      <c r="V9" s="133">
        <f>ROUND(SUM(Q9:U9),0)</f>
        <v>-157726</v>
      </c>
      <c r="W9" s="32"/>
    </row>
    <row r="10" spans="1:24" ht="13.5" customHeight="1">
      <c r="A10" s="106" t="s">
        <v>117</v>
      </c>
      <c r="B10" s="35"/>
      <c r="C10" s="293">
        <f>+'Mgmt Summary'!C10+'[7]YTD Mgmt Summary'!C10</f>
        <v>65000</v>
      </c>
      <c r="D10" s="294">
        <f>+'Mgmt Summary'!D10+'[7]YTD Mgmt Summary'!D10</f>
        <v>36097.438999999998</v>
      </c>
      <c r="E10" s="295">
        <f>C10-D10</f>
        <v>28902.561000000002</v>
      </c>
      <c r="F10" s="294"/>
      <c r="G10" s="293">
        <f>+'Mgmt Summary'!G10+'[7]YTD Mgmt Summary'!G10</f>
        <v>1514.2460000000001</v>
      </c>
      <c r="H10" s="294">
        <f>GrossMargin!J11</f>
        <v>0</v>
      </c>
      <c r="I10" s="294">
        <f>+'Mgmt Summary'!I10+'[7]YTD Mgmt Summary'!I10</f>
        <v>0</v>
      </c>
      <c r="J10" s="296">
        <f>SUM(G10:I10)</f>
        <v>1514.2460000000001</v>
      </c>
      <c r="K10" s="297"/>
      <c r="L10" s="298"/>
      <c r="M10" s="299">
        <f>+'Mgmt Summary'!M10+'[7]YTD Mgmt Summary'!M10</f>
        <v>20454.668000000001</v>
      </c>
      <c r="N10" s="299">
        <f>+'Mgmt Summary'!N10+'[7]YTD Mgmt Summary'!N10</f>
        <v>15642.770999999999</v>
      </c>
      <c r="O10" s="296">
        <f>J10-K10-M10-N10-L10</f>
        <v>-34583.192999999999</v>
      </c>
      <c r="P10" s="37"/>
      <c r="Q10" s="132">
        <f>+'Mgmt Summary'!Q10+'[7]YTD Mgmt Summary'!Q10</f>
        <v>-63485.754000000001</v>
      </c>
      <c r="R10" s="36"/>
      <c r="S10" s="36"/>
      <c r="T10" s="36">
        <f>+'Mgmt Summary'!T10+'[7]YTD Mgmt Summary'!T10</f>
        <v>0</v>
      </c>
      <c r="U10" s="36">
        <f>+'Mgmt Summary'!U10+'[7]YTD Mgmt Summary'!U10</f>
        <v>0</v>
      </c>
      <c r="V10" s="133">
        <f t="shared" ref="V10:V24" si="0">ROUND(SUM(Q10:U10),0)</f>
        <v>-63486</v>
      </c>
      <c r="W10" s="32"/>
    </row>
    <row r="11" spans="1:24" ht="13.5" customHeight="1">
      <c r="A11" s="106" t="s">
        <v>109</v>
      </c>
      <c r="B11" s="35"/>
      <c r="C11" s="293">
        <f>+'Mgmt Summary'!C11+'[7]YTD Mgmt Summary'!C11</f>
        <v>10000</v>
      </c>
      <c r="D11" s="294">
        <f>+'Mgmt Summary'!D11+'[7]YTD Mgmt Summary'!D11</f>
        <v>2173.9960000000001</v>
      </c>
      <c r="E11" s="295">
        <f>C11-D11</f>
        <v>7826.0039999999999</v>
      </c>
      <c r="F11" s="294"/>
      <c r="G11" s="293">
        <f>+'Mgmt Summary'!G11+'[7]YTD Mgmt Summary'!G11</f>
        <v>-394</v>
      </c>
      <c r="H11" s="294">
        <f>GrossMargin!J12</f>
        <v>0</v>
      </c>
      <c r="I11" s="294">
        <f>+'Mgmt Summary'!I11+'[7]YTD Mgmt Summary'!I11</f>
        <v>0</v>
      </c>
      <c r="J11" s="296">
        <f>SUM(G11:I11)</f>
        <v>-394</v>
      </c>
      <c r="K11" s="297"/>
      <c r="L11" s="298"/>
      <c r="M11" s="299">
        <f>+'Mgmt Summary'!M11+'[7]YTD Mgmt Summary'!M11</f>
        <v>1044.627</v>
      </c>
      <c r="N11" s="299">
        <f>+'Mgmt Summary'!N11+'[7]YTD Mgmt Summary'!N11</f>
        <v>1129.3689999999999</v>
      </c>
      <c r="O11" s="296">
        <f>J11-K11-M11-N11-L11</f>
        <v>-2567.9960000000001</v>
      </c>
      <c r="P11" s="37"/>
      <c r="Q11" s="132">
        <f>+'Mgmt Summary'!Q11+'[7]YTD Mgmt Summary'!Q11</f>
        <v>-10394</v>
      </c>
      <c r="R11" s="36"/>
      <c r="S11" s="36"/>
      <c r="T11" s="36">
        <f>+'Mgmt Summary'!T11+'[7]YTD Mgmt Summary'!T11</f>
        <v>0</v>
      </c>
      <c r="U11" s="36">
        <f>+'Mgmt Summary'!U11+'[7]YTD Mgmt Summary'!U11</f>
        <v>0</v>
      </c>
      <c r="V11" s="133">
        <f t="shared" si="0"/>
        <v>-10394</v>
      </c>
      <c r="W11" s="32"/>
    </row>
    <row r="12" spans="1:24" ht="13.5" hidden="1" customHeight="1">
      <c r="A12" s="106" t="s">
        <v>43</v>
      </c>
      <c r="B12" s="35"/>
      <c r="C12" s="293">
        <f>+'Mgmt Summary'!C12+'[7]YTD Mgmt Summary'!C12</f>
        <v>0</v>
      </c>
      <c r="D12" s="294">
        <f>+'Mgmt Summary'!D12+'[7]YTD Mgmt Summary'!D12</f>
        <v>0</v>
      </c>
      <c r="E12" s="295">
        <f>C12-D12</f>
        <v>0</v>
      </c>
      <c r="F12" s="294"/>
      <c r="G12" s="293">
        <f>+'Mgmt Summary'!G12+'[7]YTD Mgmt Summary'!G12</f>
        <v>0</v>
      </c>
      <c r="H12" s="294">
        <f>GrossMargin!J13</f>
        <v>0</v>
      </c>
      <c r="I12" s="294">
        <f>+'Mgmt Summary'!I12+'[7]YTD Mgmt Summary'!I12</f>
        <v>0</v>
      </c>
      <c r="J12" s="296">
        <f>SUM(G12:I12)</f>
        <v>0</v>
      </c>
      <c r="K12" s="297"/>
      <c r="L12" s="298"/>
      <c r="M12" s="299">
        <f>+'Mgmt Summary'!M12+'[7]YTD Mgmt Summary'!M12</f>
        <v>0</v>
      </c>
      <c r="N12" s="299">
        <f>+'Mgmt Summary'!N12+'[7]YTD Mgmt Summary'!N12</f>
        <v>0</v>
      </c>
      <c r="O12" s="296">
        <f>J12-K12-M12-N12-L12</f>
        <v>0</v>
      </c>
      <c r="P12" s="37"/>
      <c r="Q12" s="132">
        <f>+'Mgmt Summary'!Q12+'[7]YTD Mgmt Summary'!Q12</f>
        <v>0</v>
      </c>
      <c r="R12" s="36"/>
      <c r="S12" s="36"/>
      <c r="T12" s="36">
        <f>+'Mgmt Summary'!T12+'[7]YTD Mgmt Summary'!T12</f>
        <v>0</v>
      </c>
      <c r="U12" s="36">
        <f>+'Mgmt Summary'!U12+'[7]YTD Mgmt Summary'!U12</f>
        <v>0</v>
      </c>
      <c r="V12" s="133">
        <f t="shared" si="0"/>
        <v>0</v>
      </c>
      <c r="W12" s="32"/>
    </row>
    <row r="13" spans="1:24" ht="13.5" customHeight="1">
      <c r="A13" s="106" t="s">
        <v>63</v>
      </c>
      <c r="B13" s="35"/>
      <c r="C13" s="293">
        <f>+'Mgmt Summary'!C13+'[7]YTD Mgmt Summary'!C13</f>
        <v>33000.002</v>
      </c>
      <c r="D13" s="294">
        <f>+'Mgmt Summary'!D13+'[7]YTD Mgmt Summary'!D13</f>
        <v>13932.189</v>
      </c>
      <c r="E13" s="295">
        <f t="shared" ref="E13:E22" si="1">C13-D13</f>
        <v>19067.813000000002</v>
      </c>
      <c r="F13" s="294"/>
      <c r="G13" s="293">
        <f>+'Mgmt Summary'!G13+'[7]YTD Mgmt Summary'!G13</f>
        <v>1431</v>
      </c>
      <c r="H13" s="294">
        <f>GrossMargin!J14</f>
        <v>0</v>
      </c>
      <c r="I13" s="294">
        <f>+'Mgmt Summary'!I13+'[7]YTD Mgmt Summary'!I13</f>
        <v>0</v>
      </c>
      <c r="J13" s="296">
        <f t="shared" ref="J13:J22" si="2">SUM(G13:I13)</f>
        <v>1431</v>
      </c>
      <c r="K13" s="297"/>
      <c r="L13" s="298"/>
      <c r="M13" s="299">
        <f>+'Mgmt Summary'!M13+'[7]YTD Mgmt Summary'!M13</f>
        <v>6659.335</v>
      </c>
      <c r="N13" s="299">
        <f>+'Mgmt Summary'!N13+'[7]YTD Mgmt Summary'!N13</f>
        <v>7572.8539999999994</v>
      </c>
      <c r="O13" s="296">
        <f t="shared" ref="O13:O22" si="3">J13-K13-M13-N13-L13</f>
        <v>-12801.188999999998</v>
      </c>
      <c r="P13" s="37"/>
      <c r="Q13" s="132">
        <f>+'Mgmt Summary'!Q13+'[7]YTD Mgmt Summary'!Q13</f>
        <v>-31569.002</v>
      </c>
      <c r="R13" s="36"/>
      <c r="S13" s="36"/>
      <c r="T13" s="36">
        <f>+'Mgmt Summary'!T13+'[7]YTD Mgmt Summary'!T13</f>
        <v>-300</v>
      </c>
      <c r="U13" s="36">
        <f>+'Mgmt Summary'!U13+'[7]YTD Mgmt Summary'!U13</f>
        <v>0</v>
      </c>
      <c r="V13" s="133">
        <f t="shared" si="0"/>
        <v>-31869</v>
      </c>
      <c r="W13" s="32"/>
    </row>
    <row r="14" spans="1:24" ht="13.5" customHeight="1">
      <c r="A14" s="106" t="s">
        <v>70</v>
      </c>
      <c r="B14" s="35"/>
      <c r="C14" s="293">
        <f>+'Mgmt Summary'!C14+'[7]YTD Mgmt Summary'!C14</f>
        <v>37500</v>
      </c>
      <c r="D14" s="294">
        <f>+'Mgmt Summary'!D14+'[7]YTD Mgmt Summary'!D14</f>
        <v>12819.66</v>
      </c>
      <c r="E14" s="295">
        <f t="shared" si="1"/>
        <v>24680.34</v>
      </c>
      <c r="F14" s="294"/>
      <c r="G14" s="293">
        <f>+'Mgmt Summary'!G14+'[7]YTD Mgmt Summary'!G14</f>
        <v>46.04</v>
      </c>
      <c r="H14" s="294">
        <f>GrossMargin!J15</f>
        <v>0</v>
      </c>
      <c r="I14" s="294">
        <f>+'Mgmt Summary'!I14+'[7]YTD Mgmt Summary'!I14</f>
        <v>0</v>
      </c>
      <c r="J14" s="296">
        <f t="shared" si="2"/>
        <v>46.04</v>
      </c>
      <c r="K14" s="297"/>
      <c r="L14" s="298"/>
      <c r="M14" s="299">
        <f>+'Mgmt Summary'!M14+'[7]YTD Mgmt Summary'!M14</f>
        <v>9140.9019999999982</v>
      </c>
      <c r="N14" s="299">
        <f>+'Mgmt Summary'!N14+'[7]YTD Mgmt Summary'!N14</f>
        <v>3678.7580000000003</v>
      </c>
      <c r="O14" s="296">
        <f t="shared" si="3"/>
        <v>-12773.619999999997</v>
      </c>
      <c r="P14" s="37"/>
      <c r="Q14" s="132">
        <f>+'Mgmt Summary'!Q14+'[7]YTD Mgmt Summary'!Q14</f>
        <v>-37453.96</v>
      </c>
      <c r="R14" s="36"/>
      <c r="S14" s="36"/>
      <c r="T14" s="36">
        <f>+'Mgmt Summary'!T14+'[7]YTD Mgmt Summary'!T14</f>
        <v>0</v>
      </c>
      <c r="U14" s="36">
        <f>+'Mgmt Summary'!U14+'[7]YTD Mgmt Summary'!U14</f>
        <v>0</v>
      </c>
      <c r="V14" s="133">
        <f t="shared" si="0"/>
        <v>-37454</v>
      </c>
      <c r="W14" s="32"/>
    </row>
    <row r="15" spans="1:24" s="64" customFormat="1" ht="13.5" customHeight="1">
      <c r="A15" s="165" t="s">
        <v>49</v>
      </c>
      <c r="B15" s="176"/>
      <c r="C15" s="293">
        <f>+'Mgmt Summary'!C15+'[7]YTD Mgmt Summary'!C15</f>
        <v>107045</v>
      </c>
      <c r="D15" s="294">
        <f>+'Mgmt Summary'!D15+'[7]YTD Mgmt Summary'!D15</f>
        <v>20222.004999999997</v>
      </c>
      <c r="E15" s="295">
        <f t="shared" si="1"/>
        <v>86822.994999999995</v>
      </c>
      <c r="F15" s="294"/>
      <c r="G15" s="293">
        <f>+'Mgmt Summary'!G15+'[7]YTD Mgmt Summary'!G15</f>
        <v>4499</v>
      </c>
      <c r="H15" s="294">
        <f>GrossMargin!J16</f>
        <v>0</v>
      </c>
      <c r="I15" s="294">
        <f>+'Mgmt Summary'!I15+'[7]YTD Mgmt Summary'!I15</f>
        <v>0</v>
      </c>
      <c r="J15" s="296">
        <f t="shared" si="2"/>
        <v>4499</v>
      </c>
      <c r="K15" s="297"/>
      <c r="L15" s="298"/>
      <c r="M15" s="299">
        <f>+'Mgmt Summary'!M15+'[7]YTD Mgmt Summary'!M15</f>
        <v>12379.586000000001</v>
      </c>
      <c r="N15" s="299">
        <f>+'Mgmt Summary'!N15+'[7]YTD Mgmt Summary'!N15</f>
        <v>7842.4189999999999</v>
      </c>
      <c r="O15" s="296">
        <f t="shared" si="3"/>
        <v>-15723.005000000001</v>
      </c>
      <c r="P15" s="37"/>
      <c r="Q15" s="132">
        <f>+'Mgmt Summary'!Q15+'[7]YTD Mgmt Summary'!Q15</f>
        <v>-102546</v>
      </c>
      <c r="R15" s="36"/>
      <c r="S15" s="36"/>
      <c r="T15" s="36">
        <f>+'Mgmt Summary'!T15+'[7]YTD Mgmt Summary'!T15</f>
        <v>0</v>
      </c>
      <c r="U15" s="36">
        <f>+'Mgmt Summary'!U15+'[7]YTD Mgmt Summary'!U15</f>
        <v>0</v>
      </c>
      <c r="V15" s="133">
        <f t="shared" si="0"/>
        <v>-102546</v>
      </c>
      <c r="W15" s="63"/>
      <c r="X15" s="167"/>
    </row>
    <row r="16" spans="1:24" s="64" customFormat="1" ht="13.5" customHeight="1">
      <c r="A16" s="165" t="s">
        <v>106</v>
      </c>
      <c r="B16" s="176"/>
      <c r="C16" s="293">
        <f>+'Mgmt Summary'!C16+'[7]YTD Mgmt Summary'!C16</f>
        <v>20821.5</v>
      </c>
      <c r="D16" s="294">
        <f>+'Mgmt Summary'!D16+'[7]YTD Mgmt Summary'!D16</f>
        <v>20900.302</v>
      </c>
      <c r="E16" s="295">
        <f t="shared" si="1"/>
        <v>-78.80199999999968</v>
      </c>
      <c r="F16" s="294"/>
      <c r="G16" s="293">
        <f>+'Mgmt Summary'!G16+'[7]YTD Mgmt Summary'!G16</f>
        <v>-38.317</v>
      </c>
      <c r="H16" s="294">
        <f>GrossMargin!J17</f>
        <v>0</v>
      </c>
      <c r="I16" s="294">
        <f>+'Mgmt Summary'!I16+'[7]YTD Mgmt Summary'!I16</f>
        <v>0</v>
      </c>
      <c r="J16" s="296">
        <f t="shared" si="2"/>
        <v>-38.317</v>
      </c>
      <c r="K16" s="297"/>
      <c r="L16" s="298"/>
      <c r="M16" s="299">
        <f>+'Mgmt Summary'!M16+'[7]YTD Mgmt Summary'!M16</f>
        <v>17859.678</v>
      </c>
      <c r="N16" s="299">
        <f>+'Mgmt Summary'!N16+'[7]YTD Mgmt Summary'!N16</f>
        <v>3040.6240000000003</v>
      </c>
      <c r="O16" s="296">
        <f t="shared" si="3"/>
        <v>-20938.618999999999</v>
      </c>
      <c r="P16" s="37"/>
      <c r="Q16" s="132">
        <f>+'Mgmt Summary'!Q16+'[7]YTD Mgmt Summary'!Q16</f>
        <v>-20859.816999999999</v>
      </c>
      <c r="R16" s="36"/>
      <c r="S16" s="36"/>
      <c r="T16" s="36">
        <f>+'Mgmt Summary'!T16+'[7]YTD Mgmt Summary'!T16</f>
        <v>0</v>
      </c>
      <c r="U16" s="36">
        <f>+'Mgmt Summary'!U16+'[7]YTD Mgmt Summary'!U16</f>
        <v>0</v>
      </c>
      <c r="V16" s="133">
        <f t="shared" si="0"/>
        <v>-20860</v>
      </c>
      <c r="W16" s="63"/>
      <c r="X16" s="167"/>
    </row>
    <row r="17" spans="1:24" s="64" customFormat="1" ht="13.5" customHeight="1">
      <c r="A17" s="165" t="s">
        <v>86</v>
      </c>
      <c r="B17" s="176"/>
      <c r="C17" s="293">
        <f>+'Mgmt Summary'!C17+'[7]YTD Mgmt Summary'!C17</f>
        <v>60000</v>
      </c>
      <c r="D17" s="294">
        <f>+'Mgmt Summary'!D17+'[7]YTD Mgmt Summary'!D17</f>
        <v>10498.800999999999</v>
      </c>
      <c r="E17" s="295">
        <f t="shared" si="1"/>
        <v>49501.199000000001</v>
      </c>
      <c r="F17" s="294"/>
      <c r="G17" s="293">
        <f>+'Mgmt Summary'!G17+'[7]YTD Mgmt Summary'!G17</f>
        <v>376</v>
      </c>
      <c r="H17" s="294">
        <f>GrossMargin!J18</f>
        <v>0</v>
      </c>
      <c r="I17" s="294">
        <f>+'Mgmt Summary'!I17+'[7]YTD Mgmt Summary'!I17</f>
        <v>0</v>
      </c>
      <c r="J17" s="296">
        <f t="shared" si="2"/>
        <v>376</v>
      </c>
      <c r="K17" s="297"/>
      <c r="L17" s="298"/>
      <c r="M17" s="299">
        <f>+'Mgmt Summary'!M17+'[7]YTD Mgmt Summary'!M17</f>
        <v>7561</v>
      </c>
      <c r="N17" s="299">
        <f>+'Mgmt Summary'!N17+'[7]YTD Mgmt Summary'!N17</f>
        <v>4777.8009999999995</v>
      </c>
      <c r="O17" s="296">
        <f t="shared" si="3"/>
        <v>-11962.800999999999</v>
      </c>
      <c r="P17" s="37"/>
      <c r="Q17" s="132">
        <f>+'Mgmt Summary'!Q17+'[7]YTD Mgmt Summary'!Q17</f>
        <v>-59624</v>
      </c>
      <c r="R17" s="36"/>
      <c r="S17" s="36"/>
      <c r="T17" s="36">
        <f>+'Mgmt Summary'!T17+'[7]YTD Mgmt Summary'!T17</f>
        <v>-1840</v>
      </c>
      <c r="U17" s="36">
        <f>+'Mgmt Summary'!U17+'[7]YTD Mgmt Summary'!U17</f>
        <v>0</v>
      </c>
      <c r="V17" s="133">
        <f t="shared" si="0"/>
        <v>-61464</v>
      </c>
      <c r="W17" s="63"/>
      <c r="X17" s="167"/>
    </row>
    <row r="18" spans="1:24" s="64" customFormat="1" ht="13.5" customHeight="1">
      <c r="A18" s="165" t="s">
        <v>110</v>
      </c>
      <c r="B18" s="176"/>
      <c r="C18" s="293">
        <f>+'[3]YTD Mgmt Summary'!C18</f>
        <v>1413</v>
      </c>
      <c r="D18" s="294">
        <f>+'[3]YTD Mgmt Summary'!D18</f>
        <v>1600.847</v>
      </c>
      <c r="E18" s="295">
        <f t="shared" si="1"/>
        <v>-187.84699999999998</v>
      </c>
      <c r="F18" s="294"/>
      <c r="G18" s="293">
        <f>+'[3]YTD Mgmt Summary'!G18</f>
        <v>0</v>
      </c>
      <c r="H18" s="294">
        <f>GrossMargin!J19</f>
        <v>0</v>
      </c>
      <c r="I18" s="294">
        <f>+'[3]YTD Mgmt Summary'!I18</f>
        <v>0</v>
      </c>
      <c r="J18" s="296">
        <f t="shared" si="2"/>
        <v>0</v>
      </c>
      <c r="K18" s="297"/>
      <c r="L18" s="298"/>
      <c r="M18" s="299">
        <f>+'[3]YTD Mgmt Summary'!M18</f>
        <v>809.42399999999998</v>
      </c>
      <c r="N18" s="299">
        <f>+'[3]YTD Mgmt Summary'!N18</f>
        <v>791.423</v>
      </c>
      <c r="O18" s="296">
        <f t="shared" si="3"/>
        <v>-1600.847</v>
      </c>
      <c r="P18" s="37"/>
      <c r="Q18" s="132">
        <f>+'[7]YTD Mgmt Summary'!Q18</f>
        <v>-1413</v>
      </c>
      <c r="R18" s="36"/>
      <c r="S18" s="36"/>
      <c r="T18" s="36">
        <f>+'[7]YTD Mgmt Summary'!T18</f>
        <v>0</v>
      </c>
      <c r="U18" s="36">
        <f>+'[7]YTD Mgmt Summary'!U18</f>
        <v>0</v>
      </c>
      <c r="V18" s="133">
        <f t="shared" si="0"/>
        <v>-1413</v>
      </c>
      <c r="W18" s="63"/>
      <c r="X18" s="167"/>
    </row>
    <row r="19" spans="1:24" s="64" customFormat="1" ht="13.5" customHeight="1">
      <c r="A19" s="165" t="s">
        <v>88</v>
      </c>
      <c r="B19" s="176"/>
      <c r="C19" s="293">
        <f>+'Mgmt Summary'!C18+'[7]YTD Mgmt Summary'!C19</f>
        <v>513.99799999999959</v>
      </c>
      <c r="D19" s="294">
        <f>+'Mgmt Summary'!D18+'[7]YTD Mgmt Summary'!D19</f>
        <v>1717.412</v>
      </c>
      <c r="E19" s="295">
        <f t="shared" si="1"/>
        <v>-1203.4140000000004</v>
      </c>
      <c r="F19" s="294"/>
      <c r="G19" s="293">
        <f>+'Mgmt Summary'!G18+'[7]YTD Mgmt Summary'!G19</f>
        <v>0</v>
      </c>
      <c r="H19" s="294">
        <f>GrossMargin!J20</f>
        <v>0</v>
      </c>
      <c r="I19" s="294">
        <f>+'Mgmt Summary'!I18+'[7]YTD Mgmt Summary'!I19</f>
        <v>0</v>
      </c>
      <c r="J19" s="296">
        <f t="shared" si="2"/>
        <v>0</v>
      </c>
      <c r="K19" s="297"/>
      <c r="L19" s="298"/>
      <c r="M19" s="299">
        <f>+'Mgmt Summary'!M18+'[7]YTD Mgmt Summary'!M19</f>
        <v>574.82299999999998</v>
      </c>
      <c r="N19" s="299">
        <f>+'Mgmt Summary'!N18+'[7]YTD Mgmt Summary'!N19</f>
        <v>1142.5889999999999</v>
      </c>
      <c r="O19" s="296">
        <f t="shared" si="3"/>
        <v>-1717.4119999999998</v>
      </c>
      <c r="P19" s="37"/>
      <c r="Q19" s="132">
        <f>+'Mgmt Summary'!Q18+'[7]YTD Mgmt Summary'!Q19</f>
        <v>-513.99799999999959</v>
      </c>
      <c r="R19" s="36"/>
      <c r="S19" s="36"/>
      <c r="T19" s="36">
        <f>+'Mgmt Summary'!T18+'[7]YTD Mgmt Summary'!T19</f>
        <v>0</v>
      </c>
      <c r="U19" s="36">
        <f>+'Mgmt Summary'!U18+'[7]YTD Mgmt Summary'!U19</f>
        <v>0</v>
      </c>
      <c r="V19" s="133">
        <f t="shared" si="0"/>
        <v>-514</v>
      </c>
      <c r="W19" s="63"/>
      <c r="X19" s="167"/>
    </row>
    <row r="20" spans="1:24" s="64" customFormat="1" ht="13.5" customHeight="1">
      <c r="A20" s="165" t="s">
        <v>118</v>
      </c>
      <c r="B20" s="176"/>
      <c r="C20" s="293">
        <f>+'Mgmt Summary'!C19+'[7]YTD Mgmt Summary'!C20</f>
        <v>7500</v>
      </c>
      <c r="D20" s="294">
        <f>+'Mgmt Summary'!D19+'[7]YTD Mgmt Summary'!D20</f>
        <v>6732.7550000000001</v>
      </c>
      <c r="E20" s="295">
        <f t="shared" si="1"/>
        <v>767.24499999999989</v>
      </c>
      <c r="F20" s="294"/>
      <c r="G20" s="293">
        <f>+'Mgmt Summary'!G19+'[7]YTD Mgmt Summary'!G20</f>
        <v>0</v>
      </c>
      <c r="H20" s="294">
        <f>GrossMargin!J21</f>
        <v>0</v>
      </c>
      <c r="I20" s="294">
        <f>+'Mgmt Summary'!I19+'[7]YTD Mgmt Summary'!I20</f>
        <v>0</v>
      </c>
      <c r="J20" s="296">
        <f>SUM(G20:I20)</f>
        <v>0</v>
      </c>
      <c r="K20" s="297"/>
      <c r="L20" s="298"/>
      <c r="M20" s="299">
        <f>+'Mgmt Summary'!M19+'[7]YTD Mgmt Summary'!M20</f>
        <v>4908.8630000000003</v>
      </c>
      <c r="N20" s="299">
        <f>+'Mgmt Summary'!N19+'[7]YTD Mgmt Summary'!N20</f>
        <v>1823.8920000000001</v>
      </c>
      <c r="O20" s="296">
        <f>J20-K20-M20-N20-L20</f>
        <v>-6732.7550000000001</v>
      </c>
      <c r="P20" s="37"/>
      <c r="Q20" s="132">
        <f>+'Mgmt Summary'!Q19+'[7]YTD Mgmt Summary'!Q20</f>
        <v>-7500</v>
      </c>
      <c r="R20" s="36"/>
      <c r="S20" s="36"/>
      <c r="T20" s="36">
        <f>+'Mgmt Summary'!T19+'[7]YTD Mgmt Summary'!T20</f>
        <v>0</v>
      </c>
      <c r="U20" s="36">
        <f>+'Mgmt Summary'!U19+'[7]YTD Mgmt Summary'!U20</f>
        <v>0</v>
      </c>
      <c r="V20" s="133">
        <f>ROUND(SUM(Q20:U20),0)</f>
        <v>-7500</v>
      </c>
      <c r="W20" s="63"/>
      <c r="X20" s="167"/>
    </row>
    <row r="21" spans="1:24" s="64" customFormat="1" ht="13.5" customHeight="1">
      <c r="A21" s="165" t="s">
        <v>119</v>
      </c>
      <c r="B21" s="176"/>
      <c r="C21" s="293"/>
      <c r="D21" s="294"/>
      <c r="E21" s="295"/>
      <c r="F21" s="294"/>
      <c r="G21" s="293"/>
      <c r="H21" s="294"/>
      <c r="I21" s="294"/>
      <c r="J21" s="296"/>
      <c r="K21" s="297"/>
      <c r="L21" s="298"/>
      <c r="M21" s="299"/>
      <c r="N21" s="299"/>
      <c r="O21" s="296"/>
      <c r="P21" s="37"/>
      <c r="Q21" s="132"/>
      <c r="R21" s="36"/>
      <c r="S21" s="36"/>
      <c r="T21" s="36"/>
      <c r="U21" s="36"/>
      <c r="V21" s="133"/>
      <c r="W21" s="63"/>
      <c r="X21" s="167"/>
    </row>
    <row r="22" spans="1:24" s="64" customFormat="1" ht="13.5" customHeight="1">
      <c r="A22" s="165" t="s">
        <v>104</v>
      </c>
      <c r="B22" s="176"/>
      <c r="C22" s="293">
        <f>+'Mgmt Summary'!C21+'[7]YTD Mgmt Summary'!C21</f>
        <v>0</v>
      </c>
      <c r="D22" s="294">
        <f>+'Mgmt Summary'!D21+'[7]YTD Mgmt Summary'!D21</f>
        <v>3082.5810000000001</v>
      </c>
      <c r="E22" s="295">
        <f t="shared" si="1"/>
        <v>-3082.5810000000001</v>
      </c>
      <c r="F22" s="294"/>
      <c r="G22" s="293">
        <f>+'Mgmt Summary'!G21+'[7]YTD Mgmt Summary'!G20</f>
        <v>0</v>
      </c>
      <c r="H22" s="294">
        <f>GrossMargin!J21</f>
        <v>0</v>
      </c>
      <c r="I22" s="294">
        <f>+'Mgmt Summary'!I21+'[7]YTD Mgmt Summary'!I20</f>
        <v>0</v>
      </c>
      <c r="J22" s="296">
        <f t="shared" si="2"/>
        <v>0</v>
      </c>
      <c r="K22" s="297"/>
      <c r="L22" s="298"/>
      <c r="M22" s="299">
        <f>+'Mgmt Summary'!M21+'[7]YTD Mgmt Summary'!M21</f>
        <v>2799.7690000000002</v>
      </c>
      <c r="N22" s="299">
        <f>+'Mgmt Summary'!N21+'[7]YTD Mgmt Summary'!N21</f>
        <v>282.81200000000001</v>
      </c>
      <c r="O22" s="296">
        <f t="shared" si="3"/>
        <v>-3082.5810000000001</v>
      </c>
      <c r="P22" s="37"/>
      <c r="Q22" s="132">
        <f>+'Mgmt Summary'!Q21+'[7]YTD Mgmt Summary'!Q21</f>
        <v>0</v>
      </c>
      <c r="R22" s="36"/>
      <c r="S22" s="36"/>
      <c r="T22" s="36">
        <f>+'Mgmt Summary'!T21+'[7]YTD Mgmt Summary'!T21</f>
        <v>0</v>
      </c>
      <c r="U22" s="36">
        <f>+'Mgmt Summary'!U21+'[7]YTD Mgmt Summary'!U21</f>
        <v>0</v>
      </c>
      <c r="V22" s="133">
        <f t="shared" si="0"/>
        <v>0</v>
      </c>
      <c r="W22" s="63"/>
      <c r="X22" s="167"/>
    </row>
    <row r="23" spans="1:24" s="64" customFormat="1" ht="13.5" customHeight="1">
      <c r="A23" s="165" t="s">
        <v>2</v>
      </c>
      <c r="B23" s="176"/>
      <c r="C23" s="293">
        <f>+'Mgmt Summary'!C23+'[7]YTD Mgmt Summary'!C22</f>
        <v>0</v>
      </c>
      <c r="D23" s="294">
        <f>+'Mgmt Summary'!D23+'[7]YTD Mgmt Summary'!D22</f>
        <v>4042.4229999999998</v>
      </c>
      <c r="E23" s="295">
        <f>C23-D23</f>
        <v>-4042.4229999999998</v>
      </c>
      <c r="F23" s="294"/>
      <c r="G23" s="293">
        <f>+'Mgmt Summary'!G23+'[7]YTD Mgmt Summary'!G21</f>
        <v>0</v>
      </c>
      <c r="H23" s="294">
        <f>GrossMargin!J22</f>
        <v>0</v>
      </c>
      <c r="I23" s="294">
        <f>+'Mgmt Summary'!I23+'[7]YTD Mgmt Summary'!I21</f>
        <v>0</v>
      </c>
      <c r="J23" s="296">
        <f>SUM(G23:I23)</f>
        <v>0</v>
      </c>
      <c r="K23" s="297"/>
      <c r="L23" s="298"/>
      <c r="M23" s="299">
        <f>+'Mgmt Summary'!M23+'[7]YTD Mgmt Summary'!M22</f>
        <v>2144.9790000000003</v>
      </c>
      <c r="N23" s="299">
        <f>+'Mgmt Summary'!N23+'[7]YTD Mgmt Summary'!N22</f>
        <v>1897.444</v>
      </c>
      <c r="O23" s="296">
        <f>J23-K23-M23-N23-L23</f>
        <v>-4042.4230000000002</v>
      </c>
      <c r="P23" s="37"/>
      <c r="Q23" s="132">
        <f>+'Mgmt Summary'!Q23+'[7]YTD Mgmt Summary'!Q22</f>
        <v>0</v>
      </c>
      <c r="R23" s="36"/>
      <c r="S23" s="36"/>
      <c r="T23" s="36">
        <f>+'Mgmt Summary'!T23+'[7]YTD Mgmt Summary'!T22</f>
        <v>0</v>
      </c>
      <c r="U23" s="36">
        <f>+'Mgmt Summary'!U23+'[7]YTD Mgmt Summary'!U22</f>
        <v>0</v>
      </c>
      <c r="V23" s="133">
        <f t="shared" si="0"/>
        <v>0</v>
      </c>
      <c r="W23" s="63"/>
      <c r="X23" s="167"/>
    </row>
    <row r="24" spans="1:24" s="64" customFormat="1" ht="13.5" customHeight="1">
      <c r="A24" s="165" t="s">
        <v>116</v>
      </c>
      <c r="B24" s="176"/>
      <c r="C24" s="293">
        <f>+'Mgmt Summary'!C24+'[7]YTD Mgmt Summary'!C23</f>
        <v>10332.795</v>
      </c>
      <c r="D24" s="294">
        <f>+'Mgmt Summary'!D24+'[7]YTD Mgmt Summary'!D23</f>
        <v>0</v>
      </c>
      <c r="E24" s="295">
        <f>C24-D24</f>
        <v>10332.795</v>
      </c>
      <c r="F24" s="294"/>
      <c r="G24" s="293">
        <f>+'Mgmt Summary'!G24+'[7]YTD Mgmt Summary'!G22</f>
        <v>0</v>
      </c>
      <c r="H24" s="294">
        <f>GrossMargin!J23</f>
        <v>0</v>
      </c>
      <c r="I24" s="294">
        <f>+'Mgmt Summary'!I24+'[7]YTD Mgmt Summary'!I22</f>
        <v>0</v>
      </c>
      <c r="J24" s="296">
        <f>SUM(G24:I24)</f>
        <v>0</v>
      </c>
      <c r="K24" s="297"/>
      <c r="L24" s="298"/>
      <c r="M24" s="299">
        <f>+'Mgmt Summary'!M24+'[7]YTD Mgmt Summary'!M23</f>
        <v>0</v>
      </c>
      <c r="N24" s="299">
        <f>+'Mgmt Summary'!N24+'[7]YTD Mgmt Summary'!N23</f>
        <v>0</v>
      </c>
      <c r="O24" s="296">
        <f>J24-K24-M24-N24-L24</f>
        <v>0</v>
      </c>
      <c r="P24" s="37"/>
      <c r="Q24" s="132">
        <f>+'Mgmt Summary'!Q24+'[7]YTD Mgmt Summary'!Q23</f>
        <v>-10332.795</v>
      </c>
      <c r="R24" s="36"/>
      <c r="S24" s="36"/>
      <c r="T24" s="36">
        <f>+'Mgmt Summary'!T24+'[7]YTD Mgmt Summary'!T23</f>
        <v>0</v>
      </c>
      <c r="U24" s="36">
        <f>+'Mgmt Summary'!U24+'[7]YTD Mgmt Summary'!U23</f>
        <v>0</v>
      </c>
      <c r="V24" s="133">
        <f t="shared" si="0"/>
        <v>-10333</v>
      </c>
      <c r="W24" s="63"/>
      <c r="X24" s="167"/>
    </row>
    <row r="25" spans="1:24" ht="3" customHeight="1">
      <c r="A25" s="106"/>
      <c r="B25" s="35"/>
      <c r="C25" s="293"/>
      <c r="D25" s="294"/>
      <c r="E25" s="295"/>
      <c r="F25" s="294"/>
      <c r="G25" s="293"/>
      <c r="H25" s="294"/>
      <c r="I25" s="294"/>
      <c r="J25" s="296"/>
      <c r="K25" s="297"/>
      <c r="L25" s="300"/>
      <c r="M25" s="294"/>
      <c r="N25" s="294"/>
      <c r="O25" s="296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301">
        <f>SUM(C9:C25)</f>
        <v>503126.29499999998</v>
      </c>
      <c r="D26" s="302">
        <f>SUM(D9:D25)</f>
        <v>201359.13200000004</v>
      </c>
      <c r="E26" s="303">
        <f>SUM(E9:E25)</f>
        <v>301767.163</v>
      </c>
      <c r="F26" s="294"/>
      <c r="G26" s="301">
        <f t="shared" ref="G26:O26" si="4">SUM(G9:G25)</f>
        <v>-292.03099999999995</v>
      </c>
      <c r="H26" s="302">
        <f t="shared" si="4"/>
        <v>0</v>
      </c>
      <c r="I26" s="302">
        <f t="shared" si="4"/>
        <v>0</v>
      </c>
      <c r="J26" s="304">
        <f t="shared" si="4"/>
        <v>-292.03099999999995</v>
      </c>
      <c r="K26" s="302">
        <f t="shared" si="4"/>
        <v>0</v>
      </c>
      <c r="L26" s="301">
        <f t="shared" si="4"/>
        <v>0</v>
      </c>
      <c r="M26" s="302">
        <f t="shared" si="4"/>
        <v>113916.18800000001</v>
      </c>
      <c r="N26" s="302">
        <f t="shared" si="4"/>
        <v>89582.943999999989</v>
      </c>
      <c r="O26" s="304">
        <f t="shared" si="4"/>
        <v>-203791.16300000006</v>
      </c>
      <c r="P26" s="37"/>
      <c r="Q26" s="43">
        <f t="shared" ref="Q26:V26" si="5">SUM(Q9:Q25)</f>
        <v>-503418.326</v>
      </c>
      <c r="R26" s="44">
        <f t="shared" si="5"/>
        <v>0</v>
      </c>
      <c r="S26" s="44">
        <f t="shared" si="5"/>
        <v>0</v>
      </c>
      <c r="T26" s="44">
        <f t="shared" si="5"/>
        <v>-2140</v>
      </c>
      <c r="U26" s="44">
        <f t="shared" si="5"/>
        <v>0</v>
      </c>
      <c r="V26" s="45">
        <f t="shared" si="5"/>
        <v>-505559</v>
      </c>
      <c r="W26" s="32"/>
    </row>
    <row r="27" spans="1:24" ht="3" customHeight="1">
      <c r="A27" s="106"/>
      <c r="B27" s="35"/>
      <c r="C27" s="293"/>
      <c r="D27" s="294"/>
      <c r="E27" s="295"/>
      <c r="F27" s="294"/>
      <c r="G27" s="293"/>
      <c r="H27" s="294"/>
      <c r="I27" s="294"/>
      <c r="J27" s="296"/>
      <c r="K27" s="297"/>
      <c r="L27" s="300"/>
      <c r="M27" s="294"/>
      <c r="N27" s="294"/>
      <c r="O27" s="296"/>
      <c r="P27" s="37"/>
      <c r="Q27" s="132"/>
      <c r="R27" s="36"/>
      <c r="S27" s="36"/>
      <c r="T27" s="36"/>
      <c r="U27" s="36"/>
      <c r="V27" s="133"/>
      <c r="W27" s="32"/>
    </row>
    <row r="28" spans="1:24" s="64" customFormat="1" ht="13.5" customHeight="1">
      <c r="A28" s="165" t="s">
        <v>115</v>
      </c>
      <c r="B28" s="176"/>
      <c r="C28" s="293">
        <f>+'Mgmt Summary'!C28+'[7]YTD Mgmt Summary'!$C$27</f>
        <v>0</v>
      </c>
      <c r="D28" s="294">
        <f>+'Mgmt Summary'!D28+'[7]YTD Mgmt Summary'!D27</f>
        <v>126940.56199999999</v>
      </c>
      <c r="E28" s="295">
        <f>C28-D28</f>
        <v>-126940.56199999999</v>
      </c>
      <c r="F28" s="294"/>
      <c r="G28" s="293">
        <f>+'Mgmt Summary'!G28+'[7]YTD Mgmt Summary'!G26</f>
        <v>0</v>
      </c>
      <c r="H28" s="294">
        <f>GrossMargin!J30</f>
        <v>0</v>
      </c>
      <c r="I28" s="294">
        <f>+'Mgmt Summary'!I28+'[7]YTD Mgmt Summary'!I26</f>
        <v>0</v>
      </c>
      <c r="J28" s="296">
        <f>SUM(G28:I28)</f>
        <v>0</v>
      </c>
      <c r="K28" s="297"/>
      <c r="L28" s="298"/>
      <c r="M28" s="299">
        <f>+'Mgmt Summary'!M28+'[7]YTD Mgmt Summary'!M27</f>
        <v>126940.56199999999</v>
      </c>
      <c r="N28" s="299">
        <f>+'Mgmt Summary'!N28+'[7]YTD Mgmt Summary'!N27</f>
        <v>0</v>
      </c>
      <c r="O28" s="296">
        <f>J28-K28-M28-N28-L28</f>
        <v>-126940.56199999999</v>
      </c>
      <c r="P28" s="37"/>
      <c r="Q28" s="132">
        <f>+'Mgmt Summary'!Q28+'[7]YTD Mgmt Summary'!Q27</f>
        <v>0</v>
      </c>
      <c r="R28" s="36"/>
      <c r="S28" s="36"/>
      <c r="T28" s="36">
        <f>+'Mgmt Summary'!T28+'[2]YTD Mgmt Summary'!T22</f>
        <v>0</v>
      </c>
      <c r="U28" s="36">
        <f>+'Mgmt Summary'!U28+'[2]YTD Mgmt Summary'!U22</f>
        <v>0</v>
      </c>
      <c r="V28" s="133">
        <f>ROUND(SUM(Q28:U28),0)</f>
        <v>0</v>
      </c>
      <c r="W28" s="63"/>
      <c r="X28" s="167"/>
    </row>
    <row r="29" spans="1:24" s="64" customFormat="1" ht="13.5" customHeight="1">
      <c r="A29" s="165" t="s">
        <v>90</v>
      </c>
      <c r="B29" s="176"/>
      <c r="C29" s="293">
        <f>+'Mgmt Summary'!C29+'[7]YTD Mgmt Summary'!C28</f>
        <v>0</v>
      </c>
      <c r="D29" s="294">
        <f>+'Mgmt Summary'!D29+'[7]YTD Mgmt Summary'!D28</f>
        <v>-89582.944000000003</v>
      </c>
      <c r="E29" s="295">
        <f>C29-D29</f>
        <v>89582.944000000003</v>
      </c>
      <c r="F29" s="294"/>
      <c r="G29" s="293">
        <f>+'Mgmt Summary'!G29+'[7]YTD Mgmt Summary'!G27</f>
        <v>0</v>
      </c>
      <c r="H29" s="294">
        <f>GrossMargin!J31</f>
        <v>0</v>
      </c>
      <c r="I29" s="294">
        <f>+'Mgmt Summary'!I29+'[7]YTD Mgmt Summary'!I27</f>
        <v>0</v>
      </c>
      <c r="J29" s="296">
        <f>SUM(G29:I29)</f>
        <v>0</v>
      </c>
      <c r="K29" s="297"/>
      <c r="L29" s="298"/>
      <c r="M29" s="299">
        <f>+'Mgmt Summary'!M29+'[7]YTD Mgmt Summary'!M28</f>
        <v>0</v>
      </c>
      <c r="N29" s="299">
        <f>+'Mgmt Summary'!N29+'[7]YTD Mgmt Summary'!N28</f>
        <v>-89582.944000000003</v>
      </c>
      <c r="O29" s="296">
        <f>J29-K29-M29-N29-L29</f>
        <v>89582.944000000003</v>
      </c>
      <c r="P29" s="37"/>
      <c r="Q29" s="132">
        <f>+'Mgmt Summary'!Q29+'[7]YTD Mgmt Summary'!Q28</f>
        <v>0</v>
      </c>
      <c r="R29" s="36"/>
      <c r="S29" s="36"/>
      <c r="T29" s="36">
        <f>+'Mgmt Summary'!T29+'[2]YTD Mgmt Summary'!T23</f>
        <v>0</v>
      </c>
      <c r="U29" s="36">
        <f>+'Mgmt Summary'!U29+'[2]YTD Mgmt Summary'!U23</f>
        <v>0</v>
      </c>
      <c r="V29" s="133">
        <f>ROUND(SUM(Q29:U29),0)</f>
        <v>0</v>
      </c>
      <c r="W29" s="63"/>
      <c r="X29" s="167"/>
    </row>
    <row r="30" spans="1:24" s="64" customFormat="1" ht="13.5" hidden="1" customHeight="1">
      <c r="A30" s="165" t="s">
        <v>10</v>
      </c>
      <c r="B30" s="176"/>
      <c r="C30" s="293">
        <f>+'Mgmt Summary'!C30+'[7]YTD Mgmt Summary'!C28</f>
        <v>0</v>
      </c>
      <c r="D30" s="294">
        <f>+'Mgmt Summary'!D30+'[7]YTD Mgmt Summary'!D29</f>
        <v>0</v>
      </c>
      <c r="E30" s="295">
        <f>C30-D30</f>
        <v>0</v>
      </c>
      <c r="F30" s="294"/>
      <c r="G30" s="293">
        <f>+'Mgmt Summary'!G30+'[7]YTD Mgmt Summary'!G28</f>
        <v>0</v>
      </c>
      <c r="H30" s="294">
        <f>GrossMargin!J32</f>
        <v>0</v>
      </c>
      <c r="I30" s="294">
        <f>+'Mgmt Summary'!I30+'[7]YTD Mgmt Summary'!I28</f>
        <v>0</v>
      </c>
      <c r="J30" s="296">
        <f>SUM(G30:I30)</f>
        <v>0</v>
      </c>
      <c r="K30" s="297"/>
      <c r="L30" s="298"/>
      <c r="M30" s="299">
        <f>+'Mgmt Summary'!M30+'[7]YTD Mgmt Summary'!M28</f>
        <v>0</v>
      </c>
      <c r="N30" s="299">
        <f>+'Mgmt Summary'!N30+'[7]YTD Mgmt Summary'!N28</f>
        <v>-66390.846000000005</v>
      </c>
      <c r="O30" s="296">
        <f>J30-K30-M30-N30-L30</f>
        <v>66390.846000000005</v>
      </c>
      <c r="P30" s="37"/>
      <c r="Q30" s="132">
        <f>+'Mgmt Summary'!Q30+'[7]YTD Mgmt Summary'!Q28</f>
        <v>0</v>
      </c>
      <c r="R30" s="36"/>
      <c r="S30" s="36"/>
      <c r="T30" s="36">
        <f>+'Mgmt Summary'!T30+'[2]YTD Mgmt Summary'!T24</f>
        <v>0</v>
      </c>
      <c r="U30" s="36">
        <f>+'Mgmt Summary'!U30+'[2]YTD Mgmt Summary'!U24</f>
        <v>0</v>
      </c>
      <c r="V30" s="133">
        <f>ROUND(SUM(Q30:U30),0)</f>
        <v>0</v>
      </c>
      <c r="W30" s="63"/>
      <c r="X30" s="167"/>
    </row>
    <row r="31" spans="1:24" ht="13.5" hidden="1" customHeight="1">
      <c r="A31" s="106" t="s">
        <v>34</v>
      </c>
      <c r="B31" s="35"/>
      <c r="C31" s="293">
        <f>+'Mgmt Summary'!C31+'[2]YTD Mgmt Summary'!C27</f>
        <v>0</v>
      </c>
      <c r="D31" s="294">
        <f>+'Mgmt Summary'!D31+'[2]YTD Mgmt Summary'!D27</f>
        <v>0</v>
      </c>
      <c r="E31" s="295">
        <f>C31-D31</f>
        <v>0</v>
      </c>
      <c r="F31" s="294"/>
      <c r="G31" s="293">
        <f>+'Mgmt Summary'!G31+'[2]YTD Mgmt Summary'!G27</f>
        <v>0</v>
      </c>
      <c r="H31" s="294">
        <f>GrossMargin!J32</f>
        <v>0</v>
      </c>
      <c r="I31" s="294">
        <f>+'Mgmt Summary'!I31+'[2]YTD Mgmt Summary'!I27</f>
        <v>0</v>
      </c>
      <c r="J31" s="296">
        <f>SUM(G31:I31)</f>
        <v>0</v>
      </c>
      <c r="K31" s="297"/>
      <c r="L31" s="298">
        <f>+'Mgmt Summary'!L31+'[2]YTD Mgmt Summary'!L27</f>
        <v>0</v>
      </c>
      <c r="M31" s="299">
        <f>+'Mgmt Summary'!M31+'[2]YTD Mgmt Summary'!M27</f>
        <v>0</v>
      </c>
      <c r="N31" s="299">
        <f>+'Mgmt Summary'!N31+'[2]YTD Mgmt Summary'!N27</f>
        <v>0</v>
      </c>
      <c r="O31" s="296">
        <f>J31-K31-M31-N31-L31</f>
        <v>0</v>
      </c>
      <c r="P31" s="37"/>
      <c r="Q31" s="132">
        <f>+'Mgmt Summary'!Q31+'[2]YTD Mgmt Summary'!Q27</f>
        <v>0</v>
      </c>
      <c r="R31" s="36"/>
      <c r="S31" s="36">
        <f>+'Mgmt Summary'!S31+'[2]YTD Mgmt Summary'!S33</f>
        <v>0</v>
      </c>
      <c r="T31" s="36">
        <f>+'Mgmt Summary'!T31+'[2]YTD Mgmt Summary'!T33</f>
        <v>0</v>
      </c>
      <c r="U31" s="36">
        <f>+'Mgmt Summary'!U31+'[2]YTD Mgmt Summary'!U33</f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293"/>
      <c r="D32" s="294"/>
      <c r="E32" s="295"/>
      <c r="F32" s="294"/>
      <c r="G32" s="293"/>
      <c r="H32" s="294"/>
      <c r="I32" s="294"/>
      <c r="J32" s="296"/>
      <c r="K32" s="297"/>
      <c r="L32" s="300"/>
      <c r="M32" s="294"/>
      <c r="N32" s="294"/>
      <c r="O32" s="296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301">
        <f>SUM(C26:C32)</f>
        <v>503126.29499999998</v>
      </c>
      <c r="D33" s="302">
        <f>SUM(D26:D32)</f>
        <v>238716.75</v>
      </c>
      <c r="E33" s="303">
        <f>SUM(E26:E32)</f>
        <v>264409.54500000004</v>
      </c>
      <c r="F33" s="294"/>
      <c r="G33" s="301">
        <f t="shared" ref="G33:N33" si="6">SUM(G26:G32)</f>
        <v>-292.03099999999995</v>
      </c>
      <c r="H33" s="302">
        <f t="shared" si="6"/>
        <v>0</v>
      </c>
      <c r="I33" s="302">
        <f t="shared" si="6"/>
        <v>0</v>
      </c>
      <c r="J33" s="304">
        <f t="shared" si="6"/>
        <v>-292.03099999999995</v>
      </c>
      <c r="K33" s="302">
        <f t="shared" si="6"/>
        <v>0</v>
      </c>
      <c r="L33" s="301">
        <f t="shared" si="6"/>
        <v>0</v>
      </c>
      <c r="M33" s="302">
        <f t="shared" si="6"/>
        <v>240856.75</v>
      </c>
      <c r="N33" s="302">
        <f t="shared" si="6"/>
        <v>-66390.84600000002</v>
      </c>
      <c r="O33" s="304">
        <f>J33-K33-M33-N33-L33</f>
        <v>-174757.93499999997</v>
      </c>
      <c r="P33" s="37"/>
      <c r="Q33" s="43">
        <f t="shared" ref="Q33:V33" si="7">SUM(Q26:Q32)</f>
        <v>-503418.326</v>
      </c>
      <c r="R33" s="44">
        <f t="shared" si="7"/>
        <v>0</v>
      </c>
      <c r="S33" s="44">
        <f t="shared" si="7"/>
        <v>0</v>
      </c>
      <c r="T33" s="44">
        <f t="shared" si="7"/>
        <v>-2140</v>
      </c>
      <c r="U33" s="44">
        <f t="shared" si="7"/>
        <v>0</v>
      </c>
      <c r="V33" s="45">
        <f t="shared" si="7"/>
        <v>-505559</v>
      </c>
      <c r="W33" s="32"/>
    </row>
    <row r="34" spans="1:23" ht="3" customHeight="1">
      <c r="A34" s="106"/>
      <c r="B34" s="35"/>
      <c r="C34" s="293"/>
      <c r="D34" s="294"/>
      <c r="E34" s="295"/>
      <c r="F34" s="294"/>
      <c r="G34" s="293" t="s">
        <v>61</v>
      </c>
      <c r="H34" s="294"/>
      <c r="I34" s="294"/>
      <c r="J34" s="296"/>
      <c r="K34" s="297"/>
      <c r="L34" s="300"/>
      <c r="M34" s="294" t="s">
        <v>62</v>
      </c>
      <c r="N34" s="294"/>
      <c r="O34" s="296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293">
        <f>+'Mgmt Summary'!C35+'[7]YTD Mgmt Summary'!C34</f>
        <v>0</v>
      </c>
      <c r="D35" s="294">
        <f>+'Mgmt Summary'!D35+'[7]YTD Mgmt Summary'!D34</f>
        <v>26900</v>
      </c>
      <c r="E35" s="295">
        <f>C35-D35</f>
        <v>-26900</v>
      </c>
      <c r="F35" s="294"/>
      <c r="G35" s="293">
        <f>+'Mgmt Summary'!G35+'[7]YTD Mgmt Summary'!G33</f>
        <v>0</v>
      </c>
      <c r="H35" s="294">
        <f>GrossMargin!J37</f>
        <v>0</v>
      </c>
      <c r="I35" s="294">
        <f>+'Mgmt Summary'!I35+'[7]YTD Mgmt Summary'!I33</f>
        <v>0</v>
      </c>
      <c r="J35" s="296">
        <f>SUM(G35:I35)</f>
        <v>0</v>
      </c>
      <c r="K35" s="297"/>
      <c r="L35" s="298"/>
      <c r="M35" s="299">
        <f>+'Mgmt Summary'!M35+'[7]YTD Mgmt Summary'!M34</f>
        <v>26900</v>
      </c>
      <c r="N35" s="299">
        <f>+'Mgmt Summary'!N35+'[7]YTD Mgmt Summary'!N34</f>
        <v>0</v>
      </c>
      <c r="O35" s="296">
        <f>J35-K35-M35-N35-L35</f>
        <v>-26900</v>
      </c>
      <c r="P35" s="37"/>
      <c r="Q35" s="132">
        <f>+'Mgmt Summary'!Q35+'[7]YTD Mgmt Summary'!Q34</f>
        <v>0</v>
      </c>
      <c r="R35" s="36"/>
      <c r="S35" s="36"/>
      <c r="T35" s="36">
        <f>+'Mgmt Summary'!T35+'[2]YTD Mgmt Summary'!T29</f>
        <v>0</v>
      </c>
      <c r="U35" s="36">
        <f>+'Mgmt Summary'!U35+'[2]YTD Mgmt Summary'!U29</f>
        <v>0</v>
      </c>
      <c r="V35" s="133">
        <f>ROUND(SUM(Q35:U35),0)</f>
        <v>0</v>
      </c>
      <c r="W35" s="32"/>
    </row>
    <row r="36" spans="1:23" ht="3" customHeight="1">
      <c r="A36" s="106"/>
      <c r="B36" s="35"/>
      <c r="C36" s="293"/>
      <c r="D36" s="294"/>
      <c r="E36" s="295"/>
      <c r="F36" s="294"/>
      <c r="G36" s="293"/>
      <c r="H36" s="294"/>
      <c r="I36" s="294"/>
      <c r="J36" s="296"/>
      <c r="K36" s="297"/>
      <c r="L36" s="300"/>
      <c r="M36" s="294"/>
      <c r="N36" s="294"/>
      <c r="O36" s="296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05">
        <f>SUM(C33:C35)</f>
        <v>503126.29499999998</v>
      </c>
      <c r="D37" s="306">
        <f>SUM(D33:D35)</f>
        <v>265616.75</v>
      </c>
      <c r="E37" s="307">
        <f>SUM(E33:E35)</f>
        <v>237509.54500000004</v>
      </c>
      <c r="F37" s="294"/>
      <c r="G37" s="305">
        <f t="shared" ref="G37:V37" si="8">SUM(G33:G35)</f>
        <v>-292.03099999999995</v>
      </c>
      <c r="H37" s="306">
        <f t="shared" si="8"/>
        <v>0</v>
      </c>
      <c r="I37" s="306">
        <f t="shared" si="8"/>
        <v>0</v>
      </c>
      <c r="J37" s="308">
        <f t="shared" si="8"/>
        <v>-292.03099999999995</v>
      </c>
      <c r="K37" s="306">
        <f t="shared" si="8"/>
        <v>0</v>
      </c>
      <c r="L37" s="305">
        <f t="shared" si="8"/>
        <v>0</v>
      </c>
      <c r="M37" s="306">
        <f t="shared" si="8"/>
        <v>267756.75</v>
      </c>
      <c r="N37" s="306">
        <f t="shared" si="8"/>
        <v>-66390.84600000002</v>
      </c>
      <c r="O37" s="308">
        <f>J37-K37-M37-N37-L37</f>
        <v>-201657.935</v>
      </c>
      <c r="P37" s="37"/>
      <c r="Q37" s="39">
        <f t="shared" si="8"/>
        <v>-503418.326</v>
      </c>
      <c r="R37" s="40">
        <f t="shared" si="8"/>
        <v>0</v>
      </c>
      <c r="S37" s="40">
        <f t="shared" si="8"/>
        <v>0</v>
      </c>
      <c r="T37" s="40">
        <f t="shared" si="8"/>
        <v>-2140</v>
      </c>
      <c r="U37" s="40">
        <f t="shared" si="8"/>
        <v>0</v>
      </c>
      <c r="V37" s="41">
        <f t="shared" si="8"/>
        <v>-505559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 hidden="1">
      <c r="A39" s="66"/>
      <c r="C39" s="67"/>
      <c r="D39" s="23"/>
      <c r="E39" s="66" t="s">
        <v>52</v>
      </c>
      <c r="F39" s="23"/>
      <c r="G39" s="68">
        <f>+'GM-WeeklyChnge'!C48</f>
        <v>0</v>
      </c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 hidden="1">
      <c r="C55" s="23"/>
      <c r="D55" s="23"/>
      <c r="E55" s="23"/>
      <c r="F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C62" s="23"/>
      <c r="D62" s="23"/>
      <c r="E62" s="23"/>
      <c r="F62" s="23"/>
    </row>
    <row r="63" spans="1:6" hidden="1">
      <c r="C63" s="23"/>
      <c r="D63" s="23"/>
      <c r="E63" s="23"/>
      <c r="F63" s="23"/>
    </row>
    <row r="64" spans="1:6" hidden="1"/>
    <row r="65" hidden="1"/>
    <row r="66" hidden="1"/>
    <row r="67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3" sqref="G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111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97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October 19,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85</v>
      </c>
      <c r="H6" s="228"/>
      <c r="I6" s="229"/>
      <c r="J6" s="199"/>
      <c r="K6" s="323" t="s">
        <v>84</v>
      </c>
      <c r="L6" s="324"/>
      <c r="M6" s="325"/>
      <c r="N6" s="265"/>
      <c r="O6" s="323" t="s">
        <v>95</v>
      </c>
      <c r="P6" s="324"/>
      <c r="Q6" s="325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93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105</v>
      </c>
      <c r="B9" s="220"/>
      <c r="C9" s="221">
        <f>+'Mgmt Summary'!J9</f>
        <v>-7726</v>
      </c>
      <c r="D9" s="222">
        <f>+'Mgmt Summary'!C9</f>
        <v>45000</v>
      </c>
      <c r="E9" s="223">
        <f t="shared" ref="E9:E15" si="0">-D9+C9</f>
        <v>-52726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-24647.742999999999</v>
      </c>
      <c r="L9" s="222">
        <f t="shared" ref="K9:L15" si="2">D9-H9</f>
        <v>28078.257000000001</v>
      </c>
      <c r="M9" s="223">
        <f t="shared" ref="M9:M15" si="3">K9-L9</f>
        <v>-52726</v>
      </c>
      <c r="N9" s="267"/>
      <c r="O9" s="221">
        <f>+'GM-WeeklyChnge'!K9</f>
        <v>-2744</v>
      </c>
      <c r="P9" s="222">
        <f>-G9+'[8]QTD Mgmt Summary'!G9</f>
        <v>0</v>
      </c>
      <c r="Q9" s="223">
        <f>+O9+P9</f>
        <v>-2744</v>
      </c>
    </row>
    <row r="10" spans="1:22" s="32" customFormat="1" ht="13.5" customHeight="1">
      <c r="A10" s="219" t="s">
        <v>117</v>
      </c>
      <c r="B10" s="220"/>
      <c r="C10" s="221">
        <f>+'Mgmt Summary'!J10</f>
        <v>1514.2460000000001</v>
      </c>
      <c r="D10" s="222">
        <f>+'Mgmt Summary'!C10</f>
        <v>16250</v>
      </c>
      <c r="E10" s="223">
        <f t="shared" si="0"/>
        <v>-14735.754000000001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-7385.2410000000009</v>
      </c>
      <c r="L10" s="222">
        <f t="shared" si="2"/>
        <v>7350.512999999999</v>
      </c>
      <c r="M10" s="223">
        <f t="shared" si="3"/>
        <v>-14735.754000000001</v>
      </c>
      <c r="N10" s="267"/>
      <c r="O10" s="221">
        <f>+'GM-WeeklyChnge'!K10</f>
        <v>-1501.761</v>
      </c>
      <c r="P10" s="222">
        <f>-G10+'[8]QTD Mgmt Summary'!G10</f>
        <v>0</v>
      </c>
      <c r="Q10" s="223">
        <f t="shared" ref="Q10:Q24" si="4">+O10+P10</f>
        <v>-1501.761</v>
      </c>
    </row>
    <row r="11" spans="1:22" s="32" customFormat="1" ht="13.5" customHeight="1">
      <c r="A11" s="219" t="s">
        <v>109</v>
      </c>
      <c r="B11" s="220"/>
      <c r="C11" s="221">
        <f>+'Mgmt Summary'!J11</f>
        <v>-394</v>
      </c>
      <c r="D11" s="222">
        <f>+'Mgmt Summary'!C11</f>
        <v>2500</v>
      </c>
      <c r="E11" s="223">
        <f>-D11+C11</f>
        <v>-2894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-1117.2739999999999</v>
      </c>
      <c r="L11" s="222">
        <f>D11-H11</f>
        <v>1776.7260000000001</v>
      </c>
      <c r="M11" s="223">
        <f>K11-L11</f>
        <v>-2894</v>
      </c>
      <c r="N11" s="267"/>
      <c r="O11" s="221">
        <f>+'GM-WeeklyChnge'!K11</f>
        <v>-131</v>
      </c>
      <c r="P11" s="222">
        <f>-G11+'[8]QTD Mgmt Summary'!G11</f>
        <v>0</v>
      </c>
      <c r="Q11" s="223">
        <f t="shared" si="4"/>
        <v>-131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+G12-'[8]QTD Mgmt Summary'!G12</f>
        <v>0</v>
      </c>
      <c r="Q12" s="223">
        <f t="shared" si="4"/>
        <v>0</v>
      </c>
    </row>
    <row r="13" spans="1:22" s="32" customFormat="1" ht="13.5" customHeight="1">
      <c r="A13" s="219" t="s">
        <v>63</v>
      </c>
      <c r="B13" s="220"/>
      <c r="C13" s="221">
        <f>+'Mgmt Summary'!J13</f>
        <v>1431</v>
      </c>
      <c r="D13" s="222">
        <f>+'Mgmt Summary'!C13</f>
        <v>8752.58</v>
      </c>
      <c r="E13" s="223">
        <f t="shared" si="0"/>
        <v>-7321.58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-2205.8330000000001</v>
      </c>
      <c r="L13" s="222">
        <f t="shared" si="2"/>
        <v>5415.7469999999994</v>
      </c>
      <c r="M13" s="223">
        <f t="shared" si="3"/>
        <v>-7621.58</v>
      </c>
      <c r="N13" s="267"/>
      <c r="O13" s="221">
        <f>+'GM-WeeklyChnge'!K13</f>
        <v>64</v>
      </c>
      <c r="P13" s="222">
        <f>-G13+'[8]QTD Mgmt Summary'!G13</f>
        <v>0</v>
      </c>
      <c r="Q13" s="223">
        <f t="shared" si="4"/>
        <v>64</v>
      </c>
    </row>
    <row r="14" spans="1:22" s="32" customFormat="1" ht="13.5" customHeight="1">
      <c r="A14" s="219" t="s">
        <v>70</v>
      </c>
      <c r="B14" s="220"/>
      <c r="C14" s="221">
        <f>+'Mgmt Summary'!J14</f>
        <v>46.04</v>
      </c>
      <c r="D14" s="222">
        <f>+'Mgmt Summary'!C14</f>
        <v>8875</v>
      </c>
      <c r="E14" s="223">
        <f t="shared" si="0"/>
        <v>-8828.9599999999991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-3424.3679999999999</v>
      </c>
      <c r="L14" s="222">
        <f t="shared" si="2"/>
        <v>5404.5920000000006</v>
      </c>
      <c r="M14" s="223">
        <f t="shared" si="3"/>
        <v>-8828.9600000000009</v>
      </c>
      <c r="N14" s="267"/>
      <c r="O14" s="221">
        <f>+'GM-WeeklyChnge'!K14</f>
        <v>12</v>
      </c>
      <c r="P14" s="222">
        <f>-G14+'[8]QTD Mgmt Summary'!G14</f>
        <v>0</v>
      </c>
      <c r="Q14" s="223">
        <f t="shared" si="4"/>
        <v>12</v>
      </c>
    </row>
    <row r="15" spans="1:22" s="32" customFormat="1" ht="13.5" customHeight="1">
      <c r="A15" s="219" t="s">
        <v>49</v>
      </c>
      <c r="B15" s="220"/>
      <c r="C15" s="221">
        <f>+'Mgmt Summary'!J15</f>
        <v>4499</v>
      </c>
      <c r="D15" s="222">
        <f>+'Mgmt Summary'!C15</f>
        <v>29545</v>
      </c>
      <c r="E15" s="223">
        <f t="shared" si="0"/>
        <v>-25046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1368.4529999999995</v>
      </c>
      <c r="L15" s="222">
        <f t="shared" si="2"/>
        <v>26414.453000000001</v>
      </c>
      <c r="M15" s="223">
        <f t="shared" si="3"/>
        <v>-25046</v>
      </c>
      <c r="N15" s="267"/>
      <c r="O15" s="221">
        <f>+'GM-WeeklyChnge'!K21</f>
        <v>271</v>
      </c>
      <c r="P15" s="222">
        <f>-G15+'[8]QTD Mgmt Summary'!G15</f>
        <v>0</v>
      </c>
      <c r="Q15" s="223">
        <f t="shared" si="4"/>
        <v>271</v>
      </c>
    </row>
    <row r="16" spans="1:22" s="32" customFormat="1" ht="13.5" customHeight="1">
      <c r="A16" s="219" t="s">
        <v>106</v>
      </c>
      <c r="B16" s="220"/>
      <c r="C16" s="221">
        <f>+'Mgmt Summary'!J16</f>
        <v>-38.317</v>
      </c>
      <c r="D16" s="222">
        <f>+'Mgmt Summary'!C16</f>
        <v>13305.5</v>
      </c>
      <c r="E16" s="223">
        <f t="shared" ref="E16:E24" si="5">-D16+C16</f>
        <v>-13343.816999999999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4" si="6">C16-G16</f>
        <v>-8801.5269999999982</v>
      </c>
      <c r="L16" s="222">
        <f t="shared" si="6"/>
        <v>4542.2900000000009</v>
      </c>
      <c r="M16" s="223">
        <f t="shared" ref="M16:M24" si="7">K16-L16</f>
        <v>-13343.816999999999</v>
      </c>
      <c r="N16" s="267"/>
      <c r="O16" s="221">
        <f>+'GM-WeeklyChnge'!K22</f>
        <v>-59.054000000000002</v>
      </c>
      <c r="P16" s="222">
        <f>-G16+'[8]QTD Mgmt Summary'!G16</f>
        <v>0</v>
      </c>
      <c r="Q16" s="223">
        <f t="shared" si="4"/>
        <v>-59.054000000000002</v>
      </c>
    </row>
    <row r="17" spans="1:19" s="32" customFormat="1" ht="13.5" customHeight="1">
      <c r="A17" s="219" t="s">
        <v>86</v>
      </c>
      <c r="B17" s="220"/>
      <c r="C17" s="221">
        <f>+'Mgmt Summary'!J17</f>
        <v>376</v>
      </c>
      <c r="D17" s="222">
        <f>+'Mgmt Summary'!C17</f>
        <v>44000</v>
      </c>
      <c r="E17" s="223">
        <f t="shared" si="5"/>
        <v>-43624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4" si="8">+H17-G17</f>
        <v>-1840</v>
      </c>
      <c r="J17" s="224"/>
      <c r="K17" s="221">
        <f t="shared" si="6"/>
        <v>-4083.4279999999999</v>
      </c>
      <c r="L17" s="222">
        <f t="shared" si="6"/>
        <v>41380.572</v>
      </c>
      <c r="M17" s="223">
        <f t="shared" si="7"/>
        <v>-45464</v>
      </c>
      <c r="N17" s="267"/>
      <c r="O17" s="221">
        <f>+'GM-WeeklyChnge'!K23</f>
        <v>105</v>
      </c>
      <c r="P17" s="222">
        <f>-G17+'[8]QTD Mgmt Summary'!G17</f>
        <v>0</v>
      </c>
      <c r="Q17" s="223">
        <f t="shared" si="4"/>
        <v>105</v>
      </c>
      <c r="S17" s="270"/>
    </row>
    <row r="18" spans="1:19" s="32" customFormat="1" ht="13.5" hidden="1" customHeight="1">
      <c r="A18" s="219" t="s">
        <v>88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+G18-'[8]QTD Mgmt Summary'!G18</f>
        <v>0</v>
      </c>
      <c r="Q18" s="223">
        <f t="shared" si="4"/>
        <v>0</v>
      </c>
    </row>
    <row r="19" spans="1:19" s="32" customFormat="1" ht="13.5" customHeight="1">
      <c r="A19" s="219" t="s">
        <v>118</v>
      </c>
      <c r="B19" s="220"/>
      <c r="C19" s="254">
        <f>+'Mgmt Summary'!J19</f>
        <v>0</v>
      </c>
      <c r="D19" s="255">
        <f>+'Mgmt Summary'!C19</f>
        <v>3750</v>
      </c>
      <c r="E19" s="256">
        <f>-D19+C19</f>
        <v>-3750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-3366.3780000000002</v>
      </c>
      <c r="L19" s="255">
        <f>D19-H19</f>
        <v>383.62199999999984</v>
      </c>
      <c r="M19" s="256">
        <f>K19-L19</f>
        <v>-3750</v>
      </c>
      <c r="N19" s="267"/>
      <c r="O19" s="221">
        <f>+'GM-WeeklyChnge'!K25</f>
        <v>0</v>
      </c>
      <c r="P19" s="222">
        <f>-G19+'[8]QTD Mgmt Summary'!G19</f>
        <v>0</v>
      </c>
      <c r="Q19" s="223">
        <f>+O19+P19</f>
        <v>0</v>
      </c>
    </row>
    <row r="20" spans="1:19" s="32" customFormat="1" ht="13.5" customHeight="1">
      <c r="A20" s="219" t="s">
        <v>119</v>
      </c>
      <c r="B20" s="220"/>
      <c r="C20" s="254">
        <f>+'Mgmt Summary'!J20</f>
        <v>0</v>
      </c>
      <c r="D20" s="255">
        <f>+'Mgmt Summary'!C20</f>
        <v>1602.701</v>
      </c>
      <c r="E20" s="256">
        <f>-D20+C20</f>
        <v>-1602.701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-138.44999999999999</v>
      </c>
      <c r="L20" s="255">
        <f>D20-H20</f>
        <v>1464.251</v>
      </c>
      <c r="M20" s="256">
        <f>K20-L20</f>
        <v>-1602.701</v>
      </c>
      <c r="N20" s="267"/>
      <c r="O20" s="221">
        <f>+'GM-WeeklyChnge'!K26</f>
        <v>0</v>
      </c>
      <c r="P20" s="222">
        <f>-G20+'[8]QTD Mgmt Summary'!G20</f>
        <v>0</v>
      </c>
      <c r="Q20" s="223">
        <f>+O20+P20</f>
        <v>0</v>
      </c>
    </row>
    <row r="21" spans="1:19" s="32" customFormat="1" ht="13.5" customHeight="1">
      <c r="A21" s="219" t="s">
        <v>104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-G21+'[8]QTD Mgmt Summary'!G21</f>
        <v>0</v>
      </c>
      <c r="Q21" s="223">
        <f t="shared" si="4"/>
        <v>0</v>
      </c>
    </row>
    <row r="22" spans="1:19" s="32" customFormat="1" ht="13.5" customHeight="1">
      <c r="A22" s="309" t="s">
        <v>120</v>
      </c>
      <c r="B22" s="220"/>
      <c r="C22" s="254">
        <f>+'Mgmt Summary'!J22</f>
        <v>-30000</v>
      </c>
      <c r="D22" s="255">
        <f>+'Mgmt Summary'!C22</f>
        <v>0</v>
      </c>
      <c r="E22" s="256">
        <f>-D22+C22</f>
        <v>-30000</v>
      </c>
      <c r="F22" s="224"/>
      <c r="G22" s="254">
        <v>0</v>
      </c>
      <c r="H22" s="255">
        <v>0</v>
      </c>
      <c r="I22" s="256">
        <f t="shared" si="8"/>
        <v>0</v>
      </c>
      <c r="J22" s="224"/>
      <c r="K22" s="254">
        <f>C22-G22</f>
        <v>-30000</v>
      </c>
      <c r="L22" s="255">
        <f>D22-H22</f>
        <v>0</v>
      </c>
      <c r="M22" s="256">
        <f>K22-L22</f>
        <v>-30000</v>
      </c>
      <c r="N22" s="267"/>
      <c r="O22" s="221">
        <f>+'GM-WeeklyChnge'!K28</f>
        <v>0</v>
      </c>
      <c r="P22" s="222">
        <f>-G22+'[8]QTD Mgmt Summary'!G22</f>
        <v>0</v>
      </c>
      <c r="Q22" s="223">
        <v>0</v>
      </c>
    </row>
    <row r="23" spans="1:19" s="32" customFormat="1" ht="13.5" customHeight="1">
      <c r="A23" s="219" t="s">
        <v>2</v>
      </c>
      <c r="B23" s="220"/>
      <c r="C23" s="254">
        <f>+'Mgmt Summary'!J23</f>
        <v>0</v>
      </c>
      <c r="D23" s="255">
        <f>+'Mgmt Summary'!C23</f>
        <v>0</v>
      </c>
      <c r="E23" s="256">
        <f t="shared" si="5"/>
        <v>0</v>
      </c>
      <c r="F23" s="224"/>
      <c r="G23" s="254">
        <f>+Expenses!D22+'Alloc Exp'!K23+'Alloc Exp'!D23</f>
        <v>1010.9559999999999</v>
      </c>
      <c r="H23" s="255">
        <f>+Expenses!E22+'Alloc Exp'!L23+'Alloc Exp'!E23</f>
        <v>1010.9559999999999</v>
      </c>
      <c r="I23" s="256">
        <f t="shared" si="8"/>
        <v>0</v>
      </c>
      <c r="J23" s="224"/>
      <c r="K23" s="254">
        <f t="shared" si="6"/>
        <v>-1010.9559999999999</v>
      </c>
      <c r="L23" s="255">
        <f t="shared" si="6"/>
        <v>-1010.9559999999999</v>
      </c>
      <c r="M23" s="256">
        <f t="shared" si="7"/>
        <v>0</v>
      </c>
      <c r="N23" s="267"/>
      <c r="O23" s="221">
        <f>+'GM-WeeklyChnge'!K29</f>
        <v>0</v>
      </c>
      <c r="P23" s="222">
        <f>-G23+'[8]QTD Mgmt Summary'!G23</f>
        <v>0</v>
      </c>
      <c r="Q23" s="223">
        <f t="shared" si="4"/>
        <v>0</v>
      </c>
    </row>
    <row r="24" spans="1:19" s="32" customFormat="1" ht="13.5" customHeight="1">
      <c r="A24" s="219" t="s">
        <v>116</v>
      </c>
      <c r="B24" s="220"/>
      <c r="C24" s="254">
        <f>+'Mgmt Summary'!J24</f>
        <v>0</v>
      </c>
      <c r="D24" s="255">
        <f>+'Mgmt Summary'!C24</f>
        <v>1730.691</v>
      </c>
      <c r="E24" s="256">
        <f t="shared" si="5"/>
        <v>-1730.691</v>
      </c>
      <c r="F24" s="224"/>
      <c r="G24" s="254">
        <f>+Expenses!D23+'Alloc Exp'!K24+'Alloc Exp'!D24</f>
        <v>0</v>
      </c>
      <c r="H24" s="255">
        <f>+Expenses!E23+'Alloc Exp'!L24+'Alloc Exp'!E24</f>
        <v>0</v>
      </c>
      <c r="I24" s="256">
        <f t="shared" si="8"/>
        <v>0</v>
      </c>
      <c r="J24" s="224"/>
      <c r="K24" s="254">
        <f t="shared" si="6"/>
        <v>0</v>
      </c>
      <c r="L24" s="255">
        <f t="shared" si="6"/>
        <v>1730.691</v>
      </c>
      <c r="M24" s="256">
        <f t="shared" si="7"/>
        <v>-1730.691</v>
      </c>
      <c r="N24" s="267"/>
      <c r="O24" s="221">
        <f>+'GM-WeeklyChnge'!K30</f>
        <v>0</v>
      </c>
      <c r="P24" s="222">
        <f>-G24+'[8]QTD Mgmt Summary'!G24</f>
        <v>0</v>
      </c>
      <c r="Q24" s="223">
        <f t="shared" si="4"/>
        <v>0</v>
      </c>
    </row>
    <row r="25" spans="1:19" ht="4.5" customHeight="1">
      <c r="A25" s="207"/>
      <c r="B25" s="202"/>
      <c r="C25" s="211"/>
      <c r="D25" s="212"/>
      <c r="E25" s="213"/>
      <c r="F25" s="214"/>
      <c r="G25" s="217"/>
      <c r="H25" s="212"/>
      <c r="I25" s="213"/>
      <c r="J25" s="214"/>
      <c r="K25" s="211"/>
      <c r="L25" s="212"/>
      <c r="M25" s="213"/>
      <c r="N25" s="266"/>
      <c r="O25" s="211"/>
      <c r="P25" s="212"/>
      <c r="Q25" s="213"/>
    </row>
    <row r="26" spans="1:19" s="216" customFormat="1" ht="16.5">
      <c r="A26" s="225" t="s">
        <v>91</v>
      </c>
      <c r="B26" s="215"/>
      <c r="C26" s="230">
        <f>SUM(C9:C25)</f>
        <v>-30292.030999999999</v>
      </c>
      <c r="D26" s="231">
        <f>SUM(D9:D25)</f>
        <v>175311.47200000001</v>
      </c>
      <c r="E26" s="232">
        <f>SUM(E9:E25)</f>
        <v>-205603.50299999997</v>
      </c>
      <c r="F26" s="233"/>
      <c r="G26" s="230">
        <f>SUM(G9:G25)</f>
        <v>55286.674999999996</v>
      </c>
      <c r="H26" s="231">
        <f>SUM(H9:H25)</f>
        <v>53146.674999999996</v>
      </c>
      <c r="I26" s="232">
        <f>SUM(I9:I25)</f>
        <v>-2140</v>
      </c>
      <c r="J26" s="233"/>
      <c r="K26" s="230">
        <f>SUM(K9:K25)</f>
        <v>-85578.706000000006</v>
      </c>
      <c r="L26" s="231">
        <f>SUM(L9:L25)</f>
        <v>122164.79700000002</v>
      </c>
      <c r="M26" s="232">
        <f>SUM(M9:M25)</f>
        <v>-207743.503</v>
      </c>
      <c r="N26" s="268"/>
      <c r="O26" s="230">
        <f>SUM(O9:O25)</f>
        <v>-3983.8150000000005</v>
      </c>
      <c r="P26" s="231">
        <f>SUM(P9:P25)</f>
        <v>0</v>
      </c>
      <c r="Q26" s="232">
        <f>SUM(Q9:Q25)</f>
        <v>-3983.8150000000005</v>
      </c>
    </row>
    <row r="27" spans="1:19" ht="4.5" customHeight="1">
      <c r="A27" s="207"/>
      <c r="B27" s="202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  <c r="O27" s="211"/>
      <c r="P27" s="212"/>
      <c r="Q27" s="213"/>
    </row>
    <row r="28" spans="1:19" ht="13.5">
      <c r="A28" s="219" t="s">
        <v>121</v>
      </c>
      <c r="B28" s="202"/>
      <c r="C28" s="221">
        <v>0</v>
      </c>
      <c r="D28" s="222">
        <v>0</v>
      </c>
      <c r="E28" s="223">
        <f>-D28+C28</f>
        <v>0</v>
      </c>
      <c r="F28" s="214"/>
      <c r="G28" s="221">
        <v>0</v>
      </c>
      <c r="H28" s="222">
        <v>0</v>
      </c>
      <c r="I28" s="223">
        <f>+H28-G28</f>
        <v>0</v>
      </c>
      <c r="J28" s="214"/>
      <c r="K28" s="221">
        <f>C28-G28</f>
        <v>0</v>
      </c>
      <c r="L28" s="222">
        <f>D28-H28</f>
        <v>0</v>
      </c>
      <c r="M28" s="223">
        <f>K28-L28</f>
        <v>0</v>
      </c>
      <c r="N28" s="266"/>
      <c r="O28" s="221">
        <v>0</v>
      </c>
      <c r="P28" s="222">
        <f>-G28+'[8]QTD Mgmt Summary'!G28</f>
        <v>0</v>
      </c>
      <c r="Q28" s="223">
        <f>+O28+P28</f>
        <v>0</v>
      </c>
    </row>
    <row r="29" spans="1:19" s="32" customFormat="1" ht="13.5" customHeight="1">
      <c r="A29" s="219" t="s">
        <v>115</v>
      </c>
      <c r="B29" s="220"/>
      <c r="C29" s="221">
        <v>0</v>
      </c>
      <c r="D29" s="222">
        <v>0</v>
      </c>
      <c r="E29" s="223">
        <f>-D29+C29</f>
        <v>0</v>
      </c>
      <c r="F29" s="224"/>
      <c r="G29" s="221">
        <f>+'Mgmt Summary'!L28+'Mgmt Summary'!M28+'Mgmt Summary'!N28</f>
        <v>42641.985000000001</v>
      </c>
      <c r="H29" s="222">
        <f>+'Mgmt Summary'!D28</f>
        <v>42641.985000000001</v>
      </c>
      <c r="I29" s="223">
        <f>+H29-G29</f>
        <v>0</v>
      </c>
      <c r="J29" s="224"/>
      <c r="K29" s="221">
        <f>C29-G29</f>
        <v>-42641.985000000001</v>
      </c>
      <c r="L29" s="222">
        <f>D29-H29</f>
        <v>-42641.985000000001</v>
      </c>
      <c r="M29" s="223">
        <f>K29-L29</f>
        <v>0</v>
      </c>
      <c r="N29" s="267"/>
      <c r="O29" s="221">
        <v>0</v>
      </c>
      <c r="P29" s="222">
        <f>-G29+'[8]QTD Mgmt Summary'!G29</f>
        <v>0</v>
      </c>
      <c r="Q29" s="223">
        <f>+O29+P29</f>
        <v>0</v>
      </c>
    </row>
    <row r="30" spans="1:19" s="32" customFormat="1" ht="13.5" customHeight="1">
      <c r="A30" s="219" t="s">
        <v>90</v>
      </c>
      <c r="B30" s="220"/>
      <c r="C30" s="221">
        <v>0</v>
      </c>
      <c r="D30" s="222">
        <v>0</v>
      </c>
      <c r="E30" s="223">
        <f>-D30+C30</f>
        <v>0</v>
      </c>
      <c r="F30" s="224"/>
      <c r="G30" s="221">
        <f>+'Mgmt Summary'!L29+'Mgmt Summary'!M29+'Mgmt Summary'!N29</f>
        <v>-23192.098000000002</v>
      </c>
      <c r="H30" s="222">
        <f>+'Mgmt Summary'!D29</f>
        <v>-23192.098000000002</v>
      </c>
      <c r="I30" s="223">
        <f>+H30-G30</f>
        <v>0</v>
      </c>
      <c r="J30" s="224"/>
      <c r="K30" s="221">
        <f t="shared" ref="K30:L32" si="9">C30-G30</f>
        <v>23192.098000000002</v>
      </c>
      <c r="L30" s="222">
        <f t="shared" si="9"/>
        <v>23192.098000000002</v>
      </c>
      <c r="M30" s="223">
        <f>K30-L30</f>
        <v>0</v>
      </c>
      <c r="N30" s="267"/>
      <c r="O30" s="221">
        <v>0</v>
      </c>
      <c r="P30" s="222">
        <f>-G30+'[8]QTD Mgmt Summary'!G30</f>
        <v>0</v>
      </c>
      <c r="Q30" s="223">
        <f>+O30+P30</f>
        <v>0</v>
      </c>
    </row>
    <row r="31" spans="1:19" s="32" customFormat="1" ht="13.5" hidden="1" customHeight="1">
      <c r="A31" s="219" t="s">
        <v>10</v>
      </c>
      <c r="B31" s="220"/>
      <c r="C31" s="221">
        <f>+'Mgmt Summary'!J30</f>
        <v>0</v>
      </c>
      <c r="D31" s="222">
        <f>+'Mgmt Summary'!C30</f>
        <v>0</v>
      </c>
      <c r="E31" s="223">
        <f>-D31+C31</f>
        <v>0</v>
      </c>
      <c r="F31" s="224"/>
      <c r="G31" s="221">
        <f>+Expenses!D27</f>
        <v>0</v>
      </c>
      <c r="H31" s="222">
        <f>+Expenses!E27</f>
        <v>0</v>
      </c>
      <c r="I31" s="223">
        <f>+H31-G31</f>
        <v>0</v>
      </c>
      <c r="J31" s="224"/>
      <c r="K31" s="221">
        <f t="shared" si="9"/>
        <v>0</v>
      </c>
      <c r="L31" s="222">
        <f t="shared" si="9"/>
        <v>0</v>
      </c>
      <c r="M31" s="223">
        <f>K31-L31</f>
        <v>0</v>
      </c>
      <c r="N31" s="267"/>
      <c r="O31" s="221">
        <v>0</v>
      </c>
      <c r="P31" s="222">
        <f>+G31-'[8]QTD Mgmt Summary'!G31</f>
        <v>0</v>
      </c>
      <c r="Q31" s="223">
        <f>+O31+P31</f>
        <v>0</v>
      </c>
    </row>
    <row r="32" spans="1:19" s="32" customFormat="1" ht="13.5" hidden="1" customHeight="1">
      <c r="A32" s="219" t="s">
        <v>34</v>
      </c>
      <c r="B32" s="220"/>
      <c r="C32" s="221">
        <f>+'Mgmt Summary'!J31</f>
        <v>0</v>
      </c>
      <c r="D32" s="222">
        <f>+'Mgmt Summary'!C31</f>
        <v>0</v>
      </c>
      <c r="E32" s="223">
        <f>-D32+C32</f>
        <v>0</v>
      </c>
      <c r="F32" s="224"/>
      <c r="G32" s="221">
        <f>+'Alloc Exp'!D27</f>
        <v>0</v>
      </c>
      <c r="H32" s="222">
        <f>+'Alloc Exp'!E27</f>
        <v>0</v>
      </c>
      <c r="I32" s="223">
        <f>+H32-G32</f>
        <v>0</v>
      </c>
      <c r="J32" s="224"/>
      <c r="K32" s="221">
        <f t="shared" si="9"/>
        <v>0</v>
      </c>
      <c r="L32" s="222">
        <f t="shared" si="9"/>
        <v>0</v>
      </c>
      <c r="M32" s="223">
        <f>K32-L32</f>
        <v>0</v>
      </c>
      <c r="N32" s="267"/>
      <c r="O32" s="221">
        <v>0</v>
      </c>
      <c r="P32" s="222">
        <f>+G32-'[8]QTD Mgmt Summary'!G32</f>
        <v>0</v>
      </c>
      <c r="Q32" s="223">
        <f>+O32+P32</f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73</v>
      </c>
      <c r="B34" s="215"/>
      <c r="C34" s="230">
        <f>SUM(C26:C32)</f>
        <v>-30292.030999999999</v>
      </c>
      <c r="D34" s="231">
        <f>SUM(D26:D32)</f>
        <v>175311.47200000001</v>
      </c>
      <c r="E34" s="232">
        <f>SUM(E26:E32)</f>
        <v>-205603.50299999997</v>
      </c>
      <c r="F34" s="233"/>
      <c r="G34" s="230">
        <f>SUM(G26:G32)</f>
        <v>74736.562000000005</v>
      </c>
      <c r="H34" s="231">
        <f>SUM(H26:H32)</f>
        <v>72596.562000000005</v>
      </c>
      <c r="I34" s="232">
        <f>SUM(I26:I32)</f>
        <v>-2140</v>
      </c>
      <c r="J34" s="233"/>
      <c r="K34" s="230">
        <f>SUM(K26:K32)</f>
        <v>-105028.59300000001</v>
      </c>
      <c r="L34" s="231">
        <f>SUM(L26:L32)</f>
        <v>102714.91000000002</v>
      </c>
      <c r="M34" s="232">
        <f>SUM(M26:M32)</f>
        <v>-207743.503</v>
      </c>
      <c r="N34" s="268"/>
      <c r="O34" s="230">
        <f>SUM(O26:O32)</f>
        <v>-3983.8150000000005</v>
      </c>
      <c r="P34" s="231">
        <f>SUM(P26:P32)</f>
        <v>0</v>
      </c>
      <c r="Q34" s="232">
        <f>SUM(Q26:Q32)</f>
        <v>-3983.8150000000005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Summary'!J35</f>
        <v>0</v>
      </c>
      <c r="D36" s="222">
        <f>+'Mgmt Summary'!C35</f>
        <v>0</v>
      </c>
      <c r="E36" s="223">
        <f>D36-C36</f>
        <v>0</v>
      </c>
      <c r="F36" s="224"/>
      <c r="G36" s="221">
        <f>+'Mgmt Summary'!M35</f>
        <v>6400</v>
      </c>
      <c r="H36" s="222">
        <f>+'Mgmt Summary'!D35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-G36+'[8]QTD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74</v>
      </c>
      <c r="B38" s="218"/>
      <c r="C38" s="235">
        <f>+C34-C36</f>
        <v>-30292.030999999999</v>
      </c>
      <c r="D38" s="236">
        <f>+D34-D36</f>
        <v>175311.47200000001</v>
      </c>
      <c r="E38" s="260">
        <f>+E34-E36</f>
        <v>-205603.50299999997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-111428.59300000001</v>
      </c>
      <c r="L38" s="236">
        <f>SUM(L34:L36)</f>
        <v>96314.910000000018</v>
      </c>
      <c r="M38" s="260">
        <f>SUM(M34:M36)</f>
        <v>-207743.503</v>
      </c>
      <c r="N38" s="268"/>
      <c r="O38" s="235">
        <f>SUM(O34:O36)</f>
        <v>-3983.8150000000005</v>
      </c>
      <c r="P38" s="236">
        <f>SUM(P34:P36)</f>
        <v>0</v>
      </c>
      <c r="Q38" s="260">
        <f>SUM(Q34:Q36)</f>
        <v>-3983.8150000000005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108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F38" sqref="F38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6" t="s">
        <v>69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60"/>
    </row>
    <row r="2" spans="1:24" ht="16.5">
      <c r="A2" s="327" t="s">
        <v>96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61"/>
    </row>
    <row r="3" spans="1:24" ht="13.5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320" t="s">
        <v>40</v>
      </c>
      <c r="H5" s="321"/>
      <c r="I5" s="321"/>
      <c r="J5" s="321"/>
      <c r="K5" s="321"/>
      <c r="L5" s="321"/>
      <c r="M5" s="321"/>
      <c r="N5" s="321"/>
      <c r="O5" s="322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-7726</v>
      </c>
      <c r="H9" s="36">
        <f>GrossMargin!J10</f>
        <v>0</v>
      </c>
      <c r="I9" s="36">
        <f>GrossMargin!K10</f>
        <v>0</v>
      </c>
      <c r="J9" s="134">
        <f t="shared" ref="J9:J16" si="1">SUM(G9:I9)</f>
        <v>-7726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-24647.742999999999</v>
      </c>
      <c r="P9" s="37"/>
      <c r="Q9" s="132">
        <f t="shared" ref="Q9:Q16" si="3">+J9-C9</f>
        <v>-52726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-52726</v>
      </c>
      <c r="W9" s="32"/>
      <c r="X9" s="164"/>
    </row>
    <row r="10" spans="1:24" ht="13.5" customHeight="1">
      <c r="A10" s="106" t="s">
        <v>117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1514.2460000000001</v>
      </c>
      <c r="H10" s="36">
        <f>GrossMargin!J11</f>
        <v>0</v>
      </c>
      <c r="I10" s="36">
        <f>GrossMargin!K11</f>
        <v>0</v>
      </c>
      <c r="J10" s="134">
        <f t="shared" si="1"/>
        <v>1514.2460000000001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-7385.241</v>
      </c>
      <c r="P10" s="37"/>
      <c r="Q10" s="132">
        <f t="shared" si="3"/>
        <v>-14735.754000000001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4" si="4">SUM(Q10:U10)</f>
        <v>-14735.754000000001</v>
      </c>
      <c r="W10" s="32"/>
    </row>
    <row r="11" spans="1:24" ht="13.5" customHeight="1">
      <c r="A11" s="106" t="s">
        <v>109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-394</v>
      </c>
      <c r="H11" s="36">
        <f>GrossMargin!J12</f>
        <v>0</v>
      </c>
      <c r="I11" s="36">
        <f>GrossMargin!K12</f>
        <v>0</v>
      </c>
      <c r="J11" s="134">
        <f>SUM(G11:I11)</f>
        <v>-394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-1117.2740000000001</v>
      </c>
      <c r="P11" s="37"/>
      <c r="Q11" s="132">
        <f>+J11-C11</f>
        <v>-2894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-2894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63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1431</v>
      </c>
      <c r="H13" s="36">
        <f>GrossMargin!J14</f>
        <v>0</v>
      </c>
      <c r="I13" s="36">
        <f>GrossMargin!K14</f>
        <v>0</v>
      </c>
      <c r="J13" s="134">
        <f t="shared" si="1"/>
        <v>1431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-2205.8330000000001</v>
      </c>
      <c r="P13" s="37"/>
      <c r="Q13" s="132">
        <f t="shared" si="3"/>
        <v>-7321.58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-7621.58</v>
      </c>
      <c r="W13" s="32"/>
    </row>
    <row r="14" spans="1:24" ht="13.5" customHeight="1">
      <c r="A14" s="106" t="s">
        <v>70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46.04</v>
      </c>
      <c r="H14" s="36">
        <f>GrossMargin!J15</f>
        <v>0</v>
      </c>
      <c r="I14" s="36">
        <f>GrossMargin!K15</f>
        <v>0</v>
      </c>
      <c r="J14" s="134">
        <f t="shared" si="1"/>
        <v>46.04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-3424.3679999999999</v>
      </c>
      <c r="P14" s="37"/>
      <c r="Q14" s="132">
        <f t="shared" si="3"/>
        <v>-8828.9599999999991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-8828.9599999999991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4499</v>
      </c>
      <c r="H15" s="138">
        <f>GrossMargin!J16</f>
        <v>0</v>
      </c>
      <c r="I15" s="138">
        <f>+GrossMargin!K22</f>
        <v>0</v>
      </c>
      <c r="J15" s="310">
        <f t="shared" si="1"/>
        <v>4499</v>
      </c>
      <c r="K15" s="311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310">
        <f t="shared" si="2"/>
        <v>1368.4529999999995</v>
      </c>
      <c r="P15" s="177"/>
      <c r="Q15" s="137">
        <f t="shared" si="3"/>
        <v>-25046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-25046</v>
      </c>
      <c r="W15" s="63"/>
      <c r="X15" s="167"/>
    </row>
    <row r="16" spans="1:24" s="64" customFormat="1" ht="13.5" customHeight="1">
      <c r="A16" s="165" t="s">
        <v>106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-38.317</v>
      </c>
      <c r="H16" s="138">
        <f>GrossMargin!J18</f>
        <v>0</v>
      </c>
      <c r="I16" s="138">
        <f>+GrossMargin!K23</f>
        <v>0</v>
      </c>
      <c r="J16" s="310">
        <f t="shared" si="1"/>
        <v>-38.317</v>
      </c>
      <c r="K16" s="311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310">
        <f t="shared" si="2"/>
        <v>-8801.527</v>
      </c>
      <c r="P16" s="177"/>
      <c r="Q16" s="137">
        <f t="shared" si="3"/>
        <v>-13343.816999999999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-13343.816999999999</v>
      </c>
      <c r="W16" s="63"/>
      <c r="X16" s="167"/>
    </row>
    <row r="17" spans="1:24" s="64" customFormat="1" ht="13.5" customHeight="1">
      <c r="A17" s="165" t="s">
        <v>86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4" si="5">C17-D17</f>
        <v>41380.572</v>
      </c>
      <c r="F17" s="138"/>
      <c r="G17" s="137">
        <f>+GrossMargin!I24</f>
        <v>376</v>
      </c>
      <c r="H17" s="138">
        <f>GrossMargin!J19</f>
        <v>0</v>
      </c>
      <c r="I17" s="138">
        <f>+GrossMargin!K24</f>
        <v>0</v>
      </c>
      <c r="J17" s="310">
        <f t="shared" ref="J17:J24" si="6">SUM(G17:I17)</f>
        <v>376</v>
      </c>
      <c r="K17" s="311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310">
        <f t="shared" ref="O17:O24" si="7">J17-K17-M17-N17-L17</f>
        <v>-4083.4279999999999</v>
      </c>
      <c r="P17" s="177"/>
      <c r="Q17" s="137">
        <f t="shared" ref="Q17:Q24" si="8">+J17-C17</f>
        <v>-43624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-45464</v>
      </c>
      <c r="W17" s="63"/>
      <c r="X17" s="167"/>
    </row>
    <row r="18" spans="1:24" s="64" customFormat="1" ht="13.5" hidden="1" customHeight="1">
      <c r="A18" s="165" t="s">
        <v>88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310">
        <f t="shared" si="6"/>
        <v>0</v>
      </c>
      <c r="K18" s="311"/>
      <c r="L18" s="137">
        <f>+'Alloc Exp'!D19</f>
        <v>0</v>
      </c>
      <c r="M18" s="36">
        <f>Expenses!D18</f>
        <v>0</v>
      </c>
      <c r="N18" s="138">
        <f>+'Alloc Exp'!K19</f>
        <v>0</v>
      </c>
      <c r="O18" s="310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118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0</v>
      </c>
      <c r="H19" s="138">
        <f>GrossMargin!J22</f>
        <v>0</v>
      </c>
      <c r="I19" s="138">
        <f>+GrossMargin!K26</f>
        <v>0</v>
      </c>
      <c r="J19" s="310">
        <f t="shared" si="6"/>
        <v>0</v>
      </c>
      <c r="K19" s="311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310">
        <f t="shared" si="7"/>
        <v>-3366.3780000000002</v>
      </c>
      <c r="P19" s="177"/>
      <c r="Q19" s="137">
        <f t="shared" si="8"/>
        <v>-3750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-3750</v>
      </c>
      <c r="W19" s="63"/>
      <c r="X19" s="167"/>
    </row>
    <row r="20" spans="1:24" s="64" customFormat="1" ht="13.5" customHeight="1">
      <c r="A20" s="165" t="s">
        <v>119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0</v>
      </c>
      <c r="H20" s="138">
        <f>GrossMargin!J23</f>
        <v>0</v>
      </c>
      <c r="I20" s="138">
        <f>+GrossMargin!K27</f>
        <v>0</v>
      </c>
      <c r="J20" s="310">
        <f>SUM(G20:I20)</f>
        <v>0</v>
      </c>
      <c r="K20" s="311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310">
        <f>J20-K20-M20-N20-L20</f>
        <v>-138.44999999999999</v>
      </c>
      <c r="P20" s="177"/>
      <c r="Q20" s="137">
        <f>+J20-C20</f>
        <v>-1602.701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-1602.701</v>
      </c>
      <c r="W20" s="63"/>
      <c r="X20" s="167"/>
    </row>
    <row r="21" spans="1:24" ht="13.5" customHeight="1">
      <c r="A21" s="106" t="s">
        <v>104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310">
        <f t="shared" si="6"/>
        <v>0</v>
      </c>
      <c r="K21" s="311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310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120</v>
      </c>
      <c r="B22" s="35"/>
      <c r="C22" s="137">
        <f>+GrossMargin!M29</f>
        <v>0</v>
      </c>
      <c r="D22" s="138">
        <v>0</v>
      </c>
      <c r="E22" s="162">
        <f t="shared" si="5"/>
        <v>0</v>
      </c>
      <c r="F22" s="138"/>
      <c r="G22" s="137">
        <f>+GrossMargin!I29</f>
        <v>-30000</v>
      </c>
      <c r="H22" s="138"/>
      <c r="I22" s="138"/>
      <c r="J22" s="310">
        <f t="shared" si="6"/>
        <v>-30000</v>
      </c>
      <c r="K22" s="311"/>
      <c r="L22" s="137"/>
      <c r="M22" s="36">
        <v>0</v>
      </c>
      <c r="N22" s="138">
        <v>0</v>
      </c>
      <c r="O22" s="310">
        <f t="shared" si="7"/>
        <v>-30000</v>
      </c>
      <c r="P22" s="177"/>
      <c r="Q22" s="137">
        <f t="shared" si="8"/>
        <v>-30000</v>
      </c>
      <c r="R22" s="138"/>
      <c r="S22" s="138"/>
      <c r="T22" s="36">
        <v>0</v>
      </c>
      <c r="U22" s="138">
        <v>0</v>
      </c>
      <c r="V22" s="133">
        <f t="shared" si="4"/>
        <v>-30000</v>
      </c>
      <c r="W22" s="32"/>
    </row>
    <row r="23" spans="1:24" ht="13.5" customHeight="1">
      <c r="A23" s="106" t="s">
        <v>2</v>
      </c>
      <c r="B23" s="35"/>
      <c r="C23" s="137">
        <f>+GrossMargin!M30</f>
        <v>0</v>
      </c>
      <c r="D23" s="138">
        <f>+Expenses!E22+'Alloc Exp'!E23+'Alloc Exp'!L23</f>
        <v>1010.9559999999999</v>
      </c>
      <c r="E23" s="162">
        <f t="shared" si="5"/>
        <v>-1010.9559999999999</v>
      </c>
      <c r="F23" s="138"/>
      <c r="G23" s="137">
        <f>+GrossMargin!I30</f>
        <v>0</v>
      </c>
      <c r="H23" s="138">
        <f>GrossMargin!J23</f>
        <v>0</v>
      </c>
      <c r="I23" s="138">
        <f>+GrossMargin!K30</f>
        <v>0</v>
      </c>
      <c r="J23" s="310">
        <f t="shared" si="6"/>
        <v>0</v>
      </c>
      <c r="K23" s="311"/>
      <c r="L23" s="137">
        <f>+'Alloc Exp'!D23</f>
        <v>0</v>
      </c>
      <c r="M23" s="36">
        <f>Expenses!D22</f>
        <v>537.20399999999995</v>
      </c>
      <c r="N23" s="138">
        <f>+'Alloc Exp'!K23</f>
        <v>473.75200000000001</v>
      </c>
      <c r="O23" s="310">
        <f t="shared" si="7"/>
        <v>-1010.9559999999999</v>
      </c>
      <c r="P23" s="177"/>
      <c r="Q23" s="137">
        <f t="shared" si="8"/>
        <v>0</v>
      </c>
      <c r="R23" s="138"/>
      <c r="S23" s="138">
        <f>+'Alloc Exp'!F23</f>
        <v>0</v>
      </c>
      <c r="T23" s="36">
        <f>Expenses!F22</f>
        <v>0</v>
      </c>
      <c r="U23" s="138">
        <f>+'Alloc Exp'!M23</f>
        <v>0</v>
      </c>
      <c r="V23" s="133">
        <f t="shared" si="4"/>
        <v>0</v>
      </c>
      <c r="W23" s="32"/>
    </row>
    <row r="24" spans="1:24" ht="13.5" customHeight="1">
      <c r="A24" s="106" t="s">
        <v>116</v>
      </c>
      <c r="B24" s="35"/>
      <c r="C24" s="137">
        <f>+GrossMargin!M31</f>
        <v>1730.691</v>
      </c>
      <c r="D24" s="138">
        <f>+Expenses!E23+'Alloc Exp'!E24+'Alloc Exp'!L24</f>
        <v>0</v>
      </c>
      <c r="E24" s="162">
        <f t="shared" si="5"/>
        <v>1730.691</v>
      </c>
      <c r="F24" s="138"/>
      <c r="G24" s="137">
        <f>+GrossMargin!I31</f>
        <v>0</v>
      </c>
      <c r="H24" s="138">
        <f>GrossMargin!J24</f>
        <v>0</v>
      </c>
      <c r="I24" s="138">
        <f>+GrossMargin!K31</f>
        <v>0</v>
      </c>
      <c r="J24" s="310">
        <f t="shared" si="6"/>
        <v>0</v>
      </c>
      <c r="K24" s="311"/>
      <c r="L24" s="137">
        <f>+'Alloc Exp'!D24</f>
        <v>0</v>
      </c>
      <c r="M24" s="36">
        <f>Expenses!D23</f>
        <v>0</v>
      </c>
      <c r="N24" s="138">
        <f>+'Alloc Exp'!K24</f>
        <v>0</v>
      </c>
      <c r="O24" s="310">
        <f t="shared" si="7"/>
        <v>0</v>
      </c>
      <c r="P24" s="177"/>
      <c r="Q24" s="137">
        <f t="shared" si="8"/>
        <v>-1730.691</v>
      </c>
      <c r="R24" s="138"/>
      <c r="S24" s="138">
        <f>+'Alloc Exp'!F24</f>
        <v>0</v>
      </c>
      <c r="T24" s="36">
        <f>Expenses!F23</f>
        <v>0</v>
      </c>
      <c r="U24" s="138">
        <f>+'Alloc Exp'!M24</f>
        <v>0</v>
      </c>
      <c r="V24" s="133">
        <f t="shared" si="4"/>
        <v>-1730.691</v>
      </c>
      <c r="W24" s="32"/>
    </row>
    <row r="25" spans="1:24" ht="3" customHeight="1">
      <c r="A25" s="106"/>
      <c r="B25" s="35"/>
      <c r="C25" s="132"/>
      <c r="D25" s="36"/>
      <c r="E25" s="133"/>
      <c r="F25" s="36"/>
      <c r="G25" s="132"/>
      <c r="H25" s="36"/>
      <c r="I25" s="36"/>
      <c r="J25" s="134"/>
      <c r="K25" s="135"/>
      <c r="L25" s="312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91</v>
      </c>
      <c r="B26" s="35"/>
      <c r="C26" s="43">
        <f>SUM(C9:C25)</f>
        <v>175311.47200000001</v>
      </c>
      <c r="D26" s="44">
        <f>SUM(D9:D25)</f>
        <v>53146.674999999996</v>
      </c>
      <c r="E26" s="45">
        <f>SUM(E9:E25)</f>
        <v>122164.79700000002</v>
      </c>
      <c r="F26" s="36"/>
      <c r="G26" s="43">
        <f t="shared" ref="G26:O26" si="9">SUM(G9:G25)</f>
        <v>-30292.030999999999</v>
      </c>
      <c r="H26" s="44">
        <f t="shared" si="9"/>
        <v>0</v>
      </c>
      <c r="I26" s="44">
        <f t="shared" si="9"/>
        <v>0</v>
      </c>
      <c r="J26" s="46">
        <f t="shared" si="9"/>
        <v>-30292.030999999999</v>
      </c>
      <c r="K26" s="44">
        <f t="shared" si="9"/>
        <v>0</v>
      </c>
      <c r="L26" s="43">
        <f t="shared" si="9"/>
        <v>0</v>
      </c>
      <c r="M26" s="44">
        <f t="shared" si="9"/>
        <v>32094.577000000001</v>
      </c>
      <c r="N26" s="44">
        <f t="shared" si="9"/>
        <v>23192.098000000002</v>
      </c>
      <c r="O26" s="46">
        <f t="shared" si="9"/>
        <v>-85578.706000000006</v>
      </c>
      <c r="P26" s="37"/>
      <c r="Q26" s="43">
        <f t="shared" ref="Q26:V26" si="10">SUM(Q9:Q25)</f>
        <v>-205603.50299999997</v>
      </c>
      <c r="R26" s="44">
        <f t="shared" si="10"/>
        <v>0</v>
      </c>
      <c r="S26" s="44">
        <f t="shared" si="10"/>
        <v>0</v>
      </c>
      <c r="T26" s="44">
        <f t="shared" si="10"/>
        <v>-2140</v>
      </c>
      <c r="U26" s="44">
        <f t="shared" si="10"/>
        <v>0</v>
      </c>
      <c r="V26" s="45">
        <f t="shared" si="10"/>
        <v>-207743.50299999997</v>
      </c>
      <c r="W26" s="32"/>
    </row>
    <row r="27" spans="1:24" ht="3" customHeight="1">
      <c r="A27" s="106"/>
      <c r="B27" s="35"/>
      <c r="C27" s="132"/>
      <c r="D27" s="36"/>
      <c r="E27" s="133"/>
      <c r="F27" s="36"/>
      <c r="G27" s="132"/>
      <c r="H27" s="36"/>
      <c r="I27" s="36"/>
      <c r="J27" s="134"/>
      <c r="K27" s="135"/>
      <c r="L27" s="312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 customHeight="1">
      <c r="A28" s="106" t="s">
        <v>115</v>
      </c>
      <c r="B28" s="35"/>
      <c r="C28" s="132">
        <v>0</v>
      </c>
      <c r="D28" s="36">
        <f>Expenses!E26</f>
        <v>42641.985000000001</v>
      </c>
      <c r="E28" s="133">
        <f>C28-D28</f>
        <v>-42641.985000000001</v>
      </c>
      <c r="F28" s="36"/>
      <c r="G28" s="132">
        <v>0</v>
      </c>
      <c r="H28" s="36">
        <v>0</v>
      </c>
      <c r="I28" s="36">
        <v>0</v>
      </c>
      <c r="J28" s="134">
        <f>SUM(G28:I28)</f>
        <v>0</v>
      </c>
      <c r="K28" s="135"/>
      <c r="L28" s="132">
        <f>'Alloc Exp'!D28</f>
        <v>0</v>
      </c>
      <c r="M28" s="36">
        <f>+Expenses!D26</f>
        <v>42641.985000000001</v>
      </c>
      <c r="N28" s="36">
        <v>0</v>
      </c>
      <c r="O28" s="134">
        <f>J28-K28-M28-N28-L28</f>
        <v>-42641.985000000001</v>
      </c>
      <c r="P28" s="37"/>
      <c r="Q28" s="132">
        <f>+J28-C28</f>
        <v>0</v>
      </c>
      <c r="R28" s="36"/>
      <c r="S28" s="36">
        <v>0</v>
      </c>
      <c r="T28" s="36">
        <f>Expenses!F26</f>
        <v>0</v>
      </c>
      <c r="U28" s="36">
        <v>0</v>
      </c>
      <c r="V28" s="133">
        <f>SUM(Q28:U28)</f>
        <v>0</v>
      </c>
      <c r="W28" s="32"/>
    </row>
    <row r="29" spans="1:24" ht="13.5" customHeight="1">
      <c r="A29" s="106" t="s">
        <v>90</v>
      </c>
      <c r="B29" s="35"/>
      <c r="C29" s="132">
        <v>0</v>
      </c>
      <c r="D29" s="36">
        <f>+'Alloc Exp'!L28</f>
        <v>-23192.098000000002</v>
      </c>
      <c r="E29" s="133">
        <f>C29-D29</f>
        <v>23192.098000000002</v>
      </c>
      <c r="F29" s="36"/>
      <c r="G29" s="132">
        <v>0</v>
      </c>
      <c r="H29" s="36"/>
      <c r="I29" s="36">
        <v>0</v>
      </c>
      <c r="J29" s="134">
        <f>SUM(G29:I29)</f>
        <v>0</v>
      </c>
      <c r="K29" s="135"/>
      <c r="L29" s="132">
        <v>0</v>
      </c>
      <c r="M29" s="36">
        <v>0</v>
      </c>
      <c r="N29" s="36">
        <f>+'Alloc Exp'!K28</f>
        <v>-23192.098000000002</v>
      </c>
      <c r="O29" s="134">
        <f>J29-K29-M29-N29-L29</f>
        <v>23192.098000000002</v>
      </c>
      <c r="P29" s="37"/>
      <c r="Q29" s="132">
        <f>+J29-C29</f>
        <v>0</v>
      </c>
      <c r="R29" s="36"/>
      <c r="S29" s="36">
        <v>0</v>
      </c>
      <c r="T29" s="36">
        <f>-T28</f>
        <v>0</v>
      </c>
      <c r="U29" s="138">
        <f>+'Alloc Exp'!M28</f>
        <v>0</v>
      </c>
      <c r="V29" s="133">
        <f>SUM(Q29:U29)</f>
        <v>0</v>
      </c>
      <c r="W29" s="32"/>
    </row>
    <row r="30" spans="1:24" ht="13.5" hidden="1" customHeight="1">
      <c r="A30" s="106" t="s">
        <v>10</v>
      </c>
      <c r="B30" s="35"/>
      <c r="C30" s="137">
        <f>GrossMargin!M35</f>
        <v>0</v>
      </c>
      <c r="D30" s="36">
        <f>Expenses!E27</f>
        <v>0</v>
      </c>
      <c r="E30" s="133">
        <f>C30-D30</f>
        <v>0</v>
      </c>
      <c r="F30" s="135"/>
      <c r="G30" s="132">
        <f>GrossMargin!I35</f>
        <v>0</v>
      </c>
      <c r="H30" s="36">
        <f>GrossMargin!J35</f>
        <v>0</v>
      </c>
      <c r="I30" s="36">
        <f>GrossMargin!K35</f>
        <v>0</v>
      </c>
      <c r="J30" s="134">
        <f>SUM(G30:I30)</f>
        <v>0</v>
      </c>
      <c r="K30" s="135"/>
      <c r="L30" s="132">
        <v>0</v>
      </c>
      <c r="M30" s="36">
        <f>Expenses!D27</f>
        <v>0</v>
      </c>
      <c r="N30" s="36">
        <v>0</v>
      </c>
      <c r="O30" s="134">
        <f>J30-K30-M30-N30-L30</f>
        <v>0</v>
      </c>
      <c r="P30" s="37"/>
      <c r="Q30" s="132">
        <f>+J30-C30</f>
        <v>0</v>
      </c>
      <c r="R30" s="36"/>
      <c r="S30" s="36">
        <v>0</v>
      </c>
      <c r="T30" s="36">
        <f>Expenses!F27</f>
        <v>0</v>
      </c>
      <c r="U30" s="36">
        <v>0</v>
      </c>
      <c r="V30" s="133">
        <f>ROUND(SUM(Q30:U30),0)</f>
        <v>0</v>
      </c>
      <c r="W30" s="32"/>
    </row>
    <row r="31" spans="1:24" ht="13.5" hidden="1" customHeight="1">
      <c r="A31" s="106" t="s">
        <v>34</v>
      </c>
      <c r="B31" s="35"/>
      <c r="C31" s="132">
        <v>0</v>
      </c>
      <c r="D31" s="138">
        <f>'Alloc Exp'!E27</f>
        <v>0</v>
      </c>
      <c r="E31" s="133">
        <f>C31-D31</f>
        <v>0</v>
      </c>
      <c r="F31" s="36"/>
      <c r="G31" s="132">
        <v>0</v>
      </c>
      <c r="H31" s="36">
        <v>0</v>
      </c>
      <c r="I31" s="36">
        <v>0</v>
      </c>
      <c r="J31" s="134">
        <f>SUM(G31:I31)</f>
        <v>0</v>
      </c>
      <c r="K31" s="135"/>
      <c r="L31" s="137">
        <f>'Alloc Exp'!D27</f>
        <v>0</v>
      </c>
      <c r="M31" s="36">
        <v>0</v>
      </c>
      <c r="N31" s="36">
        <v>0</v>
      </c>
      <c r="O31" s="134">
        <f>J31-K31-M31-N31-L31</f>
        <v>0</v>
      </c>
      <c r="P31" s="37"/>
      <c r="Q31" s="132">
        <f>+J31-C31</f>
        <v>0</v>
      </c>
      <c r="R31" s="36"/>
      <c r="S31" s="36">
        <f>'Alloc Exp'!F27</f>
        <v>0</v>
      </c>
      <c r="T31" s="36">
        <v>0</v>
      </c>
      <c r="U31" s="36"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3"/>
      <c r="F32" s="36"/>
      <c r="G32" s="132"/>
      <c r="H32" s="36"/>
      <c r="I32" s="36"/>
      <c r="J32" s="134"/>
      <c r="K32" s="135"/>
      <c r="L32" s="312"/>
      <c r="M32" s="36"/>
      <c r="N32" s="36"/>
      <c r="O32" s="134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43">
        <f>SUM(C26:C32)</f>
        <v>175311.47200000001</v>
      </c>
      <c r="D33" s="44">
        <f>SUM(D26:D32)</f>
        <v>72596.562000000005</v>
      </c>
      <c r="E33" s="45">
        <f>SUM(E26:E32)</f>
        <v>102714.91000000002</v>
      </c>
      <c r="F33" s="36"/>
      <c r="G33" s="43">
        <f t="shared" ref="G33:N33" si="11">SUM(G26:G32)</f>
        <v>-30292.030999999999</v>
      </c>
      <c r="H33" s="44">
        <f t="shared" si="11"/>
        <v>0</v>
      </c>
      <c r="I33" s="44">
        <f t="shared" si="11"/>
        <v>0</v>
      </c>
      <c r="J33" s="46">
        <f t="shared" si="11"/>
        <v>-30292.030999999999</v>
      </c>
      <c r="K33" s="44">
        <f t="shared" si="11"/>
        <v>0</v>
      </c>
      <c r="L33" s="43">
        <f t="shared" si="11"/>
        <v>0</v>
      </c>
      <c r="M33" s="44">
        <f t="shared" si="11"/>
        <v>74736.562000000005</v>
      </c>
      <c r="N33" s="44">
        <f t="shared" si="11"/>
        <v>0</v>
      </c>
      <c r="O33" s="46">
        <f>J33-K33-M33-N33-L33</f>
        <v>-105028.59300000001</v>
      </c>
      <c r="P33" s="37"/>
      <c r="Q33" s="43">
        <f t="shared" ref="Q33:V33" si="12">SUM(Q26:Q32)</f>
        <v>-205603.50299999997</v>
      </c>
      <c r="R33" s="44">
        <f t="shared" si="12"/>
        <v>0</v>
      </c>
      <c r="S33" s="44">
        <f t="shared" si="12"/>
        <v>0</v>
      </c>
      <c r="T33" s="44">
        <f t="shared" si="12"/>
        <v>-2140</v>
      </c>
      <c r="U33" s="44">
        <f t="shared" si="12"/>
        <v>0</v>
      </c>
      <c r="V33" s="45">
        <f t="shared" si="12"/>
        <v>-207743.50299999997</v>
      </c>
      <c r="W33" s="32"/>
    </row>
    <row r="34" spans="1:23" ht="3" customHeight="1">
      <c r="A34" s="106"/>
      <c r="B34" s="35"/>
      <c r="C34" s="132"/>
      <c r="D34" s="36"/>
      <c r="E34" s="133"/>
      <c r="F34" s="36"/>
      <c r="G34" s="132" t="s">
        <v>61</v>
      </c>
      <c r="H34" s="36"/>
      <c r="I34" s="36"/>
      <c r="J34" s="134"/>
      <c r="K34" s="135"/>
      <c r="L34" s="312"/>
      <c r="M34" s="36" t="s">
        <v>62</v>
      </c>
      <c r="N34" s="36"/>
      <c r="O34" s="134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132">
        <v>0</v>
      </c>
      <c r="D35" s="138">
        <v>6400</v>
      </c>
      <c r="E35" s="133">
        <f>C35-D35</f>
        <v>-6400</v>
      </c>
      <c r="F35" s="36"/>
      <c r="G35" s="132">
        <f>GrossMargin!I47</f>
        <v>0</v>
      </c>
      <c r="H35" s="36">
        <f>GrossMargin!J47</f>
        <v>0</v>
      </c>
      <c r="I35" s="36">
        <f>GrossMargin!K47</f>
        <v>0</v>
      </c>
      <c r="J35" s="134">
        <f>SUM(G35:I35)</f>
        <v>0</v>
      </c>
      <c r="K35" s="135"/>
      <c r="L35" s="312">
        <v>0</v>
      </c>
      <c r="M35" s="138">
        <v>6400</v>
      </c>
      <c r="N35" s="36">
        <v>0</v>
      </c>
      <c r="O35" s="134">
        <f>J35-K35-M35-N35-L35</f>
        <v>-6400</v>
      </c>
      <c r="P35" s="37"/>
      <c r="Q35" s="132">
        <f>+J35-C35</f>
        <v>0</v>
      </c>
      <c r="R35" s="36"/>
      <c r="S35" s="36">
        <v>0</v>
      </c>
      <c r="T35" s="36">
        <f>D35-M35</f>
        <v>0</v>
      </c>
      <c r="U35" s="36">
        <v>0</v>
      </c>
      <c r="V35" s="133">
        <f>SUM(Q35:U35)</f>
        <v>0</v>
      </c>
      <c r="W35" s="32"/>
    </row>
    <row r="36" spans="1:23" ht="3" customHeight="1">
      <c r="A36" s="106"/>
      <c r="B36" s="35"/>
      <c r="C36" s="132"/>
      <c r="D36" s="36"/>
      <c r="E36" s="133"/>
      <c r="F36" s="36"/>
      <c r="G36" s="132"/>
      <c r="H36" s="36"/>
      <c r="I36" s="36"/>
      <c r="J36" s="134"/>
      <c r="K36" s="135"/>
      <c r="L36" s="312"/>
      <c r="M36" s="36"/>
      <c r="N36" s="36"/>
      <c r="O36" s="134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13">
        <f>SUM(C33:C35)</f>
        <v>175311.47200000001</v>
      </c>
      <c r="D37" s="314">
        <f>SUM(D33:D35)</f>
        <v>78996.562000000005</v>
      </c>
      <c r="E37" s="315">
        <f>SUM(E33:E35)</f>
        <v>96314.910000000018</v>
      </c>
      <c r="F37" s="36"/>
      <c r="G37" s="313">
        <f t="shared" ref="G37:V37" si="13">SUM(G33:G35)</f>
        <v>-30292.030999999999</v>
      </c>
      <c r="H37" s="314">
        <f t="shared" si="13"/>
        <v>0</v>
      </c>
      <c r="I37" s="314">
        <f t="shared" si="13"/>
        <v>0</v>
      </c>
      <c r="J37" s="316">
        <f t="shared" si="13"/>
        <v>-30292.030999999999</v>
      </c>
      <c r="K37" s="314">
        <f t="shared" si="13"/>
        <v>0</v>
      </c>
      <c r="L37" s="313">
        <f t="shared" si="13"/>
        <v>0</v>
      </c>
      <c r="M37" s="314">
        <f t="shared" si="13"/>
        <v>81136.562000000005</v>
      </c>
      <c r="N37" s="314">
        <f t="shared" si="13"/>
        <v>0</v>
      </c>
      <c r="O37" s="316">
        <f>J37-K37-M37-N37-L37</f>
        <v>-111428.59300000001</v>
      </c>
      <c r="P37" s="37"/>
      <c r="Q37" s="39">
        <f t="shared" si="13"/>
        <v>-205603.50299999997</v>
      </c>
      <c r="R37" s="40">
        <f t="shared" si="13"/>
        <v>0</v>
      </c>
      <c r="S37" s="40">
        <f t="shared" si="13"/>
        <v>0</v>
      </c>
      <c r="T37" s="40">
        <f t="shared" si="13"/>
        <v>-2140</v>
      </c>
      <c r="U37" s="40">
        <f t="shared" si="13"/>
        <v>0</v>
      </c>
      <c r="V37" s="41">
        <f t="shared" si="13"/>
        <v>-207743.50299999997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>
      <c r="A39" s="66"/>
      <c r="C39" s="67"/>
      <c r="D39" s="23"/>
      <c r="E39" s="66"/>
      <c r="F39" s="23"/>
      <c r="G39" s="68"/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  <c r="F55" s="23"/>
    </row>
    <row r="56" spans="1:6">
      <c r="A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C62" s="23"/>
      <c r="D62" s="23"/>
      <c r="E62" s="23"/>
      <c r="F62" s="23"/>
    </row>
    <row r="63" spans="1:6">
      <c r="C63" s="23"/>
      <c r="D63" s="23"/>
      <c r="E63" s="23"/>
      <c r="F63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2"/>
  <sheetViews>
    <sheetView zoomScaleNormal="100" workbookViewId="0">
      <selection activeCell="D38" sqref="D38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October 19,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112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105</v>
      </c>
      <c r="B9" s="34"/>
      <c r="C9" s="137">
        <f>+GrossMargin!D10-[8]GrossMargin!D10</f>
        <v>-2744</v>
      </c>
      <c r="D9" s="138">
        <f>+GrossMargin!E10-[8]GrossMargin!E10</f>
        <v>0</v>
      </c>
      <c r="E9" s="36"/>
      <c r="F9" s="138">
        <f>+GrossMargin!G10-[8]GrossMargin!G10</f>
        <v>0</v>
      </c>
      <c r="G9" s="136">
        <v>0</v>
      </c>
      <c r="H9" s="134">
        <f t="shared" ref="H9:H20" si="0">SUM(C9:G9)</f>
        <v>-2744</v>
      </c>
      <c r="I9" s="132">
        <v>0</v>
      </c>
      <c r="J9" s="138">
        <f>+GrossMargin!K10-[8]GrossMargin!K10</f>
        <v>0</v>
      </c>
      <c r="K9" s="133">
        <f t="shared" ref="K9:K20" si="1">SUM(H9:J9)</f>
        <v>-2744</v>
      </c>
    </row>
    <row r="10" spans="1:11" s="186" customFormat="1" ht="13.5" customHeight="1">
      <c r="A10" s="318" t="s">
        <v>117</v>
      </c>
      <c r="B10" s="34"/>
      <c r="C10" s="137">
        <f>+GrossMargin!D11-[8]GrossMargin!D11</f>
        <v>-587</v>
      </c>
      <c r="D10" s="138">
        <f>+GrossMargin!E11-[8]GrossMargin!E11</f>
        <v>-914.76100000000008</v>
      </c>
      <c r="E10" s="36"/>
      <c r="F10" s="138">
        <f>+GrossMargin!G11-[8]GrossMargin!G11</f>
        <v>0</v>
      </c>
      <c r="G10" s="136">
        <v>0</v>
      </c>
      <c r="H10" s="134">
        <f t="shared" si="0"/>
        <v>-1501.761</v>
      </c>
      <c r="I10" s="132">
        <v>0</v>
      </c>
      <c r="J10" s="138">
        <f>+GrossMargin!K11-[8]GrossMargin!K11</f>
        <v>0</v>
      </c>
      <c r="K10" s="133">
        <f t="shared" si="1"/>
        <v>-1501.761</v>
      </c>
    </row>
    <row r="11" spans="1:11" s="186" customFormat="1" ht="13.5" customHeight="1">
      <c r="A11" s="106" t="s">
        <v>109</v>
      </c>
      <c r="B11" s="34"/>
      <c r="C11" s="137">
        <f>+GrossMargin!D12-[8]GrossMargin!D12</f>
        <v>-131</v>
      </c>
      <c r="D11" s="138">
        <f>+GrossMargin!E12-[8]GrossMargin!E12</f>
        <v>0</v>
      </c>
      <c r="E11" s="36"/>
      <c r="F11" s="138">
        <f>+GrossMargin!G12-[8]GrossMargin!G12</f>
        <v>0</v>
      </c>
      <c r="G11" s="136">
        <v>0</v>
      </c>
      <c r="H11" s="134">
        <f t="shared" si="0"/>
        <v>-131</v>
      </c>
      <c r="I11" s="132">
        <v>0</v>
      </c>
      <c r="J11" s="138">
        <f>+GrossMargin!K12-[8]GrossMargin!K12</f>
        <v>0</v>
      </c>
      <c r="K11" s="133">
        <f t="shared" si="1"/>
        <v>-131</v>
      </c>
    </row>
    <row r="12" spans="1:11" s="186" customFormat="1" ht="13.5" hidden="1" customHeight="1">
      <c r="A12" s="106" t="s">
        <v>43</v>
      </c>
      <c r="B12" s="34"/>
      <c r="C12" s="137">
        <f>+GrossMargin!D13-[8]GrossMargin!D13</f>
        <v>0</v>
      </c>
      <c r="D12" s="138">
        <f>+GrossMargin!E13-[8]GrossMargin!E13</f>
        <v>0</v>
      </c>
      <c r="E12" s="36"/>
      <c r="F12" s="138">
        <f>+GrossMargin!G13-[8]GrossMargin!G13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+GrossMargin!K13-[8]GrossMargin!K13</f>
        <v>0</v>
      </c>
      <c r="K12" s="133">
        <f t="shared" si="1"/>
        <v>0</v>
      </c>
    </row>
    <row r="13" spans="1:11" s="186" customFormat="1" ht="13.5" customHeight="1">
      <c r="A13" s="106" t="s">
        <v>63</v>
      </c>
      <c r="B13" s="34"/>
      <c r="C13" s="137">
        <f>+GrossMargin!D14-[8]GrossMargin!D14</f>
        <v>64</v>
      </c>
      <c r="D13" s="138">
        <f>+GrossMargin!E14-[8]GrossMargin!E14</f>
        <v>0</v>
      </c>
      <c r="E13" s="36"/>
      <c r="F13" s="138">
        <f>+GrossMargin!G14-[8]GrossMargin!G14</f>
        <v>0</v>
      </c>
      <c r="G13" s="136">
        <v>0</v>
      </c>
      <c r="H13" s="134">
        <f t="shared" si="0"/>
        <v>64</v>
      </c>
      <c r="I13" s="132">
        <v>0</v>
      </c>
      <c r="J13" s="138">
        <f>+GrossMargin!K14-[8]GrossMargin!K14</f>
        <v>0</v>
      </c>
      <c r="K13" s="133">
        <f t="shared" si="1"/>
        <v>64</v>
      </c>
    </row>
    <row r="14" spans="1:11" s="186" customFormat="1" ht="13.5" customHeight="1">
      <c r="A14" s="106" t="s">
        <v>70</v>
      </c>
      <c r="B14" s="34"/>
      <c r="C14" s="137">
        <f>+GrossMargin!D15-[8]GrossMargin!D15</f>
        <v>12</v>
      </c>
      <c r="D14" s="138">
        <f>+GrossMargin!E15-[8]GrossMargin!E15</f>
        <v>0</v>
      </c>
      <c r="E14" s="36"/>
      <c r="F14" s="138">
        <f>+GrossMargin!G15-[8]GrossMargin!G15</f>
        <v>0</v>
      </c>
      <c r="G14" s="136">
        <v>0</v>
      </c>
      <c r="H14" s="134">
        <f t="shared" si="0"/>
        <v>12</v>
      </c>
      <c r="I14" s="132">
        <v>0</v>
      </c>
      <c r="J14" s="138">
        <f>+GrossMargin!K15-[8]GrossMargin!K15</f>
        <v>0</v>
      </c>
      <c r="K14" s="133">
        <f t="shared" si="1"/>
        <v>12</v>
      </c>
    </row>
    <row r="15" spans="1:11" ht="13.5" customHeight="1">
      <c r="A15" s="285" t="s">
        <v>78</v>
      </c>
      <c r="B15" s="245"/>
      <c r="C15" s="137">
        <f>+GrossMargin!D16-[8]GrossMargin!D16</f>
        <v>30</v>
      </c>
      <c r="D15" s="138">
        <f>+GrossMargin!E16-[8]GrossMargin!E16</f>
        <v>0</v>
      </c>
      <c r="E15" s="242"/>
      <c r="F15" s="138">
        <f>+GrossMargin!G16-[8]GrossMargin!G16</f>
        <v>0</v>
      </c>
      <c r="G15" s="243">
        <v>0</v>
      </c>
      <c r="H15" s="286">
        <f t="shared" si="0"/>
        <v>30</v>
      </c>
      <c r="I15" s="271">
        <v>0</v>
      </c>
      <c r="J15" s="138">
        <f>+GrossMargin!K16-[8]GrossMargin!K16</f>
        <v>0</v>
      </c>
      <c r="K15" s="272">
        <f t="shared" si="1"/>
        <v>30</v>
      </c>
    </row>
    <row r="16" spans="1:11" ht="13.5" customHeight="1">
      <c r="A16" s="285" t="s">
        <v>94</v>
      </c>
      <c r="B16" s="245"/>
      <c r="C16" s="137">
        <f>+GrossMargin!D17-[8]GrossMargin!D17</f>
        <v>-915</v>
      </c>
      <c r="D16" s="138">
        <f>+GrossMargin!E17-[8]GrossMargin!E17</f>
        <v>0</v>
      </c>
      <c r="E16" s="242"/>
      <c r="F16" s="138">
        <f>+GrossMargin!G17-[8]GrossMargin!G17</f>
        <v>0</v>
      </c>
      <c r="G16" s="243">
        <v>0</v>
      </c>
      <c r="H16" s="286">
        <f t="shared" si="0"/>
        <v>-915</v>
      </c>
      <c r="I16" s="271">
        <v>0</v>
      </c>
      <c r="J16" s="138">
        <f>+GrossMargin!K17-[8]GrossMargin!K17</f>
        <v>0</v>
      </c>
      <c r="K16" s="272">
        <f t="shared" si="1"/>
        <v>-915</v>
      </c>
    </row>
    <row r="17" spans="1:11" ht="13.5" customHeight="1">
      <c r="A17" s="285" t="s">
        <v>81</v>
      </c>
      <c r="B17" s="245"/>
      <c r="C17" s="137">
        <f>+GrossMargin!D18-[8]GrossMargin!D18</f>
        <v>1155</v>
      </c>
      <c r="D17" s="138">
        <f>+GrossMargin!E18-[8]GrossMargin!E18</f>
        <v>0</v>
      </c>
      <c r="E17" s="242"/>
      <c r="F17" s="138">
        <f>+GrossMargin!G18-[8]GrossMargin!G18</f>
        <v>0</v>
      </c>
      <c r="G17" s="243">
        <v>0</v>
      </c>
      <c r="H17" s="286">
        <f t="shared" si="0"/>
        <v>1155</v>
      </c>
      <c r="I17" s="271">
        <v>0</v>
      </c>
      <c r="J17" s="138">
        <f>+GrossMargin!K18-[8]GrossMargin!K18</f>
        <v>0</v>
      </c>
      <c r="K17" s="272">
        <f t="shared" si="1"/>
        <v>1155</v>
      </c>
    </row>
    <row r="18" spans="1:11" ht="13.5" customHeight="1">
      <c r="A18" s="285" t="s">
        <v>79</v>
      </c>
      <c r="B18" s="245"/>
      <c r="C18" s="137">
        <f>+GrossMargin!D19-[8]GrossMargin!D19</f>
        <v>1</v>
      </c>
      <c r="D18" s="138">
        <f>+GrossMargin!E19-[8]GrossMargin!E19</f>
        <v>0</v>
      </c>
      <c r="E18" s="242"/>
      <c r="F18" s="138">
        <f>+GrossMargin!G19-[8]GrossMargin!G19</f>
        <v>0</v>
      </c>
      <c r="G18" s="243">
        <v>0</v>
      </c>
      <c r="H18" s="286">
        <f t="shared" si="0"/>
        <v>1</v>
      </c>
      <c r="I18" s="271">
        <v>0</v>
      </c>
      <c r="J18" s="138">
        <f>+GrossMargin!K19-[8]GrossMargin!K19</f>
        <v>0</v>
      </c>
      <c r="K18" s="272">
        <f t="shared" si="1"/>
        <v>1</v>
      </c>
    </row>
    <row r="19" spans="1:11" ht="13.5" customHeight="1">
      <c r="A19" s="285" t="s">
        <v>80</v>
      </c>
      <c r="B19" s="245"/>
      <c r="C19" s="137">
        <f>+GrossMargin!D20-[8]GrossMargin!D20</f>
        <v>0</v>
      </c>
      <c r="D19" s="138">
        <f>+GrossMargin!E20-[8]GrossMargin!E20</f>
        <v>0</v>
      </c>
      <c r="E19" s="242"/>
      <c r="F19" s="138">
        <f>+GrossMargin!G20-[8]GrossMargin!G20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+GrossMargin!K20-[8]GrossMargin!K20</f>
        <v>0</v>
      </c>
      <c r="K19" s="272">
        <f t="shared" si="1"/>
        <v>0</v>
      </c>
    </row>
    <row r="20" spans="1:11" ht="13.5" customHeight="1">
      <c r="A20" s="285" t="s">
        <v>82</v>
      </c>
      <c r="B20" s="245"/>
      <c r="C20" s="317">
        <f>+GrossMargin!D21-[8]GrossMargin!D21</f>
        <v>0</v>
      </c>
      <c r="D20" s="319">
        <f>+GrossMargin!E21-[8]GrossMargin!E21</f>
        <v>0</v>
      </c>
      <c r="E20" s="252"/>
      <c r="F20" s="319">
        <f>+GrossMargin!G21-[8]GrossMargin!G21</f>
        <v>0</v>
      </c>
      <c r="G20" s="253">
        <v>0</v>
      </c>
      <c r="H20" s="287">
        <f t="shared" si="0"/>
        <v>0</v>
      </c>
      <c r="I20" s="273">
        <v>0</v>
      </c>
      <c r="J20" s="319">
        <f>+GrossMargin!K21-[8]GrossMargin!K21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271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271</v>
      </c>
      <c r="I21" s="132">
        <f t="shared" si="2"/>
        <v>0</v>
      </c>
      <c r="J21" s="36">
        <f t="shared" si="2"/>
        <v>0</v>
      </c>
      <c r="K21" s="133">
        <f t="shared" si="2"/>
        <v>271</v>
      </c>
    </row>
    <row r="22" spans="1:11" s="186" customFormat="1" ht="13.5" customHeight="1">
      <c r="A22" s="106" t="s">
        <v>113</v>
      </c>
      <c r="B22" s="34"/>
      <c r="C22" s="137">
        <f>+GrossMargin!D23-[8]GrossMargin!D23</f>
        <v>-50</v>
      </c>
      <c r="D22" s="138">
        <f>+GrossMargin!E23-[8]GrossMargin!E23</f>
        <v>-9.0540000000000003</v>
      </c>
      <c r="E22" s="36"/>
      <c r="F22" s="138">
        <f>+GrossMargin!G23-[8]GrossMargin!G23</f>
        <v>0</v>
      </c>
      <c r="G22" s="136">
        <v>0</v>
      </c>
      <c r="H22" s="134">
        <f t="shared" ref="H22:H30" si="3">SUM(C22:G22)</f>
        <v>-59.054000000000002</v>
      </c>
      <c r="I22" s="132">
        <v>0</v>
      </c>
      <c r="J22" s="138">
        <f>+GrossMargin!K23-[8]GrossMargin!K23</f>
        <v>0</v>
      </c>
      <c r="K22" s="133">
        <f t="shared" ref="K22:K30" si="4">SUM(H22:J22)</f>
        <v>-59.054000000000002</v>
      </c>
    </row>
    <row r="23" spans="1:11" s="186" customFormat="1" ht="13.5" customHeight="1">
      <c r="A23" s="106" t="s">
        <v>86</v>
      </c>
      <c r="B23" s="34"/>
      <c r="C23" s="137">
        <f>+GrossMargin!D24-[8]GrossMargin!D24</f>
        <v>105</v>
      </c>
      <c r="D23" s="138">
        <f>+GrossMargin!E24-[8]GrossMargin!E24</f>
        <v>0</v>
      </c>
      <c r="E23" s="36"/>
      <c r="F23" s="138">
        <f>+GrossMargin!G24-[8]GrossMargin!G24</f>
        <v>0</v>
      </c>
      <c r="G23" s="136">
        <v>0</v>
      </c>
      <c r="H23" s="134">
        <f t="shared" si="3"/>
        <v>105</v>
      </c>
      <c r="I23" s="132">
        <v>0</v>
      </c>
      <c r="J23" s="138">
        <f>+GrossMargin!K24-[8]GrossMargin!K24</f>
        <v>0</v>
      </c>
      <c r="K23" s="133">
        <f t="shared" si="4"/>
        <v>105</v>
      </c>
    </row>
    <row r="24" spans="1:11" s="186" customFormat="1" ht="13.5" hidden="1" customHeight="1">
      <c r="A24" s="106" t="s">
        <v>88</v>
      </c>
      <c r="B24" s="34"/>
      <c r="C24" s="137">
        <f>+GrossMargin!D25-[8]GrossMargin!D25</f>
        <v>0</v>
      </c>
      <c r="D24" s="138">
        <f>+GrossMargin!E25-[8]GrossMargin!E25</f>
        <v>0</v>
      </c>
      <c r="E24" s="36"/>
      <c r="F24" s="138">
        <f>+GrossMargin!G25-[8]GrossMargin!G25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+GrossMargin!K25-[8]GrossMargin!K25</f>
        <v>0</v>
      </c>
      <c r="K24" s="133">
        <f t="shared" si="4"/>
        <v>0</v>
      </c>
    </row>
    <row r="25" spans="1:11" s="186" customFormat="1" ht="13.5" customHeight="1">
      <c r="A25" s="106" t="s">
        <v>118</v>
      </c>
      <c r="B25" s="34"/>
      <c r="C25" s="137">
        <f>+GrossMargin!D26-[8]GrossMargin!D26</f>
        <v>0</v>
      </c>
      <c r="D25" s="138">
        <f>+GrossMargin!E26-[8]GrossMargin!E26</f>
        <v>0</v>
      </c>
      <c r="E25" s="36"/>
      <c r="F25" s="138">
        <f>+GrossMargin!G26-[8]GrossMargin!G26</f>
        <v>0</v>
      </c>
      <c r="G25" s="136"/>
      <c r="H25" s="134">
        <f t="shared" si="3"/>
        <v>0</v>
      </c>
      <c r="I25" s="132"/>
      <c r="J25" s="138">
        <f>+GrossMargin!K26-[8]GrossMargin!K26</f>
        <v>0</v>
      </c>
      <c r="K25" s="133">
        <f t="shared" si="4"/>
        <v>0</v>
      </c>
    </row>
    <row r="26" spans="1:11" s="186" customFormat="1" ht="13.5" customHeight="1">
      <c r="A26" s="106" t="s">
        <v>119</v>
      </c>
      <c r="B26" s="34"/>
      <c r="C26" s="137">
        <f>+GrossMargin!D27-[8]GrossMargin!D27</f>
        <v>0</v>
      </c>
      <c r="D26" s="138">
        <f>+GrossMargin!E27-[8]GrossMargin!E27</f>
        <v>0</v>
      </c>
      <c r="E26" s="36"/>
      <c r="F26" s="138">
        <f>+GrossMargin!G27-[8]GrossMargin!G27</f>
        <v>0</v>
      </c>
      <c r="G26" s="136"/>
      <c r="H26" s="134">
        <f t="shared" si="3"/>
        <v>0</v>
      </c>
      <c r="I26" s="132"/>
      <c r="J26" s="138">
        <f>+GrossMargin!K27-[8]GrossMargin!K27</f>
        <v>0</v>
      </c>
      <c r="K26" s="133">
        <f t="shared" si="4"/>
        <v>0</v>
      </c>
    </row>
    <row r="27" spans="1:11" ht="13.5" customHeight="1">
      <c r="A27" s="106" t="s">
        <v>104</v>
      </c>
      <c r="B27" s="166"/>
      <c r="C27" s="137">
        <f>+GrossMargin!D28-[8]GrossMargin!D28</f>
        <v>0</v>
      </c>
      <c r="D27" s="138">
        <f>+GrossMargin!E28-[8]GrossMargin!E28</f>
        <v>0</v>
      </c>
      <c r="E27" s="36"/>
      <c r="F27" s="138">
        <f>+GrossMargin!G28-[8]GrossMargin!G28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+GrossMargin!K28-[8]GrossMargin!K28</f>
        <v>0</v>
      </c>
      <c r="K27" s="133">
        <f t="shared" si="4"/>
        <v>0</v>
      </c>
    </row>
    <row r="28" spans="1:11" ht="13.5" customHeight="1">
      <c r="A28" s="106" t="s">
        <v>120</v>
      </c>
      <c r="B28" s="166"/>
      <c r="C28" s="137">
        <f>+GrossMargin!D29-[8]GrossMargin!D29</f>
        <v>0</v>
      </c>
      <c r="D28" s="138">
        <f>+GrossMargin!E29-[8]GrossMargin!E29</f>
        <v>0</v>
      </c>
      <c r="E28" s="36"/>
      <c r="F28" s="138">
        <f>+GrossMargin!G29-[8]GrossMargin!G29</f>
        <v>0</v>
      </c>
      <c r="G28" s="136"/>
      <c r="H28" s="134">
        <f t="shared" si="3"/>
        <v>0</v>
      </c>
      <c r="I28" s="132"/>
      <c r="J28" s="138">
        <f>+GrossMargin!K29-[8]GrossMargin!K29</f>
        <v>0</v>
      </c>
      <c r="K28" s="133">
        <f t="shared" si="4"/>
        <v>0</v>
      </c>
    </row>
    <row r="29" spans="1:11" ht="13.5" customHeight="1">
      <c r="A29" s="106" t="s">
        <v>2</v>
      </c>
      <c r="B29" s="166"/>
      <c r="C29" s="137">
        <f>+GrossMargin!D30-[8]GrossMargin!D30</f>
        <v>0</v>
      </c>
      <c r="D29" s="138">
        <f>+GrossMargin!E30-[8]GrossMargin!E30</f>
        <v>0</v>
      </c>
      <c r="E29" s="36"/>
      <c r="F29" s="138">
        <f>+GrossMargin!G30-[8]GrossMargin!G30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+GrossMargin!K30-[8]GrossMargin!K30</f>
        <v>0</v>
      </c>
      <c r="K29" s="133">
        <f t="shared" si="4"/>
        <v>0</v>
      </c>
    </row>
    <row r="30" spans="1:11" ht="13.5" customHeight="1">
      <c r="A30" s="106" t="s">
        <v>116</v>
      </c>
      <c r="B30" s="166"/>
      <c r="C30" s="137">
        <f>+GrossMargin!D31-[8]GrossMargin!D31</f>
        <v>0</v>
      </c>
      <c r="D30" s="138">
        <f>+GrossMargin!E31-[8]GrossMargin!E31</f>
        <v>0</v>
      </c>
      <c r="E30" s="36"/>
      <c r="F30" s="138">
        <f>+GrossMargin!G31-[8]GrossMargin!G31</f>
        <v>0</v>
      </c>
      <c r="G30" s="136">
        <v>0</v>
      </c>
      <c r="H30" s="134">
        <f t="shared" si="3"/>
        <v>0</v>
      </c>
      <c r="I30" s="132">
        <v>0</v>
      </c>
      <c r="J30" s="138">
        <f>+GrossMargin!K31-[8]GrossMargin!K31</f>
        <v>0</v>
      </c>
      <c r="K30" s="133">
        <f t="shared" si="4"/>
        <v>0</v>
      </c>
    </row>
    <row r="31" spans="1:11" ht="3" customHeight="1">
      <c r="A31" s="106"/>
      <c r="B31" s="34"/>
      <c r="C31" s="132"/>
      <c r="D31" s="36"/>
      <c r="E31" s="36"/>
      <c r="F31" s="136"/>
      <c r="G31" s="136"/>
      <c r="H31" s="134"/>
      <c r="I31" s="132"/>
      <c r="J31" s="36"/>
      <c r="K31" s="136"/>
    </row>
    <row r="32" spans="1:11" ht="13.5" customHeight="1">
      <c r="A32" s="38" t="s">
        <v>114</v>
      </c>
      <c r="B32" s="34"/>
      <c r="C32" s="43">
        <f>SUM(C21:C30)+SUM(C9:C14)</f>
        <v>-3060</v>
      </c>
      <c r="D32" s="44">
        <f>SUM(D9:D14)+SUM(D21:D30)</f>
        <v>-923.81500000000005</v>
      </c>
      <c r="E32" s="44">
        <f>SUM(E9:E14)+SUM(E21:E30)</f>
        <v>0</v>
      </c>
      <c r="F32" s="45">
        <f>SUM(F9:F14)+SUM(F21:F30)</f>
        <v>0</v>
      </c>
      <c r="G32" s="44">
        <f>SUM(G9:G14)+SUM(G21:G30)</f>
        <v>0</v>
      </c>
      <c r="H32" s="46">
        <f>SUM(H9:H14)+SUM(H21:H30)</f>
        <v>-3983.8150000000005</v>
      </c>
      <c r="I32" s="44" t="e">
        <f>+#REF!+#REF!</f>
        <v>#REF!</v>
      </c>
      <c r="J32" s="44">
        <f>SUM(J9:J14)+SUM(J21:J30)</f>
        <v>0</v>
      </c>
      <c r="K32" s="45">
        <f>SUM(K9:K14)+SUM(K21:K30)</f>
        <v>-3983.8150000000005</v>
      </c>
    </row>
    <row r="33" spans="1:11" ht="3" customHeight="1">
      <c r="A33" s="106"/>
      <c r="B33" s="34"/>
      <c r="C33" s="132"/>
      <c r="D33" s="36"/>
      <c r="E33" s="36"/>
      <c r="F33" s="136"/>
      <c r="G33" s="136"/>
      <c r="H33" s="134"/>
      <c r="I33" s="132"/>
      <c r="J33" s="36"/>
      <c r="K33" s="136"/>
    </row>
    <row r="34" spans="1:11" ht="13.5" hidden="1" customHeight="1">
      <c r="A34" s="106" t="s">
        <v>10</v>
      </c>
      <c r="B34" s="34"/>
      <c r="C34" s="132">
        <f>+[4]GrossMargin!D31-[5]GrossMargin!D31</f>
        <v>0</v>
      </c>
      <c r="D34" s="36">
        <f>+[4]GrossMargin!E31-[5]GrossMargin!E31</f>
        <v>0</v>
      </c>
      <c r="E34" s="36">
        <v>0</v>
      </c>
      <c r="F34" s="136">
        <f>+[4]GrossMargin!G31-[5]GrossMargin!G31</f>
        <v>0</v>
      </c>
      <c r="G34" s="136">
        <v>0</v>
      </c>
      <c r="H34" s="134">
        <f>SUM(C34:G34)</f>
        <v>0</v>
      </c>
      <c r="I34" s="132">
        <v>0</v>
      </c>
      <c r="J34" s="263">
        <f>+[4]GrossMargin!K31-[5]GrossMargin!K31</f>
        <v>0</v>
      </c>
      <c r="K34" s="133">
        <f>SUM(H34:J34)</f>
        <v>0</v>
      </c>
    </row>
    <row r="35" spans="1:11" ht="3" hidden="1" customHeight="1">
      <c r="A35" s="105"/>
      <c r="B35" s="34"/>
      <c r="C35" s="275"/>
      <c r="D35" s="288"/>
      <c r="E35" s="288"/>
      <c r="F35" s="288"/>
      <c r="G35" s="288"/>
      <c r="H35" s="290"/>
      <c r="I35" s="288"/>
      <c r="J35" s="288"/>
      <c r="K35" s="289"/>
    </row>
    <row r="36" spans="1:11" ht="13.5" hidden="1" customHeight="1">
      <c r="A36" s="38" t="s">
        <v>92</v>
      </c>
      <c r="B36" s="34"/>
      <c r="C36" s="39">
        <f>SUM(C9:C14)+SUM(C21:C30)</f>
        <v>-3060</v>
      </c>
      <c r="D36" s="40">
        <f t="shared" ref="D36:K36" si="5">SUM(D9:D14)+SUM(D21:D30)</f>
        <v>-923.81500000000005</v>
      </c>
      <c r="E36" s="40">
        <f t="shared" si="5"/>
        <v>0</v>
      </c>
      <c r="F36" s="40">
        <f t="shared" si="5"/>
        <v>0</v>
      </c>
      <c r="G36" s="40">
        <f t="shared" si="5"/>
        <v>0</v>
      </c>
      <c r="H36" s="42">
        <f t="shared" si="5"/>
        <v>-3983.8150000000005</v>
      </c>
      <c r="I36" s="40">
        <f t="shared" si="5"/>
        <v>0</v>
      </c>
      <c r="J36" s="40">
        <f t="shared" si="5"/>
        <v>0</v>
      </c>
      <c r="K36" s="41">
        <f t="shared" si="5"/>
        <v>-3983.8150000000005</v>
      </c>
    </row>
    <row r="37" spans="1:11" ht="3" customHeight="1">
      <c r="A37" s="102"/>
      <c r="B37" s="32"/>
      <c r="C37" s="103"/>
      <c r="D37" s="104"/>
      <c r="E37" s="104"/>
      <c r="F37" s="104"/>
      <c r="G37" s="104"/>
      <c r="H37" s="291"/>
      <c r="I37" s="104"/>
      <c r="J37" s="104"/>
      <c r="K37" s="178"/>
    </row>
    <row r="38" spans="1:11" ht="13.5">
      <c r="A38" s="161" t="s">
        <v>59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E39" s="183"/>
    </row>
    <row r="41" spans="1:11">
      <c r="G41" s="164"/>
    </row>
    <row r="42" spans="1:11" ht="15.75">
      <c r="D42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4"/>
  <sheetViews>
    <sheetView topLeftCell="B4" zoomScaleNormal="100" workbookViewId="0">
      <selection activeCell="E15" sqref="E15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October 19,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112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105</v>
      </c>
      <c r="C10" s="185"/>
      <c r="D10" s="137">
        <v>-7726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-7726</v>
      </c>
      <c r="J10" s="135"/>
      <c r="K10" s="36">
        <v>0</v>
      </c>
      <c r="L10" s="36">
        <f>+I10+K10</f>
        <v>-7726</v>
      </c>
      <c r="M10" s="249">
        <v>45000</v>
      </c>
      <c r="N10" s="133">
        <f t="shared" ref="N10:N23" si="1">L10-M10</f>
        <v>-52726</v>
      </c>
    </row>
    <row r="11" spans="1:16" s="186" customFormat="1" ht="13.5" customHeight="1">
      <c r="A11" s="12" t="s">
        <v>17</v>
      </c>
      <c r="B11" s="106" t="s">
        <v>117</v>
      </c>
      <c r="C11" s="185"/>
      <c r="D11" s="137">
        <v>909</v>
      </c>
      <c r="E11" s="138">
        <v>605.24599999999998</v>
      </c>
      <c r="F11" s="138">
        <v>0</v>
      </c>
      <c r="G11" s="138">
        <v>0</v>
      </c>
      <c r="H11" s="136">
        <v>0</v>
      </c>
      <c r="I11" s="134">
        <f t="shared" si="0"/>
        <v>1514.2460000000001</v>
      </c>
      <c r="J11" s="135"/>
      <c r="K11" s="36">
        <v>0</v>
      </c>
      <c r="L11" s="36">
        <f t="shared" ref="L11:L23" si="2">+I11+K11</f>
        <v>1514.2460000000001</v>
      </c>
      <c r="M11" s="249">
        <f>13750-M12+1875+3125</f>
        <v>16250</v>
      </c>
      <c r="N11" s="133">
        <f t="shared" si="1"/>
        <v>-14735.754000000001</v>
      </c>
    </row>
    <row r="12" spans="1:16" s="186" customFormat="1" ht="13.5" customHeight="1">
      <c r="A12" s="12"/>
      <c r="B12" s="106" t="s">
        <v>109</v>
      </c>
      <c r="C12" s="185"/>
      <c r="D12" s="137">
        <v>-394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-394</v>
      </c>
      <c r="J12" s="135"/>
      <c r="K12" s="36">
        <v>0</v>
      </c>
      <c r="L12" s="36">
        <f>+I12+K12</f>
        <v>-394</v>
      </c>
      <c r="M12" s="249">
        <v>2500</v>
      </c>
      <c r="N12" s="133">
        <f>L12-M12</f>
        <v>-2894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63</v>
      </c>
      <c r="C14" s="185"/>
      <c r="D14" s="137">
        <v>1431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1431</v>
      </c>
      <c r="J14" s="135"/>
      <c r="K14" s="36">
        <v>0</v>
      </c>
      <c r="L14" s="36">
        <f t="shared" si="2"/>
        <v>1431</v>
      </c>
      <c r="M14" s="249">
        <f>10252.58-1500</f>
        <v>8752.58</v>
      </c>
      <c r="N14" s="133">
        <f t="shared" si="1"/>
        <v>-7321.58</v>
      </c>
    </row>
    <row r="15" spans="1:16" s="186" customFormat="1" ht="13.5" customHeight="1">
      <c r="A15" s="12" t="s">
        <v>41</v>
      </c>
      <c r="B15" s="106" t="s">
        <v>70</v>
      </c>
      <c r="C15" s="185"/>
      <c r="D15" s="137">
        <v>40</v>
      </c>
      <c r="E15" s="138">
        <v>6.04</v>
      </c>
      <c r="F15" s="138">
        <v>0</v>
      </c>
      <c r="G15" s="138">
        <v>0</v>
      </c>
      <c r="H15" s="136">
        <v>0</v>
      </c>
      <c r="I15" s="134">
        <f t="shared" si="0"/>
        <v>46.04</v>
      </c>
      <c r="J15" s="135"/>
      <c r="K15" s="36">
        <v>0</v>
      </c>
      <c r="L15" s="36">
        <f t="shared" si="2"/>
        <v>46.04</v>
      </c>
      <c r="M15" s="249">
        <v>8875</v>
      </c>
      <c r="N15" s="133">
        <f t="shared" si="1"/>
        <v>-8828.9599999999991</v>
      </c>
    </row>
    <row r="16" spans="1:16" ht="13.5" customHeight="1">
      <c r="A16" s="12" t="s">
        <v>50</v>
      </c>
      <c r="B16" s="238" t="s">
        <v>78</v>
      </c>
      <c r="C16" s="239"/>
      <c r="D16" s="240">
        <v>1400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1400</v>
      </c>
      <c r="J16" s="242"/>
      <c r="K16" s="242">
        <v>0</v>
      </c>
      <c r="L16" s="36">
        <f t="shared" si="2"/>
        <v>1400</v>
      </c>
      <c r="M16" s="251">
        <v>0</v>
      </c>
      <c r="N16" s="243">
        <f>L16-M16</f>
        <v>1400</v>
      </c>
    </row>
    <row r="17" spans="1:16" ht="13.5" customHeight="1">
      <c r="A17" s="12" t="s">
        <v>50</v>
      </c>
      <c r="B17" s="238" t="s">
        <v>94</v>
      </c>
      <c r="C17" s="239"/>
      <c r="D17" s="240">
        <v>374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374</v>
      </c>
      <c r="J17" s="242"/>
      <c r="K17" s="242">
        <v>0</v>
      </c>
      <c r="L17" s="36">
        <f>+I17+K17</f>
        <v>374</v>
      </c>
      <c r="M17" s="251">
        <v>0</v>
      </c>
      <c r="N17" s="243">
        <f>L17-M17</f>
        <v>374</v>
      </c>
    </row>
    <row r="18" spans="1:16" ht="13.5" customHeight="1">
      <c r="B18" s="238" t="s">
        <v>81</v>
      </c>
      <c r="C18" s="239"/>
      <c r="D18" s="240">
        <v>2733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2733</v>
      </c>
      <c r="J18" s="242"/>
      <c r="K18" s="242">
        <v>0</v>
      </c>
      <c r="L18" s="36">
        <f t="shared" si="2"/>
        <v>2733</v>
      </c>
      <c r="M18" s="251">
        <v>0</v>
      </c>
      <c r="N18" s="243">
        <f>L18-M18</f>
        <v>2733</v>
      </c>
      <c r="P18" s="164"/>
    </row>
    <row r="19" spans="1:16" ht="13.5" customHeight="1">
      <c r="B19" s="238" t="s">
        <v>79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customHeight="1">
      <c r="B20" s="238" t="s">
        <v>80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customHeight="1">
      <c r="B21" s="238" t="s">
        <v>82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4499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4499</v>
      </c>
      <c r="J22" s="135"/>
      <c r="K22" s="36">
        <f>SUM(K16:K21)</f>
        <v>0</v>
      </c>
      <c r="L22" s="36">
        <f t="shared" si="2"/>
        <v>4499</v>
      </c>
      <c r="M22" s="249">
        <f>32500-2955</f>
        <v>29545</v>
      </c>
      <c r="N22" s="133">
        <f>L22-M22</f>
        <v>-25046</v>
      </c>
    </row>
    <row r="23" spans="1:16" s="186" customFormat="1" ht="13.5" customHeight="1">
      <c r="A23" s="12"/>
      <c r="B23" s="106" t="s">
        <v>106</v>
      </c>
      <c r="C23" s="185"/>
      <c r="D23" s="137">
        <v>-27</v>
      </c>
      <c r="E23" s="138">
        <v>-11.317</v>
      </c>
      <c r="F23" s="138">
        <v>0</v>
      </c>
      <c r="G23" s="138">
        <v>0</v>
      </c>
      <c r="H23" s="136">
        <v>0</v>
      </c>
      <c r="I23" s="134">
        <f t="shared" ref="I23:I31" si="4">SUM(D23:H23)</f>
        <v>-38.317</v>
      </c>
      <c r="J23" s="135"/>
      <c r="K23" s="36">
        <v>0</v>
      </c>
      <c r="L23" s="36">
        <f t="shared" si="2"/>
        <v>-38.317</v>
      </c>
      <c r="M23" s="136">
        <f>5000+8305.5</f>
        <v>13305.5</v>
      </c>
      <c r="N23" s="133">
        <f t="shared" si="1"/>
        <v>-13343.816999999999</v>
      </c>
    </row>
    <row r="24" spans="1:16" s="186" customFormat="1" ht="13.5" customHeight="1">
      <c r="A24" s="12"/>
      <c r="B24" s="106" t="s">
        <v>86</v>
      </c>
      <c r="C24" s="185"/>
      <c r="D24" s="137">
        <v>376</v>
      </c>
      <c r="E24" s="138">
        <v>0</v>
      </c>
      <c r="F24" s="138">
        <v>0</v>
      </c>
      <c r="G24" s="138">
        <v>0</v>
      </c>
      <c r="H24" s="136">
        <v>0</v>
      </c>
      <c r="I24" s="134">
        <f t="shared" si="4"/>
        <v>376</v>
      </c>
      <c r="J24" s="135"/>
      <c r="K24" s="36">
        <v>0</v>
      </c>
      <c r="L24" s="36">
        <f t="shared" ref="L24:L31" si="5">+I24+K24</f>
        <v>376</v>
      </c>
      <c r="M24" s="249">
        <v>44000</v>
      </c>
      <c r="N24" s="133">
        <f t="shared" ref="N24:N31" si="6">L24-M24</f>
        <v>-43624</v>
      </c>
      <c r="O24" s="14"/>
    </row>
    <row r="25" spans="1:16" s="186" customFormat="1" ht="13.5" hidden="1" customHeight="1">
      <c r="A25" s="12"/>
      <c r="B25" s="106" t="s">
        <v>88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118</v>
      </c>
      <c r="C26" s="185"/>
      <c r="D26" s="137">
        <v>0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0</v>
      </c>
      <c r="J26" s="135"/>
      <c r="K26" s="36">
        <v>0</v>
      </c>
      <c r="L26" s="36">
        <f t="shared" si="5"/>
        <v>0</v>
      </c>
      <c r="M26" s="249">
        <v>3750</v>
      </c>
      <c r="N26" s="133">
        <f t="shared" si="6"/>
        <v>-3750</v>
      </c>
    </row>
    <row r="27" spans="1:16" s="186" customFormat="1" ht="13.5" customHeight="1">
      <c r="A27" s="12"/>
      <c r="B27" s="106" t="s">
        <v>119</v>
      </c>
      <c r="C27" s="185"/>
      <c r="D27" s="137">
        <v>0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0</v>
      </c>
      <c r="J27" s="135"/>
      <c r="K27" s="36">
        <v>0</v>
      </c>
      <c r="L27" s="36">
        <f>+I27+K27</f>
        <v>0</v>
      </c>
      <c r="M27" s="249">
        <v>1602.701</v>
      </c>
      <c r="N27" s="133">
        <f>L27-M27</f>
        <v>-1602.701</v>
      </c>
    </row>
    <row r="28" spans="1:16" s="186" customFormat="1" ht="13.5" customHeight="1">
      <c r="A28" s="12"/>
      <c r="B28" s="106" t="s">
        <v>104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120</v>
      </c>
      <c r="C29" s="185"/>
      <c r="D29" s="137">
        <v>-30000</v>
      </c>
      <c r="E29" s="138">
        <v>0</v>
      </c>
      <c r="F29" s="138"/>
      <c r="G29" s="138">
        <v>0</v>
      </c>
      <c r="H29" s="136"/>
      <c r="I29" s="134">
        <f t="shared" si="4"/>
        <v>-30000</v>
      </c>
      <c r="J29" s="135"/>
      <c r="K29" s="36">
        <v>0</v>
      </c>
      <c r="L29" s="36">
        <f t="shared" si="5"/>
        <v>-30000</v>
      </c>
      <c r="M29" s="249">
        <v>0</v>
      </c>
      <c r="N29" s="133">
        <f t="shared" si="6"/>
        <v>-30000</v>
      </c>
    </row>
    <row r="30" spans="1:16" s="186" customFormat="1" ht="13.5" customHeight="1">
      <c r="A30" s="12"/>
      <c r="B30" s="106" t="s">
        <v>2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v>0</v>
      </c>
      <c r="N30" s="133">
        <f t="shared" si="6"/>
        <v>0</v>
      </c>
    </row>
    <row r="31" spans="1:16" s="186" customFormat="1" ht="13.5" customHeight="1">
      <c r="A31" s="12"/>
      <c r="B31" s="106" t="s">
        <v>116</v>
      </c>
      <c r="C31" s="185"/>
      <c r="D31" s="137">
        <v>0</v>
      </c>
      <c r="E31" s="138">
        <v>0</v>
      </c>
      <c r="F31" s="138">
        <v>0</v>
      </c>
      <c r="G31" s="138">
        <v>0</v>
      </c>
      <c r="H31" s="136">
        <v>0</v>
      </c>
      <c r="I31" s="134">
        <f t="shared" si="4"/>
        <v>0</v>
      </c>
      <c r="J31" s="135"/>
      <c r="K31" s="36">
        <v>0</v>
      </c>
      <c r="L31" s="36">
        <f t="shared" si="5"/>
        <v>0</v>
      </c>
      <c r="M31" s="249">
        <f>-290+738.093-738.093+445+36+56+2955-1471.309</f>
        <v>1730.691</v>
      </c>
      <c r="N31" s="133">
        <f t="shared" si="6"/>
        <v>-1730.691</v>
      </c>
    </row>
    <row r="32" spans="1:16" ht="3" customHeight="1">
      <c r="B32" s="106"/>
      <c r="C32" s="34"/>
      <c r="D32" s="132"/>
      <c r="E32" s="36"/>
      <c r="F32" s="36"/>
      <c r="G32" s="36"/>
      <c r="H32" s="136"/>
      <c r="I32" s="134"/>
      <c r="J32" s="36"/>
      <c r="K32" s="132"/>
      <c r="L32" s="36"/>
      <c r="M32" s="136"/>
      <c r="N32" s="133"/>
    </row>
    <row r="33" spans="2:14" ht="12" customHeight="1">
      <c r="B33" s="259" t="s">
        <v>75</v>
      </c>
      <c r="C33" s="34"/>
      <c r="D33" s="43">
        <f t="shared" ref="D33:N33" si="7">SUM(D10:D15)+SUM(D22:D31)</f>
        <v>-30892</v>
      </c>
      <c r="E33" s="44">
        <f t="shared" si="7"/>
        <v>599.96899999999994</v>
      </c>
      <c r="F33" s="44">
        <f t="shared" si="7"/>
        <v>0</v>
      </c>
      <c r="G33" s="44">
        <f t="shared" si="7"/>
        <v>0</v>
      </c>
      <c r="H33" s="45">
        <f t="shared" si="7"/>
        <v>0</v>
      </c>
      <c r="I33" s="46">
        <f t="shared" si="7"/>
        <v>-30292.030999999999</v>
      </c>
      <c r="J33" s="44">
        <f t="shared" si="7"/>
        <v>0</v>
      </c>
      <c r="K33" s="44">
        <f t="shared" si="7"/>
        <v>0</v>
      </c>
      <c r="L33" s="44">
        <f t="shared" si="7"/>
        <v>-30292.030999999999</v>
      </c>
      <c r="M33" s="45">
        <f t="shared" si="7"/>
        <v>175311.47200000001</v>
      </c>
      <c r="N33" s="46">
        <f t="shared" si="7"/>
        <v>-205603.503</v>
      </c>
    </row>
    <row r="34" spans="2:14" ht="3" customHeight="1">
      <c r="B34" s="106"/>
      <c r="C34" s="34"/>
      <c r="D34" s="132"/>
      <c r="E34" s="36"/>
      <c r="F34" s="36"/>
      <c r="G34" s="36"/>
      <c r="H34" s="136"/>
      <c r="I34" s="134"/>
      <c r="J34" s="36"/>
      <c r="K34" s="132"/>
      <c r="L34" s="36"/>
      <c r="M34" s="136"/>
      <c r="N34" s="133"/>
    </row>
    <row r="35" spans="2:14" ht="13.5" hidden="1" customHeight="1">
      <c r="B35" s="106" t="s">
        <v>10</v>
      </c>
      <c r="C35" s="34"/>
      <c r="D35" s="132">
        <v>0</v>
      </c>
      <c r="E35" s="138">
        <v>0</v>
      </c>
      <c r="F35" s="138">
        <v>0</v>
      </c>
      <c r="G35" s="138">
        <v>0</v>
      </c>
      <c r="H35" s="136">
        <v>0</v>
      </c>
      <c r="I35" s="134">
        <f>SUM(D35:H35)</f>
        <v>0</v>
      </c>
      <c r="J35" s="36"/>
      <c r="K35" s="132">
        <v>0</v>
      </c>
      <c r="L35" s="36">
        <f>SUM(I35:K35)</f>
        <v>0</v>
      </c>
      <c r="M35" s="136">
        <v>0</v>
      </c>
      <c r="N35" s="133">
        <f>L35-M35</f>
        <v>0</v>
      </c>
    </row>
    <row r="36" spans="2:14" ht="3" hidden="1" customHeight="1">
      <c r="B36" s="106"/>
      <c r="C36" s="34"/>
      <c r="D36" s="275"/>
      <c r="E36" s="288"/>
      <c r="F36" s="288"/>
      <c r="G36" s="288"/>
      <c r="H36" s="288"/>
      <c r="I36" s="290"/>
      <c r="J36" s="288"/>
      <c r="K36" s="288"/>
      <c r="L36" s="288"/>
      <c r="M36" s="288"/>
      <c r="N36" s="290"/>
    </row>
    <row r="37" spans="2:14" ht="12" hidden="1" customHeight="1">
      <c r="B37" s="38" t="s">
        <v>76</v>
      </c>
      <c r="C37" s="34"/>
      <c r="D37" s="39">
        <f>SUM(D10:D15)+SUM(D22:D31)</f>
        <v>-30892</v>
      </c>
      <c r="E37" s="40">
        <f t="shared" ref="E37:N37" si="8">SUM(E10:E15)+SUM(E22:E31)</f>
        <v>599.96899999999994</v>
      </c>
      <c r="F37" s="40">
        <f t="shared" si="8"/>
        <v>0</v>
      </c>
      <c r="G37" s="40">
        <f t="shared" si="8"/>
        <v>0</v>
      </c>
      <c r="H37" s="40">
        <f t="shared" si="8"/>
        <v>0</v>
      </c>
      <c r="I37" s="42">
        <f t="shared" si="8"/>
        <v>-30292.030999999999</v>
      </c>
      <c r="J37" s="40">
        <f t="shared" si="8"/>
        <v>0</v>
      </c>
      <c r="K37" s="40">
        <f t="shared" si="8"/>
        <v>0</v>
      </c>
      <c r="L37" s="40">
        <f t="shared" si="8"/>
        <v>-30292.030999999999</v>
      </c>
      <c r="M37" s="40">
        <f t="shared" si="8"/>
        <v>175311.47200000001</v>
      </c>
      <c r="N37" s="42">
        <f t="shared" si="8"/>
        <v>-205603.503</v>
      </c>
    </row>
    <row r="38" spans="2:14" ht="3" customHeight="1">
      <c r="B38" s="24"/>
      <c r="D38" s="25"/>
      <c r="E38" s="26"/>
      <c r="F38" s="26"/>
      <c r="G38" s="26"/>
      <c r="H38" s="26"/>
      <c r="I38" s="168"/>
      <c r="J38" s="26"/>
      <c r="K38" s="26"/>
      <c r="L38" s="26"/>
      <c r="M38" s="26"/>
      <c r="N38" s="168"/>
    </row>
    <row r="39" spans="2:14">
      <c r="B39" s="161" t="s">
        <v>59</v>
      </c>
      <c r="C39" s="5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 t="s">
        <v>62</v>
      </c>
      <c r="M44" s="23"/>
      <c r="N44" s="23"/>
    </row>
    <row r="45" spans="2:14">
      <c r="D45" s="23"/>
    </row>
    <row r="46" spans="2:14">
      <c r="D46" s="23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opLeftCell="B2" zoomScaleNormal="100" workbookViewId="0">
      <selection activeCell="F38" sqref="F3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58</v>
      </c>
    </row>
    <row r="3" spans="1:37" ht="15">
      <c r="A3" s="11">
        <v>36861</v>
      </c>
      <c r="B3" s="339" t="s">
        <v>98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>
      <c r="A4" s="10" t="s">
        <v>21</v>
      </c>
      <c r="B4" s="340" t="str">
        <f>+GrossMargin!B4</f>
        <v>Results based on activity through October 19, 2001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/>
    <row r="6" spans="1:37" s="50" customFormat="1" ht="12">
      <c r="A6" s="10" t="s">
        <v>46</v>
      </c>
      <c r="B6" s="123"/>
      <c r="D6" s="332" t="s">
        <v>25</v>
      </c>
      <c r="E6" s="333"/>
      <c r="F6" s="334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35" t="s">
        <v>38</v>
      </c>
      <c r="I7" s="336"/>
      <c r="J7" s="336"/>
      <c r="K7" s="33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105</v>
      </c>
      <c r="C9" s="170"/>
      <c r="D9" s="157">
        <f t="shared" ref="D9:D22" si="0">+E9</f>
        <v>6903.1189999999997</v>
      </c>
      <c r="E9" s="171">
        <v>6903.1189999999997</v>
      </c>
      <c r="F9" s="175">
        <f t="shared" ref="F9:F16" si="1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117</v>
      </c>
      <c r="C10" s="50"/>
      <c r="D10" s="157">
        <f t="shared" si="0"/>
        <v>5110.5330000000004</v>
      </c>
      <c r="E10" s="171">
        <f>4140.841+237.191+1080.71-E11</f>
        <v>5110.5330000000004</v>
      </c>
      <c r="F10" s="141">
        <f t="shared" si="1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109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 t="shared" si="0"/>
        <v>0</v>
      </c>
      <c r="E12" s="171">
        <v>0</v>
      </c>
      <c r="F12" s="141">
        <f t="shared" si="1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1"/>
        <v>-300</v>
      </c>
      <c r="G13" s="52"/>
      <c r="H13" s="247" t="s">
        <v>123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7">
        <f t="shared" si="0"/>
        <v>2517.0659999999998</v>
      </c>
      <c r="E14" s="171">
        <v>2517.0659999999998</v>
      </c>
      <c r="F14" s="141">
        <f t="shared" si="1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 t="shared" si="0"/>
        <v>1849.1360000000002</v>
      </c>
      <c r="E15" s="171">
        <f>3320.445-1471.309</f>
        <v>1849.1360000000002</v>
      </c>
      <c r="F15" s="175">
        <f t="shared" si="1"/>
        <v>0</v>
      </c>
      <c r="G15" s="52"/>
      <c r="H15" s="247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106</v>
      </c>
      <c r="C16" s="170"/>
      <c r="D16" s="157">
        <f t="shared" si="0"/>
        <v>7322.1759999999995</v>
      </c>
      <c r="E16" s="171">
        <f>578.553+6743.623</f>
        <v>7322.1759999999995</v>
      </c>
      <c r="F16" s="175">
        <f t="shared" si="1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86</v>
      </c>
      <c r="C17" s="170"/>
      <c r="D17" s="157">
        <f>+E17+1840</f>
        <v>3270.25</v>
      </c>
      <c r="E17" s="171">
        <v>1430.25</v>
      </c>
      <c r="F17" s="175">
        <f t="shared" ref="F17:F22" si="2">E17-D17</f>
        <v>-1840</v>
      </c>
      <c r="G17" s="52"/>
      <c r="H17" s="247" t="s">
        <v>122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88</v>
      </c>
      <c r="C18" s="170"/>
      <c r="D18" s="157">
        <f>+E18</f>
        <v>0</v>
      </c>
      <c r="E18" s="171">
        <f>(439.884-250+100+50)*0+280.346-280.346</f>
        <v>0</v>
      </c>
      <c r="F18" s="175">
        <f t="shared" si="2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118</v>
      </c>
      <c r="C19" s="170"/>
      <c r="D19" s="157">
        <f>+E19</f>
        <v>1542.4860000000001</v>
      </c>
      <c r="E19" s="171">
        <v>1542.4860000000001</v>
      </c>
      <c r="F19" s="175">
        <f t="shared" si="2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119</v>
      </c>
      <c r="C20" s="170"/>
      <c r="D20" s="157">
        <f>+E20</f>
        <v>138.44999999999999</v>
      </c>
      <c r="E20" s="171">
        <v>138.44999999999999</v>
      </c>
      <c r="F20" s="175">
        <f t="shared" si="2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104</v>
      </c>
      <c r="C21" s="170"/>
      <c r="D21" s="157">
        <f>+E21</f>
        <v>695.86699999999996</v>
      </c>
      <c r="E21" s="171">
        <v>695.86699999999996</v>
      </c>
      <c r="F21" s="175">
        <f t="shared" si="2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 t="shared" si="0"/>
        <v>537.20399999999995</v>
      </c>
      <c r="E22" s="140">
        <v>537.20399999999995</v>
      </c>
      <c r="F22" s="141">
        <f t="shared" si="2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91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247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41" t="s">
        <v>48</v>
      </c>
      <c r="E32" s="342"/>
      <c r="F32" s="343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29" t="s">
        <v>38</v>
      </c>
      <c r="I33" s="330"/>
      <c r="J33" s="330"/>
      <c r="K33" s="33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8" t="s">
        <v>69</v>
      </c>
      <c r="B2" s="338"/>
      <c r="C2" s="338"/>
      <c r="D2" s="338"/>
      <c r="E2" s="338"/>
      <c r="F2" s="338"/>
      <c r="G2" s="338"/>
      <c r="H2" s="338"/>
      <c r="I2" s="338"/>
      <c r="J2" s="338"/>
    </row>
    <row r="3" spans="1:33" ht="15">
      <c r="A3" s="339" t="s">
        <v>103</v>
      </c>
      <c r="B3" s="339"/>
      <c r="C3" s="339"/>
      <c r="D3" s="339"/>
      <c r="E3" s="339"/>
      <c r="F3" s="339"/>
      <c r="G3" s="339"/>
      <c r="H3" s="339"/>
      <c r="I3" s="339"/>
      <c r="J3" s="339"/>
    </row>
    <row r="4" spans="1:33">
      <c r="A4" s="340" t="str">
        <f>+Expenses!B4</f>
        <v>Results based on activity through October 19, 2001</v>
      </c>
      <c r="B4" s="340"/>
      <c r="C4" s="340"/>
      <c r="D4" s="340"/>
      <c r="E4" s="340"/>
      <c r="F4" s="340"/>
      <c r="G4" s="340"/>
      <c r="H4" s="340"/>
      <c r="I4" s="340"/>
      <c r="J4" s="340"/>
    </row>
    <row r="5" spans="1:33" ht="3" customHeight="1"/>
    <row r="6" spans="1:33" s="31" customFormat="1">
      <c r="A6" s="123"/>
      <c r="B6" s="50"/>
      <c r="C6" s="332" t="s">
        <v>25</v>
      </c>
      <c r="D6" s="333"/>
      <c r="E6" s="334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35" t="s">
        <v>38</v>
      </c>
      <c r="H7" s="336"/>
      <c r="I7" s="336"/>
      <c r="J7" s="33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105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109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106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86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87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88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104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91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32" t="s">
        <v>48</v>
      </c>
      <c r="D31" s="333"/>
      <c r="E31" s="334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35" t="s">
        <v>38</v>
      </c>
      <c r="H32" s="336"/>
      <c r="I32" s="336"/>
      <c r="J32" s="337"/>
    </row>
    <row r="33" spans="1:33" s="50" customFormat="1" ht="12" hidden="1">
      <c r="A33" s="123"/>
      <c r="C33" s="139">
        <f>[6]Expenses!D33-[6]Expenses!D29</f>
        <v>0</v>
      </c>
      <c r="D33" s="140">
        <f>[6]Expenses!E33-[6]Expenses!E29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[6]Expenses!D34-[6]Expenses!D30</f>
        <v>0</v>
      </c>
      <c r="D34" s="140">
        <f>[6]Expenses!E34-[6]Expenses!E30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[6]Expenses!D35-[6]Expenses!D31</f>
        <v>#VALUE!</v>
      </c>
      <c r="D35" s="153">
        <f>[6]Expenses!E35-[6]Expenses!E31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opLeftCell="B2" zoomScaleNormal="100" workbookViewId="0">
      <selection activeCell="F38" sqref="F3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5">
      <c r="A3" s="10" t="s">
        <v>30</v>
      </c>
      <c r="B3" s="339" t="s">
        <v>107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16">
      <c r="A4" s="11">
        <v>36861</v>
      </c>
      <c r="B4" s="340" t="str">
        <f>'Mgmt Summary'!A3</f>
        <v>Results based on activity through October 19, 2001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35" t="s">
        <v>31</v>
      </c>
      <c r="E7" s="336"/>
      <c r="F7" s="336"/>
      <c r="G7" s="336"/>
      <c r="H7" s="336"/>
      <c r="I7" s="337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44" t="s">
        <v>32</v>
      </c>
      <c r="H8" s="345"/>
      <c r="I8" s="346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105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117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109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63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128" t="s">
        <v>70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106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86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88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118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119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104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91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68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89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62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0" t="s">
        <v>69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</row>
    <row r="2" spans="1:40" ht="15">
      <c r="A2" s="10" t="s">
        <v>44</v>
      </c>
      <c r="B2" s="351" t="s">
        <v>66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40">
      <c r="A3" s="10" t="s">
        <v>45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7" t="s">
        <v>64</v>
      </c>
      <c r="E6" s="348"/>
      <c r="F6" s="349"/>
      <c r="G6" s="1"/>
      <c r="H6" s="347" t="s">
        <v>65</v>
      </c>
      <c r="I6" s="348"/>
      <c r="J6" s="349"/>
      <c r="K6" s="1"/>
      <c r="L6" s="347" t="s">
        <v>37</v>
      </c>
      <c r="M6" s="348"/>
      <c r="N6" s="3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2001-10-22T12:59:28Z</cp:lastPrinted>
  <dcterms:created xsi:type="dcterms:W3CDTF">1999-10-18T12:36:30Z</dcterms:created>
  <dcterms:modified xsi:type="dcterms:W3CDTF">2023-09-10T15:08:20Z</dcterms:modified>
</cp:coreProperties>
</file>