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AC8EAA-4E81-44AE-95CF-ECF6071E154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crack">Sheet1!$G$33</definedName>
    <definedName name="_xlnm.Print_Area" localSheetId="0">Sheet1!$A$1:$I$46</definedName>
    <definedName name="solver_adj" localSheetId="0" hidden="1">Sheet1!$B$24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Sheet1!$G$30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pread">Sheet1!$B$14</definedName>
    <definedName name="spread_start_price">Sheet1!$P$12</definedName>
    <definedName name="spread_start_price1">Sheet1!$P$23</definedName>
    <definedName name="spread_start_price2">Sheet1!$P$34</definedName>
    <definedName name="wti_price">Sheet1!$B$23</definedName>
    <definedName name="wti_start_price">Sheet1!$R$11</definedName>
    <definedName name="wti_start_price1">Sheet1!$R$22</definedName>
    <definedName name="wti_start_price2">Sheet1!$R$33</definedName>
  </definedNames>
  <calcPr calcId="92512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K10" i="1"/>
  <c r="L10" i="1"/>
  <c r="B11" i="1"/>
  <c r="J11" i="1"/>
  <c r="K11" i="1"/>
  <c r="L11" i="1"/>
  <c r="R11" i="1"/>
  <c r="S11" i="1"/>
  <c r="T11" i="1"/>
  <c r="U11" i="1"/>
  <c r="V11" i="1"/>
  <c r="W11" i="1"/>
  <c r="X11" i="1"/>
  <c r="Y11" i="1"/>
  <c r="Z11" i="1"/>
  <c r="AA11" i="1"/>
  <c r="J12" i="1"/>
  <c r="K12" i="1"/>
  <c r="L12" i="1"/>
  <c r="J13" i="1"/>
  <c r="K13" i="1"/>
  <c r="L13" i="1"/>
  <c r="P13" i="1"/>
  <c r="J14" i="1"/>
  <c r="K14" i="1"/>
  <c r="L14" i="1"/>
  <c r="P14" i="1"/>
  <c r="J15" i="1"/>
  <c r="K15" i="1"/>
  <c r="L15" i="1"/>
  <c r="P15" i="1"/>
  <c r="J16" i="1"/>
  <c r="K16" i="1"/>
  <c r="L16" i="1"/>
  <c r="P16" i="1"/>
  <c r="P17" i="1"/>
  <c r="P18" i="1"/>
  <c r="P19" i="1"/>
  <c r="J20" i="1"/>
  <c r="K20" i="1"/>
  <c r="L20" i="1"/>
  <c r="J21" i="1"/>
  <c r="K21" i="1"/>
  <c r="L21" i="1"/>
  <c r="J22" i="1"/>
  <c r="K22" i="1"/>
  <c r="L22" i="1"/>
  <c r="R22" i="1"/>
  <c r="S22" i="1"/>
  <c r="T22" i="1"/>
  <c r="U22" i="1"/>
  <c r="V22" i="1"/>
  <c r="W22" i="1"/>
  <c r="X22" i="1"/>
  <c r="Y22" i="1"/>
  <c r="Z22" i="1"/>
  <c r="AA22" i="1"/>
  <c r="P24" i="1"/>
  <c r="P25" i="1"/>
  <c r="P26" i="1"/>
  <c r="P27" i="1"/>
  <c r="P28" i="1"/>
  <c r="P29" i="1"/>
  <c r="F30" i="1"/>
  <c r="G30" i="1"/>
  <c r="H30" i="1"/>
  <c r="P30" i="1"/>
  <c r="B33" i="1"/>
  <c r="G33" i="1"/>
  <c r="R33" i="1"/>
  <c r="S33" i="1"/>
  <c r="T33" i="1"/>
  <c r="U33" i="1"/>
  <c r="V33" i="1"/>
  <c r="W33" i="1"/>
  <c r="X33" i="1"/>
  <c r="Y33" i="1"/>
  <c r="Z33" i="1"/>
  <c r="AA33" i="1"/>
  <c r="B34" i="1"/>
  <c r="G34" i="1"/>
  <c r="B35" i="1"/>
  <c r="P35" i="1"/>
  <c r="B36" i="1"/>
  <c r="P36" i="1"/>
  <c r="B37" i="1"/>
  <c r="P37" i="1"/>
  <c r="B38" i="1"/>
  <c r="G38" i="1"/>
  <c r="P38" i="1"/>
  <c r="B39" i="1"/>
  <c r="P39" i="1"/>
  <c r="B40" i="1"/>
  <c r="P40" i="1"/>
  <c r="B41" i="1"/>
  <c r="P41" i="1"/>
  <c r="B42" i="1"/>
  <c r="B43" i="1"/>
  <c r="B44" i="1"/>
  <c r="B45" i="1"/>
  <c r="B50" i="1"/>
  <c r="B51" i="1"/>
</calcChain>
</file>

<file path=xl/sharedStrings.xml><?xml version="1.0" encoding="utf-8"?>
<sst xmlns="http://schemas.openxmlformats.org/spreadsheetml/2006/main" count="124" uniqueCount="70">
  <si>
    <t>Jet vs Regular Gasoline</t>
  </si>
  <si>
    <t>Premium Gasoline vs Regular Gasoline</t>
  </si>
  <si>
    <t>HSFO vs LSFO</t>
  </si>
  <si>
    <t>Naptha vs Regular Gasoline</t>
  </si>
  <si>
    <t>Natural Gas</t>
  </si>
  <si>
    <t>$/MMBTU</t>
  </si>
  <si>
    <t>CPG</t>
  </si>
  <si>
    <t>$/BBL</t>
  </si>
  <si>
    <t>PRODUCT DIFFS</t>
  </si>
  <si>
    <t>Premium Gasoline</t>
  </si>
  <si>
    <t>Mid Grade Gasoline</t>
  </si>
  <si>
    <t>FCC/ALKY</t>
  </si>
  <si>
    <t>FCC</t>
  </si>
  <si>
    <t>HSK</t>
  </si>
  <si>
    <t>YIELDS (% OF CRUDE)</t>
  </si>
  <si>
    <t>Regular Gasoline</t>
  </si>
  <si>
    <t>Jet</t>
  </si>
  <si>
    <t>No. 2 (0.5%)</t>
  </si>
  <si>
    <t>Fuel Oil (3%)</t>
  </si>
  <si>
    <t>LPG</t>
  </si>
  <si>
    <t>WTS</t>
  </si>
  <si>
    <t>Normal Butane</t>
  </si>
  <si>
    <t>Energy</t>
  </si>
  <si>
    <t>Non-Energy</t>
  </si>
  <si>
    <t>OPERATING COSTS</t>
  </si>
  <si>
    <t xml:space="preserve"> </t>
  </si>
  <si>
    <t>FEEDS (% OF CRUDE)</t>
  </si>
  <si>
    <t>MidGrade gasoline vs Regular Gasoline</t>
  </si>
  <si>
    <t>Iso Butane</t>
  </si>
  <si>
    <t>WTI Price</t>
  </si>
  <si>
    <t>WTS/WTI Spread</t>
  </si>
  <si>
    <t>Gas Crack</t>
  </si>
  <si>
    <t>Light/Heavy Product Spread (1)</t>
  </si>
  <si>
    <t>Propane vs Regular Gasoline</t>
  </si>
  <si>
    <t>Normal Butane vs Regular Gasoline</t>
  </si>
  <si>
    <t>Iso Butane vs Normal Butane</t>
  </si>
  <si>
    <t>"LPG" (70% Propane, 30% N Butane) vs Regular Gasoline</t>
  </si>
  <si>
    <t>1) (50% Regular Gasoline + 50% No 2) less 3% Fuel Oil</t>
  </si>
  <si>
    <t>PRODUCT PRICES</t>
  </si>
  <si>
    <t>High Sulfur Fuel Oil</t>
  </si>
  <si>
    <t>IsoButane</t>
  </si>
  <si>
    <t>Propane</t>
  </si>
  <si>
    <t>Composite Crack (55% Regular Gasoline, 45% No. 2 Oil)</t>
  </si>
  <si>
    <t>INSTRUCTIONS</t>
  </si>
  <si>
    <t>1) Change Cells in Yellow</t>
  </si>
  <si>
    <t>2) Run Solver to Calculate Gas Crack (and Composite Crack) Required to Zero Margin</t>
  </si>
  <si>
    <t>Margin</t>
  </si>
  <si>
    <t>Breakeven GC Crack *</t>
  </si>
  <si>
    <t>Breakeven Group 3 Crack*</t>
  </si>
  <si>
    <t>No 2 HS (0.2%) vs Regular Gasoline</t>
  </si>
  <si>
    <t>No. 2 LS (0.05%) vs Regular Gasoline</t>
  </si>
  <si>
    <t xml:space="preserve">No 2 HS (0.2%) </t>
  </si>
  <si>
    <t xml:space="preserve">No. 2 LS (0.05%) </t>
  </si>
  <si>
    <t>Average Profit/(Loss) vs. $4.79 Entry</t>
  </si>
  <si>
    <t>HYDROTREATING COSTS</t>
  </si>
  <si>
    <t>Gasoline (1.4 cpg treated, 41% of pool (19% of feed) treated)</t>
  </si>
  <si>
    <t>Effective Jan 1, 2004</t>
  </si>
  <si>
    <t>Effective June 1, 2006</t>
  </si>
  <si>
    <t>Diesel (1.4 cpg treated, 64% of pool (16% of feed) treated)</t>
  </si>
  <si>
    <t>Crude Transportation (Midland to refinery)</t>
  </si>
  <si>
    <t>* (55% ULR, 45% LS 2 Oil vs Cushing WTI)</t>
  </si>
  <si>
    <t>Spread Increment</t>
  </si>
  <si>
    <t>WTI Increment</t>
  </si>
  <si>
    <t>Spread</t>
  </si>
  <si>
    <t>FCC Crack</t>
  </si>
  <si>
    <t>HSK Crack</t>
  </si>
  <si>
    <t>WTI Prices</t>
  </si>
  <si>
    <t>LT/HVY</t>
  </si>
  <si>
    <t>FCC/Alky</t>
  </si>
  <si>
    <t>HydroSkim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</si>
</sst>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4" formatCode="0.00_);\(0.00\)"/>
    <numFmt numFmtId="165" formatCode="0.0%"/>
  </numFmts>
  <fonts count="5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4" xfId="0" quotePrefix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7" fontId="3" fillId="0" borderId="0" xfId="0" applyNumberFormat="1" applyFont="1" applyAlignment="1">
      <alignment horizontal="center"/>
    </xf>
    <xf numFmtId="7" fontId="0" fillId="0" borderId="0" xfId="0" applyNumberForma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USGC Breakeven Crack (55% ULR, 45% LSD vs. WTI)
as a function of the light/heavy product spread
and outright WTI price
FCC/ALKY Configuration
</a:t>
            </a:r>
          </a:p>
        </c:rich>
      </c:tx>
      <c:layout>
        <c:manualLayout>
          <c:xMode val="edge"/>
          <c:yMode val="edge"/>
          <c:x val="0.18919527506707898"/>
          <c:y val="1.43202784226658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13328298229199"/>
          <c:y val="0.23628459397398652"/>
          <c:w val="0.66668811214113544"/>
          <c:h val="0.45824890952530717"/>
        </c:manualLayout>
      </c:layout>
      <c:lineChart>
        <c:grouping val="standard"/>
        <c:varyColors val="0"/>
        <c:ser>
          <c:idx val="4"/>
          <c:order val="0"/>
          <c:tx>
            <c:strRef>
              <c:f>Sheet1!$P$16:$Q$16</c:f>
              <c:strCache>
                <c:ptCount val="2"/>
                <c:pt idx="0">
                  <c:v>$14.00 </c:v>
                </c:pt>
                <c:pt idx="1">
                  <c:v>LT/HVY</c:v>
                </c:pt>
              </c:strCache>
            </c:strRef>
          </c:tx>
          <c:spPr>
            <a:ln w="38100">
              <a:solidFill>
                <a:srgbClr val="800080"/>
              </a:solidFill>
              <a:prstDash val="sysDash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Sheet1!$R$16:$AA$16</c:f>
              <c:numCache>
                <c:formatCode>General</c:formatCode>
                <c:ptCount val="10"/>
                <c:pt idx="0">
                  <c:v>3.7849161750914346</c:v>
                </c:pt>
                <c:pt idx="1">
                  <c:v>4.0046350476962207</c:v>
                </c:pt>
                <c:pt idx="2">
                  <c:v>4.2243539203009606</c:v>
                </c:pt>
                <c:pt idx="3">
                  <c:v>4.444072792905791</c:v>
                </c:pt>
                <c:pt idx="4">
                  <c:v>4.6637916655105638</c:v>
                </c:pt>
                <c:pt idx="5">
                  <c:v>4.8835105381153614</c:v>
                </c:pt>
                <c:pt idx="6">
                  <c:v>5.1032294107201306</c:v>
                </c:pt>
                <c:pt idx="7">
                  <c:v>5.3229482833249051</c:v>
                </c:pt>
                <c:pt idx="8">
                  <c:v>5.5426671559296938</c:v>
                </c:pt>
                <c:pt idx="9">
                  <c:v>5.7623860285345039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9-4969-8C42-F85FEFD7045A}"/>
            </c:ext>
          </c:extLst>
        </c:ser>
        <c:ser>
          <c:idx val="3"/>
          <c:order val="1"/>
          <c:tx>
            <c:strRef>
              <c:f>Sheet1!$P$15:$Q$15</c:f>
              <c:strCache>
                <c:ptCount val="2"/>
                <c:pt idx="0">
                  <c:v>$12.00 </c:v>
                </c:pt>
                <c:pt idx="1">
                  <c:v>LT/HVY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Sheet1!$R$15:$AA$15</c:f>
              <c:numCache>
                <c:formatCode>General</c:formatCode>
                <c:ptCount val="10"/>
                <c:pt idx="0">
                  <c:v>3.2788202721375423</c:v>
                </c:pt>
                <c:pt idx="1">
                  <c:v>3.4985391447423204</c:v>
                </c:pt>
                <c:pt idx="2">
                  <c:v>3.7182580173471154</c:v>
                </c:pt>
                <c:pt idx="3">
                  <c:v>3.9379768899519094</c:v>
                </c:pt>
                <c:pt idx="4">
                  <c:v>4.1576957625566546</c:v>
                </c:pt>
                <c:pt idx="5">
                  <c:v>4.3774146351614629</c:v>
                </c:pt>
                <c:pt idx="6">
                  <c:v>4.5971335077662339</c:v>
                </c:pt>
                <c:pt idx="7">
                  <c:v>4.8168523803710466</c:v>
                </c:pt>
                <c:pt idx="8">
                  <c:v>5.0365712529758344</c:v>
                </c:pt>
                <c:pt idx="9">
                  <c:v>5.256290125580608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19-4969-8C42-F85FEFD7045A}"/>
            </c:ext>
          </c:extLst>
        </c:ser>
        <c:ser>
          <c:idx val="2"/>
          <c:order val="2"/>
          <c:tx>
            <c:strRef>
              <c:f>Sheet1!$P$14:$Q$14</c:f>
              <c:strCache>
                <c:ptCount val="2"/>
                <c:pt idx="0">
                  <c:v>$10.00 </c:v>
                </c:pt>
                <c:pt idx="1">
                  <c:v>LT/HVY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Sheet1!$R$14:$AA$14</c:f>
              <c:numCache>
                <c:formatCode>General</c:formatCode>
                <c:ptCount val="10"/>
                <c:pt idx="0">
                  <c:v>2.7727243691836421</c:v>
                </c:pt>
                <c:pt idx="1">
                  <c:v>2.9924432417884379</c:v>
                </c:pt>
                <c:pt idx="2">
                  <c:v>3.2121621143932026</c:v>
                </c:pt>
                <c:pt idx="3">
                  <c:v>3.4318809869979896</c:v>
                </c:pt>
                <c:pt idx="4">
                  <c:v>3.6515998596027757</c:v>
                </c:pt>
                <c:pt idx="5">
                  <c:v>3.8713187322075635</c:v>
                </c:pt>
                <c:pt idx="6">
                  <c:v>4.0910376048123505</c:v>
                </c:pt>
                <c:pt idx="7">
                  <c:v>4.3107564774171347</c:v>
                </c:pt>
                <c:pt idx="8">
                  <c:v>4.5304753500219404</c:v>
                </c:pt>
                <c:pt idx="9">
                  <c:v>4.7501942226267415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19-4969-8C42-F85FEFD7045A}"/>
            </c:ext>
          </c:extLst>
        </c:ser>
        <c:ser>
          <c:idx val="1"/>
          <c:order val="3"/>
          <c:tx>
            <c:strRef>
              <c:f>Sheet1!$P$13:$Q$13</c:f>
              <c:strCache>
                <c:ptCount val="2"/>
                <c:pt idx="0">
                  <c:v>$8.00 </c:v>
                </c:pt>
                <c:pt idx="1">
                  <c:v>LT/HVY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Sheet1!$R$13:$AA$13</c:f>
              <c:numCache>
                <c:formatCode>General</c:formatCode>
                <c:ptCount val="10"/>
                <c:pt idx="0">
                  <c:v>2.2666284662297507</c:v>
                </c:pt>
                <c:pt idx="1">
                  <c:v>2.4863473388345483</c:v>
                </c:pt>
                <c:pt idx="2">
                  <c:v>2.7060662114393184</c:v>
                </c:pt>
                <c:pt idx="3">
                  <c:v>2.9257850840441089</c:v>
                </c:pt>
                <c:pt idx="4">
                  <c:v>3.1455039566489207</c:v>
                </c:pt>
                <c:pt idx="5">
                  <c:v>3.3652228292536579</c:v>
                </c:pt>
                <c:pt idx="6">
                  <c:v>3.5849417018584688</c:v>
                </c:pt>
                <c:pt idx="7">
                  <c:v>3.8046605744632496</c:v>
                </c:pt>
                <c:pt idx="8">
                  <c:v>4.0243794470679983</c:v>
                </c:pt>
                <c:pt idx="9">
                  <c:v>4.2440983196728244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19-4969-8C42-F85FEFD7045A}"/>
            </c:ext>
          </c:extLst>
        </c:ser>
        <c:ser>
          <c:idx val="0"/>
          <c:order val="4"/>
          <c:tx>
            <c:strRef>
              <c:f>Sheet1!$P$12:$Q$12</c:f>
              <c:strCache>
                <c:ptCount val="2"/>
                <c:pt idx="0">
                  <c:v>$6.00 </c:v>
                </c:pt>
                <c:pt idx="1">
                  <c:v>LT/HVY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Sheet1!$R$12:$AA$12</c:f>
              <c:numCache>
                <c:formatCode>General</c:formatCode>
                <c:ptCount val="10"/>
                <c:pt idx="0">
                  <c:v>1.7605325632758611</c:v>
                </c:pt>
                <c:pt idx="1">
                  <c:v>1.9802514358806778</c:v>
                </c:pt>
                <c:pt idx="2">
                  <c:v>2.1999703084854443</c:v>
                </c:pt>
                <c:pt idx="3">
                  <c:v>2.4196891810902308</c:v>
                </c:pt>
                <c:pt idx="4">
                  <c:v>2.6394080536949862</c:v>
                </c:pt>
                <c:pt idx="5">
                  <c:v>2.8591269262997736</c:v>
                </c:pt>
                <c:pt idx="6">
                  <c:v>3.0788457989045348</c:v>
                </c:pt>
                <c:pt idx="7">
                  <c:v>3.2985646715093688</c:v>
                </c:pt>
                <c:pt idx="8">
                  <c:v>3.5182835441141309</c:v>
                </c:pt>
                <c:pt idx="9">
                  <c:v>3.7380024167189605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19-4969-8C42-F85FEFD70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123056"/>
        <c:axId val="1"/>
      </c:lineChart>
      <c:catAx>
        <c:axId val="110912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WTI Price ($/BBL)</a:t>
                </a:r>
              </a:p>
            </c:rich>
          </c:tx>
          <c:layout>
            <c:manualLayout>
              <c:xMode val="edge"/>
              <c:yMode val="edge"/>
              <c:x val="0.37688900033203826"/>
              <c:y val="0.83296286158506361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_);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Crack Spread ($/BBL)</a:t>
                </a:r>
              </a:p>
            </c:rich>
          </c:tx>
          <c:layout>
            <c:manualLayout>
              <c:xMode val="edge"/>
              <c:yMode val="edge"/>
              <c:x val="2.2523247031795115E-2"/>
              <c:y val="0.30072584687598286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912305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933534334250445"/>
          <c:y val="0.15274963650843573"/>
          <c:w val="0.16667202803528386"/>
          <c:h val="0.463022335666195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USGC Breakeven Crack (55% ULR, 45% LSD vs. WTI)
as a function of Refinery Configuration
and outright WTI price
(at a $10 Light/Heavy Spread)
</a:t>
            </a:r>
          </a:p>
        </c:rich>
      </c:tx>
      <c:layout>
        <c:manualLayout>
          <c:xMode val="edge"/>
          <c:yMode val="edge"/>
          <c:x val="0.21180698480293625"/>
          <c:y val="1.7857749929944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57128384745506"/>
          <c:y val="0.23980407048782917"/>
          <c:w val="0.66870490916355585"/>
          <c:h val="0.46685260531141209"/>
        </c:manualLayout>
      </c:layout>
      <c:lineChart>
        <c:grouping val="standard"/>
        <c:varyColors val="0"/>
        <c:ser>
          <c:idx val="0"/>
          <c:order val="0"/>
          <c:tx>
            <c:strRef>
              <c:f>Sheet1!$O$36</c:f>
              <c:strCache>
                <c:ptCount val="1"/>
                <c:pt idx="0">
                  <c:v>HydroSkim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Sheet1!$R$36:$AA$36</c:f>
              <c:numCache>
                <c:formatCode>General</c:formatCode>
                <c:ptCount val="10"/>
                <c:pt idx="0">
                  <c:v>5.3445260089440083</c:v>
                </c:pt>
                <c:pt idx="1">
                  <c:v>5.5393736042141022</c:v>
                </c:pt>
                <c:pt idx="2">
                  <c:v>5.7342211994842218</c:v>
                </c:pt>
                <c:pt idx="3">
                  <c:v>5.9290687947543095</c:v>
                </c:pt>
                <c:pt idx="4">
                  <c:v>6.1239163900244176</c:v>
                </c:pt>
                <c:pt idx="5">
                  <c:v>6.3187639852945283</c:v>
                </c:pt>
                <c:pt idx="6">
                  <c:v>6.5136115805646302</c:v>
                </c:pt>
                <c:pt idx="7">
                  <c:v>6.7084591758347374</c:v>
                </c:pt>
                <c:pt idx="8">
                  <c:v>6.9033067711048286</c:v>
                </c:pt>
                <c:pt idx="9">
                  <c:v>7.0981543663749234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5-49FA-A070-DA30E5D0E8E8}"/>
            </c:ext>
          </c:extLst>
        </c:ser>
        <c:ser>
          <c:idx val="1"/>
          <c:order val="1"/>
          <c:tx>
            <c:strRef>
              <c:f>Sheet1!$O$25</c:f>
              <c:strCache>
                <c:ptCount val="1"/>
                <c:pt idx="0">
                  <c:v>FCC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Sheet1!$R$25:$AA$25</c:f>
              <c:numCache>
                <c:formatCode>General</c:formatCode>
                <c:ptCount val="10"/>
                <c:pt idx="0">
                  <c:v>3.6661625737323131</c:v>
                </c:pt>
                <c:pt idx="1">
                  <c:v>3.9326698293886446</c:v>
                </c:pt>
                <c:pt idx="2">
                  <c:v>4.1991770850450232</c:v>
                </c:pt>
                <c:pt idx="3">
                  <c:v>4.4656843407013556</c:v>
                </c:pt>
                <c:pt idx="4">
                  <c:v>4.7321915963577545</c:v>
                </c:pt>
                <c:pt idx="5">
                  <c:v>4.9986988520140914</c:v>
                </c:pt>
                <c:pt idx="6">
                  <c:v>5.2652061076704912</c:v>
                </c:pt>
                <c:pt idx="7">
                  <c:v>5.5317133633267801</c:v>
                </c:pt>
                <c:pt idx="8">
                  <c:v>5.7982206189831036</c:v>
                </c:pt>
                <c:pt idx="9">
                  <c:v>6.0647278746394964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5-49FA-A070-DA30E5D0E8E8}"/>
            </c:ext>
          </c:extLst>
        </c:ser>
        <c:ser>
          <c:idx val="4"/>
          <c:order val="2"/>
          <c:tx>
            <c:strRef>
              <c:f>Sheet1!$O$14</c:f>
              <c:strCache>
                <c:ptCount val="1"/>
                <c:pt idx="0">
                  <c:v>FCC/Alky</c:v>
                </c:pt>
              </c:strCache>
            </c:strRef>
          </c:tx>
          <c:spPr>
            <a:ln w="38100">
              <a:solidFill>
                <a:srgbClr val="800080"/>
              </a:solidFill>
              <a:prstDash val="sysDash"/>
            </a:ln>
          </c:spPr>
          <c:marker>
            <c:symbol val="none"/>
          </c:marker>
          <c:cat>
            <c:numRef>
              <c:f>Sheet1!$R$11:$AA$11</c:f>
              <c:numCache>
                <c:formatCode>"$"#,##0.00_);\("$"#,##0.00\)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cat>
          <c:val>
            <c:numRef>
              <c:f>Sheet1!$R$14:$AA$14</c:f>
              <c:numCache>
                <c:formatCode>General</c:formatCode>
                <c:ptCount val="10"/>
                <c:pt idx="0">
                  <c:v>2.7727243691836421</c:v>
                </c:pt>
                <c:pt idx="1">
                  <c:v>2.9924432417884379</c:v>
                </c:pt>
                <c:pt idx="2">
                  <c:v>3.2121621143932026</c:v>
                </c:pt>
                <c:pt idx="3">
                  <c:v>3.4318809869979896</c:v>
                </c:pt>
                <c:pt idx="4">
                  <c:v>3.6515998596027757</c:v>
                </c:pt>
                <c:pt idx="5">
                  <c:v>3.8713187322075635</c:v>
                </c:pt>
                <c:pt idx="6">
                  <c:v>4.0910376048123505</c:v>
                </c:pt>
                <c:pt idx="7">
                  <c:v>4.3107564774171347</c:v>
                </c:pt>
                <c:pt idx="8">
                  <c:v>4.5304753500219404</c:v>
                </c:pt>
                <c:pt idx="9">
                  <c:v>4.7501942226267415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D5-49FA-A070-DA30E5D0E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123520"/>
        <c:axId val="1"/>
      </c:lineChart>
      <c:catAx>
        <c:axId val="110912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WTI Price ($/BBL)</a:t>
                </a:r>
              </a:p>
            </c:rich>
          </c:tx>
          <c:layout>
            <c:manualLayout>
              <c:xMode val="edge"/>
              <c:yMode val="edge"/>
              <c:x val="0.37368803747375184"/>
              <c:y val="0.8291098181760051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_);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Crack Spread ($/BBL)</a:t>
                </a:r>
              </a:p>
            </c:rich>
          </c:tx>
          <c:layout>
            <c:manualLayout>
              <c:xMode val="edge"/>
              <c:yMode val="edge"/>
              <c:x val="2.1180698480293626E-2"/>
              <c:y val="0.27041735608202011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912352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89235631977119"/>
          <c:y val="0.15051532083810554"/>
          <c:w val="0.16793268080804233"/>
          <c:h val="0.494914783772753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66675</xdr:colOff>
          <xdr:row>0</xdr:row>
          <xdr:rowOff>104775</xdr:rowOff>
        </xdr:from>
        <xdr:to>
          <xdr:col>5</xdr:col>
          <xdr:colOff>885825</xdr:colOff>
          <xdr:row>2</xdr:row>
          <xdr:rowOff>142875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B794CAB-9F37-0B71-FC0F-495FF69D5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FCC/Alky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Crack Solver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904875</xdr:colOff>
          <xdr:row>0</xdr:row>
          <xdr:rowOff>104775</xdr:rowOff>
        </xdr:from>
        <xdr:to>
          <xdr:col>6</xdr:col>
          <xdr:colOff>676275</xdr:colOff>
          <xdr:row>2</xdr:row>
          <xdr:rowOff>142875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D4E50F3-544D-3FA5-9A2A-DAB5B75A2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FCC Crack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Solver</a:t>
              </a:r>
            </a:p>
            <a:p>
              <a:pPr algn="ctr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685800</xdr:colOff>
          <xdr:row>0</xdr:row>
          <xdr:rowOff>85725</xdr:rowOff>
        </xdr:from>
        <xdr:to>
          <xdr:col>7</xdr:col>
          <xdr:colOff>657225</xdr:colOff>
          <xdr:row>2</xdr:row>
          <xdr:rowOff>142875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703348D-ABC0-B7C8-B334-BA9D7EA4A4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HSK Crack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457200</xdr:colOff>
          <xdr:row>1</xdr:row>
          <xdr:rowOff>47625</xdr:rowOff>
        </xdr:from>
        <xdr:to>
          <xdr:col>18</xdr:col>
          <xdr:colOff>0</xdr:colOff>
          <xdr:row>3</xdr:row>
          <xdr:rowOff>57150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92D70B3-4840-CF6B-D7E5-D979362596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FCC_Alky Sensitivities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28575</xdr:colOff>
          <xdr:row>1</xdr:row>
          <xdr:rowOff>47625</xdr:rowOff>
        </xdr:from>
        <xdr:to>
          <xdr:col>19</xdr:col>
          <xdr:colOff>333375</xdr:colOff>
          <xdr:row>3</xdr:row>
          <xdr:rowOff>57150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F17EDE3-91DB-8429-5D41-5659F304F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FCC Crack Sensitivities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352425</xdr:colOff>
          <xdr:row>1</xdr:row>
          <xdr:rowOff>47625</xdr:rowOff>
        </xdr:from>
        <xdr:to>
          <xdr:col>21</xdr:col>
          <xdr:colOff>28575</xdr:colOff>
          <xdr:row>3</xdr:row>
          <xdr:rowOff>57150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68C5179-A565-51CE-F1FE-F53F10C17D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HSK Alky Sensitivities</a:t>
              </a:r>
            </a:p>
          </xdr:txBody>
        </xdr:sp>
        <xdr:clientData fPrintsWithSheet="0"/>
      </xdr:twoCellAnchor>
    </mc:Choice>
    <mc:Fallback/>
  </mc:AlternateContent>
  <xdr:twoCellAnchor>
    <xdr:from>
      <xdr:col>27</xdr:col>
      <xdr:colOff>161925</xdr:colOff>
      <xdr:row>10</xdr:row>
      <xdr:rowOff>28575</xdr:rowOff>
    </xdr:from>
    <xdr:to>
      <xdr:col>37</xdr:col>
      <xdr:colOff>409575</xdr:colOff>
      <xdr:row>34</xdr:row>
      <xdr:rowOff>114300</xdr:rowOff>
    </xdr:to>
    <xdr:graphicFrame macro="">
      <xdr:nvGraphicFramePr>
        <xdr:cNvPr id="1043" name="Chart 19">
          <a:extLst>
            <a:ext uri="{FF2B5EF4-FFF2-40B4-BE49-F238E27FC236}">
              <a16:creationId xmlns:a16="http://schemas.microsoft.com/office/drawing/2014/main" id="{9099F51E-A3A6-B7D8-B5F2-00F84D55E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219075</xdr:colOff>
      <xdr:row>37</xdr:row>
      <xdr:rowOff>47625</xdr:rowOff>
    </xdr:from>
    <xdr:to>
      <xdr:col>37</xdr:col>
      <xdr:colOff>419100</xdr:colOff>
      <xdr:row>60</xdr:row>
      <xdr:rowOff>38100</xdr:rowOff>
    </xdr:to>
    <xdr:graphicFrame macro="">
      <xdr:nvGraphicFramePr>
        <xdr:cNvPr id="1044" name="Chart 20">
          <a:extLst>
            <a:ext uri="{FF2B5EF4-FFF2-40B4-BE49-F238E27FC236}">
              <a16:creationId xmlns:a16="http://schemas.microsoft.com/office/drawing/2014/main" id="{C6B37699-4BE4-68BC-611C-E3DF95F8F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54"/>
  <sheetViews>
    <sheetView tabSelected="1" topLeftCell="V1" zoomScale="75" workbookViewId="0">
      <selection activeCell="Z7" sqref="Z7"/>
    </sheetView>
  </sheetViews>
  <sheetFormatPr defaultRowHeight="12.75" x14ac:dyDescent="0.2"/>
  <cols>
    <col min="1" max="1" width="47.42578125" customWidth="1"/>
    <col min="2" max="2" width="9.140625" style="1"/>
    <col min="3" max="3" width="11" customWidth="1"/>
    <col min="5" max="5" width="23.28515625" customWidth="1"/>
    <col min="6" max="6" width="14.28515625" style="3" customWidth="1"/>
    <col min="7" max="7" width="11" style="3" customWidth="1"/>
    <col min="8" max="8" width="10.85546875" style="3" customWidth="1"/>
    <col min="10" max="10" width="11.5703125" customWidth="1"/>
    <col min="15" max="15" width="8.85546875" customWidth="1"/>
    <col min="16" max="17" width="11" customWidth="1"/>
    <col min="21" max="21" width="9.85546875" customWidth="1"/>
  </cols>
  <sheetData>
    <row r="1" spans="1:27" x14ac:dyDescent="0.2">
      <c r="A1" s="2" t="s">
        <v>43</v>
      </c>
    </row>
    <row r="3" spans="1:27" x14ac:dyDescent="0.2">
      <c r="A3" t="s">
        <v>44</v>
      </c>
    </row>
    <row r="4" spans="1:27" x14ac:dyDescent="0.2">
      <c r="A4" t="s">
        <v>45</v>
      </c>
    </row>
    <row r="6" spans="1:27" x14ac:dyDescent="0.2">
      <c r="A6" s="2" t="s">
        <v>8</v>
      </c>
      <c r="F6" s="4" t="s">
        <v>11</v>
      </c>
      <c r="G6" s="4" t="s">
        <v>12</v>
      </c>
      <c r="H6" s="4" t="s">
        <v>13</v>
      </c>
      <c r="J6" s="4" t="s">
        <v>11</v>
      </c>
      <c r="K6" s="4" t="s">
        <v>12</v>
      </c>
      <c r="L6" s="4" t="s">
        <v>13</v>
      </c>
      <c r="P6" s="40" t="s">
        <v>61</v>
      </c>
      <c r="Q6" s="40"/>
      <c r="S6" s="25">
        <v>2</v>
      </c>
    </row>
    <row r="7" spans="1:27" x14ac:dyDescent="0.2">
      <c r="P7" s="40" t="s">
        <v>62</v>
      </c>
      <c r="Q7" s="40"/>
      <c r="S7" s="25">
        <v>2</v>
      </c>
    </row>
    <row r="8" spans="1:27" x14ac:dyDescent="0.2">
      <c r="A8" t="s">
        <v>1</v>
      </c>
      <c r="B8" s="9">
        <v>4</v>
      </c>
      <c r="C8" t="s">
        <v>6</v>
      </c>
      <c r="G8" s="4" t="s">
        <v>14</v>
      </c>
      <c r="S8" s="3"/>
    </row>
    <row r="9" spans="1:27" x14ac:dyDescent="0.2">
      <c r="A9" t="s">
        <v>27</v>
      </c>
      <c r="B9" s="9">
        <v>1.3</v>
      </c>
      <c r="C9" t="s">
        <v>6</v>
      </c>
      <c r="G9" s="5"/>
      <c r="H9" s="5"/>
      <c r="S9" s="3"/>
    </row>
    <row r="10" spans="1:27" x14ac:dyDescent="0.2">
      <c r="A10" t="s">
        <v>0</v>
      </c>
      <c r="B10" s="9">
        <v>0</v>
      </c>
      <c r="C10" t="s">
        <v>6</v>
      </c>
      <c r="E10" t="s">
        <v>9</v>
      </c>
      <c r="F10" s="5">
        <v>0.40899999999999997</v>
      </c>
      <c r="G10" s="5">
        <v>0</v>
      </c>
      <c r="H10" s="5">
        <v>0.11600000000000001</v>
      </c>
      <c r="J10" s="1">
        <f>F10*$B$33</f>
        <v>11.384440861472896</v>
      </c>
      <c r="K10" s="1">
        <f>G10*$B$33</f>
        <v>0</v>
      </c>
      <c r="L10" s="1">
        <f>H10*$B$33</f>
        <v>3.2288389729360785</v>
      </c>
      <c r="P10" s="39" t="s">
        <v>11</v>
      </c>
      <c r="Q10" s="39"/>
      <c r="R10" s="45" t="s">
        <v>66</v>
      </c>
      <c r="S10" s="46"/>
      <c r="T10" s="46"/>
      <c r="U10" s="46"/>
      <c r="V10" s="46"/>
      <c r="W10" s="46"/>
      <c r="X10" s="46"/>
      <c r="Y10" s="46"/>
      <c r="Z10" s="46"/>
      <c r="AA10" s="47"/>
    </row>
    <row r="11" spans="1:27" x14ac:dyDescent="0.2">
      <c r="A11" t="s">
        <v>49</v>
      </c>
      <c r="B11" s="9">
        <f>B12-1.75</f>
        <v>-3.25</v>
      </c>
      <c r="C11" t="s">
        <v>6</v>
      </c>
      <c r="E11" t="s">
        <v>10</v>
      </c>
      <c r="F11" s="5">
        <v>1E-3</v>
      </c>
      <c r="G11" s="5">
        <v>0.35399999999999998</v>
      </c>
      <c r="H11" s="5">
        <v>6.4000000000000001E-2</v>
      </c>
      <c r="J11" s="1">
        <f>F11*$B$34</f>
        <v>2.6700818732207574E-2</v>
      </c>
      <c r="K11" s="1">
        <f>G11*$B$34</f>
        <v>9.4520898312014801</v>
      </c>
      <c r="L11" s="1">
        <f>H11*$B$34</f>
        <v>1.7088523988612847</v>
      </c>
      <c r="P11" s="3"/>
      <c r="Q11" s="3"/>
      <c r="R11" s="25">
        <f>12</f>
        <v>12</v>
      </c>
      <c r="S11" s="26">
        <f t="shared" ref="S11:AA11" si="0">R11+$S$7</f>
        <v>14</v>
      </c>
      <c r="T11" s="26">
        <f t="shared" si="0"/>
        <v>16</v>
      </c>
      <c r="U11" s="26">
        <f t="shared" si="0"/>
        <v>18</v>
      </c>
      <c r="V11" s="26">
        <f t="shared" si="0"/>
        <v>20</v>
      </c>
      <c r="W11" s="26">
        <f t="shared" si="0"/>
        <v>22</v>
      </c>
      <c r="X11" s="26">
        <f t="shared" si="0"/>
        <v>24</v>
      </c>
      <c r="Y11" s="26">
        <f t="shared" si="0"/>
        <v>26</v>
      </c>
      <c r="Z11" s="26">
        <f t="shared" si="0"/>
        <v>28</v>
      </c>
      <c r="AA11" s="26">
        <f t="shared" si="0"/>
        <v>30</v>
      </c>
    </row>
    <row r="12" spans="1:27" x14ac:dyDescent="0.2">
      <c r="A12" t="s">
        <v>50</v>
      </c>
      <c r="B12" s="9">
        <v>-1.5</v>
      </c>
      <c r="C12" t="s">
        <v>6</v>
      </c>
      <c r="E12" t="s">
        <v>15</v>
      </c>
      <c r="F12" s="5">
        <v>0</v>
      </c>
      <c r="G12" s="5">
        <v>0</v>
      </c>
      <c r="H12" s="5">
        <v>6.3E-2</v>
      </c>
      <c r="J12" s="1">
        <f>F12*$B$35</f>
        <v>0</v>
      </c>
      <c r="K12" s="1">
        <f>G12*$B$35</f>
        <v>0</v>
      </c>
      <c r="L12" s="1">
        <f>H12*$B$35</f>
        <v>1.6477535801290772</v>
      </c>
      <c r="M12" s="42" t="s">
        <v>63</v>
      </c>
      <c r="N12" s="41"/>
      <c r="P12" s="25">
        <v>6</v>
      </c>
      <c r="Q12" t="s">
        <v>67</v>
      </c>
      <c r="R12" s="27">
        <v>1.7605325632758611</v>
      </c>
      <c r="S12" s="28">
        <v>1.9802514358806778</v>
      </c>
      <c r="T12" s="29">
        <v>2.1999703084854443</v>
      </c>
      <c r="U12" s="29">
        <v>2.4196891810902308</v>
      </c>
      <c r="V12" s="29">
        <v>2.6394080536949862</v>
      </c>
      <c r="W12" s="29">
        <v>2.8591269262997736</v>
      </c>
      <c r="X12" s="29">
        <v>3.0788457989045348</v>
      </c>
      <c r="Y12" s="29">
        <v>3.2985646715093688</v>
      </c>
      <c r="Z12" s="29">
        <v>3.5182835441141309</v>
      </c>
      <c r="AA12" s="30">
        <v>3.7380024167189605</v>
      </c>
    </row>
    <row r="13" spans="1:27" x14ac:dyDescent="0.2">
      <c r="A13" t="s">
        <v>2</v>
      </c>
      <c r="B13" s="9">
        <v>-2.6</v>
      </c>
      <c r="C13" t="s">
        <v>7</v>
      </c>
      <c r="E13" t="s">
        <v>16</v>
      </c>
      <c r="F13" s="5">
        <v>0.104</v>
      </c>
      <c r="G13" s="5">
        <v>0.122</v>
      </c>
      <c r="H13" s="5">
        <v>9.9000000000000005E-2</v>
      </c>
      <c r="J13" s="1">
        <f>F13*$B$36</f>
        <v>2.7201011481495874</v>
      </c>
      <c r="K13" s="1">
        <f>G13*$B$36</f>
        <v>3.1908878853293237</v>
      </c>
      <c r="L13" s="1">
        <f>H13*$B$36</f>
        <v>2.5893270544885501</v>
      </c>
      <c r="M13" s="43"/>
      <c r="N13" s="41"/>
      <c r="P13" s="26">
        <f t="shared" ref="P13:P19" si="1">P12+$S$6</f>
        <v>8</v>
      </c>
      <c r="Q13" t="s">
        <v>67</v>
      </c>
      <c r="R13" s="31">
        <v>2.2666284662297507</v>
      </c>
      <c r="S13" s="32">
        <v>2.4863473388345483</v>
      </c>
      <c r="T13" s="33">
        <v>2.7060662114393184</v>
      </c>
      <c r="U13" s="33">
        <v>2.9257850840441089</v>
      </c>
      <c r="V13" s="33">
        <v>3.1455039566489207</v>
      </c>
      <c r="W13" s="33">
        <v>3.3652228292536579</v>
      </c>
      <c r="X13" s="33">
        <v>3.5849417018584688</v>
      </c>
      <c r="Y13" s="33">
        <v>3.8046605744632496</v>
      </c>
      <c r="Z13" s="33">
        <v>4.0243794470679983</v>
      </c>
      <c r="AA13" s="34">
        <v>4.2440983196728244</v>
      </c>
    </row>
    <row r="14" spans="1:27" x14ac:dyDescent="0.2">
      <c r="A14" t="s">
        <v>32</v>
      </c>
      <c r="B14" s="9">
        <v>10</v>
      </c>
      <c r="C14" t="s">
        <v>7</v>
      </c>
      <c r="E14" t="s">
        <v>17</v>
      </c>
      <c r="F14" s="5">
        <v>0.156</v>
      </c>
      <c r="G14" s="5">
        <v>0.183</v>
      </c>
      <c r="H14" s="5">
        <v>0.14799999999999999</v>
      </c>
      <c r="J14" s="1">
        <f>F14*$B$37</f>
        <v>3.8672117222243818</v>
      </c>
      <c r="K14" s="1">
        <f>G14*$B$37</f>
        <v>4.5365368279939862</v>
      </c>
      <c r="L14" s="1">
        <f>H14*$B$37</f>
        <v>3.6688931723667211</v>
      </c>
      <c r="M14" s="43"/>
      <c r="N14" s="41"/>
      <c r="O14" t="s">
        <v>68</v>
      </c>
      <c r="P14" s="26">
        <f t="shared" si="1"/>
        <v>10</v>
      </c>
      <c r="Q14" t="s">
        <v>67</v>
      </c>
      <c r="R14" s="31">
        <v>2.7727243691836421</v>
      </c>
      <c r="S14" s="32">
        <v>2.9924432417884379</v>
      </c>
      <c r="T14" s="33">
        <v>3.2121621143932026</v>
      </c>
      <c r="U14" s="33">
        <v>3.4318809869979896</v>
      </c>
      <c r="V14" s="33">
        <v>3.6515998596027757</v>
      </c>
      <c r="W14" s="33">
        <v>3.8713187322075635</v>
      </c>
      <c r="X14" s="33">
        <v>4.0910376048123505</v>
      </c>
      <c r="Y14" s="33">
        <v>4.3107564774171347</v>
      </c>
      <c r="Z14" s="33">
        <v>4.5304753500219404</v>
      </c>
      <c r="AA14" s="34">
        <v>4.7501942226267415</v>
      </c>
    </row>
    <row r="15" spans="1:27" x14ac:dyDescent="0.2">
      <c r="A15" t="s">
        <v>3</v>
      </c>
      <c r="B15" s="9">
        <v>-4.75</v>
      </c>
      <c r="C15" t="s">
        <v>6</v>
      </c>
      <c r="E15" t="s">
        <v>18</v>
      </c>
      <c r="F15" s="5">
        <v>0.22800000000000001</v>
      </c>
      <c r="G15" s="5">
        <v>0.23300000000000001</v>
      </c>
      <c r="H15" s="5">
        <v>0.42799999999999999</v>
      </c>
      <c r="J15" s="1">
        <f>F15*$B$39</f>
        <v>3.5276886709433275</v>
      </c>
      <c r="K15" s="1">
        <f>G15*$B$39</f>
        <v>3.6050502646043654</v>
      </c>
      <c r="L15" s="1">
        <f>H15*$B$39</f>
        <v>6.6221524173848421</v>
      </c>
      <c r="M15" s="43"/>
      <c r="N15" s="41"/>
      <c r="P15" s="26">
        <f t="shared" si="1"/>
        <v>12</v>
      </c>
      <c r="Q15" t="s">
        <v>67</v>
      </c>
      <c r="R15" s="31">
        <v>3.2788202721375423</v>
      </c>
      <c r="S15" s="32">
        <v>3.4985391447423204</v>
      </c>
      <c r="T15" s="33">
        <v>3.7182580173471154</v>
      </c>
      <c r="U15" s="33">
        <v>3.9379768899519094</v>
      </c>
      <c r="V15" s="33">
        <v>4.1576957625566546</v>
      </c>
      <c r="W15" s="33">
        <v>4.3774146351614629</v>
      </c>
      <c r="X15" s="33">
        <v>4.5971335077662339</v>
      </c>
      <c r="Y15" s="33">
        <v>4.8168523803710466</v>
      </c>
      <c r="Z15" s="33">
        <v>5.0365712529758344</v>
      </c>
      <c r="AA15" s="34">
        <v>5.256290125580608</v>
      </c>
    </row>
    <row r="16" spans="1:27" x14ac:dyDescent="0.2">
      <c r="A16" t="s">
        <v>4</v>
      </c>
      <c r="B16" s="9">
        <v>3</v>
      </c>
      <c r="C16" t="s">
        <v>5</v>
      </c>
      <c r="E16" t="s">
        <v>19</v>
      </c>
      <c r="F16" s="5">
        <v>2.7E-2</v>
      </c>
      <c r="G16" s="5">
        <v>1.7000000000000001E-2</v>
      </c>
      <c r="H16" s="5">
        <v>1.4999999999999999E-2</v>
      </c>
      <c r="J16" s="1">
        <f>F16*$B$43</f>
        <v>0.38486815764443444</v>
      </c>
      <c r="K16" s="1">
        <f>G16*$B$43</f>
        <v>0.24232439555390317</v>
      </c>
      <c r="L16" s="1">
        <f>H16*$B$43</f>
        <v>0.2138156431357969</v>
      </c>
      <c r="M16" s="43"/>
      <c r="N16" s="41"/>
      <c r="P16" s="26">
        <f t="shared" si="1"/>
        <v>14</v>
      </c>
      <c r="Q16" t="s">
        <v>67</v>
      </c>
      <c r="R16" s="31">
        <v>3.7849161750914346</v>
      </c>
      <c r="S16" s="32">
        <v>4.0046350476962207</v>
      </c>
      <c r="T16" s="33">
        <v>4.2243539203009606</v>
      </c>
      <c r="U16" s="33">
        <v>4.444072792905791</v>
      </c>
      <c r="V16" s="33">
        <v>4.6637916655105638</v>
      </c>
      <c r="W16" s="33">
        <v>4.8835105381153614</v>
      </c>
      <c r="X16" s="33">
        <v>5.1032294107201306</v>
      </c>
      <c r="Y16" s="33">
        <v>5.3229482833249051</v>
      </c>
      <c r="Z16" s="33">
        <v>5.5426671559296938</v>
      </c>
      <c r="AA16" s="34">
        <v>5.7623860285345039</v>
      </c>
    </row>
    <row r="17" spans="1:27" x14ac:dyDescent="0.2">
      <c r="A17" t="s">
        <v>33</v>
      </c>
      <c r="B17" s="10">
        <v>0.5</v>
      </c>
      <c r="C17" t="s">
        <v>25</v>
      </c>
      <c r="F17" s="5"/>
      <c r="G17" s="5"/>
      <c r="H17" s="5"/>
      <c r="J17" s="1"/>
      <c r="K17" s="1"/>
      <c r="L17" s="1"/>
      <c r="M17" s="43"/>
      <c r="N17" s="41"/>
      <c r="P17" s="26">
        <f t="shared" si="1"/>
        <v>16</v>
      </c>
      <c r="Q17" t="s">
        <v>67</v>
      </c>
      <c r="R17" s="31">
        <v>4.2910120780453127</v>
      </c>
      <c r="S17" s="32">
        <v>4.510730950650097</v>
      </c>
      <c r="T17" s="33">
        <v>4.7304498232548848</v>
      </c>
      <c r="U17" s="33">
        <v>4.9501686958597073</v>
      </c>
      <c r="V17" s="33">
        <v>5.1698875684644641</v>
      </c>
      <c r="W17" s="33">
        <v>5.3896064410692475</v>
      </c>
      <c r="X17" s="33">
        <v>5.6093253136740362</v>
      </c>
      <c r="Y17" s="33">
        <v>5.8290441862788098</v>
      </c>
      <c r="Z17" s="33">
        <v>6.0487630588835888</v>
      </c>
      <c r="AA17" s="34">
        <v>6.2684819314883757</v>
      </c>
    </row>
    <row r="18" spans="1:27" x14ac:dyDescent="0.2">
      <c r="A18" t="s">
        <v>34</v>
      </c>
      <c r="B18" s="10">
        <v>0.65</v>
      </c>
      <c r="C18" t="s">
        <v>25</v>
      </c>
      <c r="F18" s="5"/>
      <c r="G18" s="4" t="s">
        <v>26</v>
      </c>
      <c r="H18" s="5"/>
      <c r="J18" s="1"/>
      <c r="K18" s="1"/>
      <c r="L18" s="1"/>
      <c r="M18" s="43"/>
      <c r="N18" s="41"/>
      <c r="P18" s="26">
        <f t="shared" si="1"/>
        <v>18</v>
      </c>
      <c r="Q18" t="s">
        <v>67</v>
      </c>
      <c r="R18" s="31">
        <v>4.7971079809992112</v>
      </c>
      <c r="S18" s="32">
        <v>5.0168268536039982</v>
      </c>
      <c r="T18" s="33">
        <v>5.2365457262087514</v>
      </c>
      <c r="U18" s="33">
        <v>5.4562645988135507</v>
      </c>
      <c r="V18" s="33">
        <v>5.675983471418375</v>
      </c>
      <c r="W18" s="33">
        <v>5.8957023440231362</v>
      </c>
      <c r="X18" s="33">
        <v>6.1154212166279116</v>
      </c>
      <c r="Y18" s="33">
        <v>6.3351400892327066</v>
      </c>
      <c r="Z18" s="33">
        <v>6.5548589618374908</v>
      </c>
      <c r="AA18" s="34">
        <v>6.7745778344422947</v>
      </c>
    </row>
    <row r="19" spans="1:27" x14ac:dyDescent="0.2">
      <c r="A19" t="s">
        <v>36</v>
      </c>
      <c r="B19" s="10">
        <v>0.54500000000000004</v>
      </c>
      <c r="F19" s="5"/>
      <c r="G19" s="5"/>
      <c r="H19" s="5"/>
      <c r="J19" s="1"/>
      <c r="K19" s="1"/>
      <c r="L19" s="1"/>
      <c r="M19" s="44"/>
      <c r="N19" s="41"/>
      <c r="P19" s="26">
        <f t="shared" si="1"/>
        <v>20</v>
      </c>
      <c r="Q19" t="s">
        <v>67</v>
      </c>
      <c r="R19" s="35">
        <v>5.3032038839530955</v>
      </c>
      <c r="S19" s="36">
        <v>5.5229227565578825</v>
      </c>
      <c r="T19" s="37">
        <v>5.742641629162673</v>
      </c>
      <c r="U19" s="37">
        <v>5.9623605017674617</v>
      </c>
      <c r="V19" s="37">
        <v>6.1820793743722398</v>
      </c>
      <c r="W19" s="37">
        <v>6.4017982469770134</v>
      </c>
      <c r="X19" s="37">
        <v>6.6215171195818181</v>
      </c>
      <c r="Y19" s="37">
        <v>6.8412359921865935</v>
      </c>
      <c r="Z19" s="37">
        <v>7.0609548647913591</v>
      </c>
      <c r="AA19" s="38">
        <v>7.2806737373961594</v>
      </c>
    </row>
    <row r="20" spans="1:27" x14ac:dyDescent="0.2">
      <c r="A20" t="s">
        <v>35</v>
      </c>
      <c r="B20" s="9">
        <v>4.7</v>
      </c>
      <c r="C20" t="s">
        <v>6</v>
      </c>
      <c r="E20" t="s">
        <v>20</v>
      </c>
      <c r="F20" s="5">
        <v>1</v>
      </c>
      <c r="G20" s="5">
        <v>1</v>
      </c>
      <c r="H20" s="5">
        <v>1</v>
      </c>
      <c r="J20" s="1">
        <f>F20*$B$44</f>
        <v>20</v>
      </c>
      <c r="K20" s="1">
        <f>G20*$B$44</f>
        <v>20</v>
      </c>
      <c r="L20" s="1">
        <f>H20*$B$44</f>
        <v>20</v>
      </c>
      <c r="P20" s="26"/>
      <c r="Q20" s="26"/>
      <c r="R20" s="32"/>
      <c r="S20" s="32"/>
      <c r="T20" s="33"/>
      <c r="U20" s="33"/>
      <c r="V20" s="33"/>
      <c r="W20" s="33"/>
      <c r="X20" s="33"/>
      <c r="Y20" s="33"/>
      <c r="Z20" s="33"/>
      <c r="AA20" s="33"/>
    </row>
    <row r="21" spans="1:27" x14ac:dyDescent="0.2">
      <c r="E21" t="s">
        <v>21</v>
      </c>
      <c r="F21" s="5">
        <v>1.7999999999999999E-2</v>
      </c>
      <c r="G21" s="5">
        <v>1.7000000000000001E-2</v>
      </c>
      <c r="H21" s="5">
        <v>1.4999999999999999E-2</v>
      </c>
      <c r="J21" s="1">
        <f>F21*$B$40</f>
        <v>0.30601137916682863</v>
      </c>
      <c r="K21" s="1">
        <f>G21*$B$40</f>
        <v>0.28901074699089374</v>
      </c>
      <c r="L21" s="1">
        <f>H21*$B$40</f>
        <v>0.25500948263902384</v>
      </c>
      <c r="P21" s="39" t="s">
        <v>64</v>
      </c>
      <c r="Q21" s="39"/>
      <c r="R21" s="45" t="s">
        <v>66</v>
      </c>
      <c r="S21" s="46"/>
      <c r="T21" s="46"/>
      <c r="U21" s="46"/>
      <c r="V21" s="46"/>
      <c r="W21" s="46"/>
      <c r="X21" s="46"/>
      <c r="Y21" s="46"/>
      <c r="Z21" s="46"/>
      <c r="AA21" s="47"/>
    </row>
    <row r="22" spans="1:27" x14ac:dyDescent="0.2">
      <c r="E22" t="s">
        <v>28</v>
      </c>
      <c r="F22" s="5">
        <v>0</v>
      </c>
      <c r="G22" s="5">
        <v>1.2E-2</v>
      </c>
      <c r="H22" s="5">
        <v>8.0000000000000002E-3</v>
      </c>
      <c r="J22" s="1">
        <f>F22*$B$41</f>
        <v>0</v>
      </c>
      <c r="K22" s="1">
        <f>G22*$B$41</f>
        <v>0.22769558611121909</v>
      </c>
      <c r="L22" s="1">
        <f>H22*$B$41</f>
        <v>0.1517970574074794</v>
      </c>
      <c r="P22" s="3"/>
      <c r="Q22" s="3"/>
      <c r="R22" s="25">
        <f>12</f>
        <v>12</v>
      </c>
      <c r="S22" s="26">
        <f t="shared" ref="S22:AA22" si="2">R22+$S$7</f>
        <v>14</v>
      </c>
      <c r="T22" s="26">
        <f t="shared" si="2"/>
        <v>16</v>
      </c>
      <c r="U22" s="26">
        <f t="shared" si="2"/>
        <v>18</v>
      </c>
      <c r="V22" s="26">
        <f t="shared" si="2"/>
        <v>20</v>
      </c>
      <c r="W22" s="26">
        <f t="shared" si="2"/>
        <v>22</v>
      </c>
      <c r="X22" s="26">
        <f t="shared" si="2"/>
        <v>24</v>
      </c>
      <c r="Y22" s="26">
        <f t="shared" si="2"/>
        <v>26</v>
      </c>
      <c r="Z22" s="26">
        <f t="shared" si="2"/>
        <v>28</v>
      </c>
      <c r="AA22" s="26">
        <f t="shared" si="2"/>
        <v>30</v>
      </c>
    </row>
    <row r="23" spans="1:27" x14ac:dyDescent="0.2">
      <c r="A23" t="s">
        <v>29</v>
      </c>
      <c r="B23" s="9">
        <v>22</v>
      </c>
      <c r="C23" t="s">
        <v>7</v>
      </c>
      <c r="F23" s="5"/>
      <c r="G23" s="5"/>
      <c r="H23" s="5"/>
      <c r="M23" s="42" t="s">
        <v>63</v>
      </c>
      <c r="P23" s="25">
        <v>6</v>
      </c>
      <c r="Q23" s="25"/>
      <c r="R23" s="27">
        <v>2.6099701925964545</v>
      </c>
      <c r="S23" s="28">
        <v>2.8764774482527837</v>
      </c>
      <c r="T23" s="29">
        <v>3.142984703909133</v>
      </c>
      <c r="U23" s="29">
        <v>3.4094919595654978</v>
      </c>
      <c r="V23" s="29">
        <v>3.6759992152218626</v>
      </c>
      <c r="W23" s="29">
        <v>3.9425064708782056</v>
      </c>
      <c r="X23" s="29">
        <v>4.2090137265345478</v>
      </c>
      <c r="Y23" s="29">
        <v>4.4755209821909112</v>
      </c>
      <c r="Z23" s="29">
        <v>4.7420282378473253</v>
      </c>
      <c r="AA23" s="30">
        <v>5.0085354935035973</v>
      </c>
    </row>
    <row r="24" spans="1:27" x14ac:dyDescent="0.2">
      <c r="A24" t="s">
        <v>31</v>
      </c>
      <c r="B24" s="8">
        <v>4.1548187322075734</v>
      </c>
      <c r="C24" t="s">
        <v>7</v>
      </c>
      <c r="G24" s="7" t="s">
        <v>24</v>
      </c>
      <c r="H24" s="5"/>
      <c r="M24" s="43"/>
      <c r="P24" s="26">
        <f t="shared" ref="P24:P30" si="3">P23+$S$6</f>
        <v>8</v>
      </c>
      <c r="Q24" s="26"/>
      <c r="R24" s="31">
        <v>3.1380663831643862</v>
      </c>
      <c r="S24" s="32">
        <v>3.4045736388206911</v>
      </c>
      <c r="T24" s="33">
        <v>3.6710808944770861</v>
      </c>
      <c r="U24" s="33">
        <v>3.9375881501334753</v>
      </c>
      <c r="V24" s="33">
        <v>4.2040954057898157</v>
      </c>
      <c r="W24" s="33">
        <v>4.4706026614461303</v>
      </c>
      <c r="X24" s="33">
        <v>4.7371099171024937</v>
      </c>
      <c r="Y24" s="33">
        <v>5.003617172758819</v>
      </c>
      <c r="Z24" s="33">
        <v>5.2701244284151887</v>
      </c>
      <c r="AA24" s="34">
        <v>5.5366316840715379</v>
      </c>
    </row>
    <row r="25" spans="1:27" x14ac:dyDescent="0.2">
      <c r="A25" t="s">
        <v>30</v>
      </c>
      <c r="B25" s="9">
        <v>-2</v>
      </c>
      <c r="C25" t="s">
        <v>7</v>
      </c>
      <c r="M25" s="43"/>
      <c r="O25" t="s">
        <v>12</v>
      </c>
      <c r="P25" s="26">
        <f t="shared" si="3"/>
        <v>10</v>
      </c>
      <c r="Q25" s="26"/>
      <c r="R25" s="31">
        <v>3.6661625737323131</v>
      </c>
      <c r="S25" s="32">
        <v>3.9326698293886446</v>
      </c>
      <c r="T25" s="33">
        <v>4.1991770850450232</v>
      </c>
      <c r="U25" s="33">
        <v>4.4656843407013556</v>
      </c>
      <c r="V25" s="33">
        <v>4.7321915963577545</v>
      </c>
      <c r="W25" s="33">
        <v>4.9986988520140914</v>
      </c>
      <c r="X25" s="33">
        <v>5.2652061076704912</v>
      </c>
      <c r="Y25" s="33">
        <v>5.5317133633267801</v>
      </c>
      <c r="Z25" s="33">
        <v>5.7982206189831036</v>
      </c>
      <c r="AA25" s="34">
        <v>6.0647278746394964</v>
      </c>
    </row>
    <row r="26" spans="1:27" x14ac:dyDescent="0.2">
      <c r="A26" t="s">
        <v>59</v>
      </c>
      <c r="B26" s="9">
        <v>0.4</v>
      </c>
      <c r="C26" t="s">
        <v>7</v>
      </c>
      <c r="E26" t="s">
        <v>22</v>
      </c>
      <c r="F26" s="6">
        <v>0.27500000000000002</v>
      </c>
      <c r="G26" s="6">
        <v>0.255</v>
      </c>
      <c r="H26" s="6">
        <v>0.30099999999999999</v>
      </c>
      <c r="I26" t="s">
        <v>5</v>
      </c>
      <c r="M26" s="43"/>
      <c r="P26" s="26">
        <f t="shared" si="3"/>
        <v>12</v>
      </c>
      <c r="Q26" s="26"/>
      <c r="R26" s="31">
        <v>4.1942587643002343</v>
      </c>
      <c r="S26" s="32">
        <v>4.4607660199566164</v>
      </c>
      <c r="T26" s="33">
        <v>4.7272732756129425</v>
      </c>
      <c r="U26" s="33">
        <v>4.993780531269314</v>
      </c>
      <c r="V26" s="33">
        <v>5.260287786925657</v>
      </c>
      <c r="W26" s="33">
        <v>5.5267950425819814</v>
      </c>
      <c r="X26" s="33">
        <v>5.793302298238391</v>
      </c>
      <c r="Y26" s="33">
        <v>6.0598095538947341</v>
      </c>
      <c r="Z26" s="33">
        <v>6.3263168095510478</v>
      </c>
      <c r="AA26" s="34">
        <v>6.592824065207421</v>
      </c>
    </row>
    <row r="27" spans="1:27" x14ac:dyDescent="0.2">
      <c r="E27" t="s">
        <v>23</v>
      </c>
      <c r="F27" s="6">
        <v>0.38</v>
      </c>
      <c r="G27" s="6">
        <v>0.34</v>
      </c>
      <c r="H27" s="6">
        <v>0.2</v>
      </c>
      <c r="I27" t="s">
        <v>7</v>
      </c>
      <c r="M27" s="43"/>
      <c r="P27" s="26">
        <f t="shared" si="3"/>
        <v>14</v>
      </c>
      <c r="Q27" s="26"/>
      <c r="R27" s="31">
        <v>4.7223549548681767</v>
      </c>
      <c r="S27" s="32">
        <v>4.9888622105245277</v>
      </c>
      <c r="T27" s="33">
        <v>5.255369466180893</v>
      </c>
      <c r="U27" s="33">
        <v>5.5218767218372378</v>
      </c>
      <c r="V27" s="33">
        <v>5.7883839774935986</v>
      </c>
      <c r="W27" s="33">
        <v>6.0548912331499425</v>
      </c>
      <c r="X27" s="33">
        <v>6.3213984888062988</v>
      </c>
      <c r="Y27" s="33">
        <v>6.5879057444626543</v>
      </c>
      <c r="Z27" s="33">
        <v>6.8544130001190187</v>
      </c>
      <c r="AA27" s="34">
        <v>7.1209202557753457</v>
      </c>
    </row>
    <row r="28" spans="1:27" ht="13.5" thickBot="1" x14ac:dyDescent="0.25">
      <c r="A28" t="s">
        <v>37</v>
      </c>
      <c r="M28" s="43"/>
      <c r="P28" s="26">
        <f t="shared" si="3"/>
        <v>16</v>
      </c>
      <c r="Q28" s="26"/>
      <c r="R28" s="31">
        <v>5.2504511454361067</v>
      </c>
      <c r="S28" s="32">
        <v>5.5169584010924675</v>
      </c>
      <c r="T28" s="33">
        <v>5.7834656567488185</v>
      </c>
      <c r="U28" s="33">
        <v>6.0499729124051784</v>
      </c>
      <c r="V28" s="33">
        <v>6.3164801680615215</v>
      </c>
      <c r="W28" s="33">
        <v>6.5829874237178778</v>
      </c>
      <c r="X28" s="33">
        <v>6.8494946793742226</v>
      </c>
      <c r="Y28" s="33">
        <v>7.116001935030555</v>
      </c>
      <c r="Z28" s="33">
        <v>7.3825091906869265</v>
      </c>
      <c r="AA28" s="34">
        <v>7.6490164463432961</v>
      </c>
    </row>
    <row r="29" spans="1:27" ht="13.5" thickTop="1" x14ac:dyDescent="0.2">
      <c r="E29" s="12"/>
      <c r="F29" s="13"/>
      <c r="G29" s="13"/>
      <c r="H29" s="14"/>
      <c r="M29" s="43"/>
      <c r="P29" s="26">
        <f t="shared" si="3"/>
        <v>18</v>
      </c>
      <c r="Q29" s="26"/>
      <c r="R29" s="31">
        <v>5.7785473360040278</v>
      </c>
      <c r="S29" s="32">
        <v>6.0450545916603957</v>
      </c>
      <c r="T29" s="33">
        <v>6.3115618473167281</v>
      </c>
      <c r="U29" s="33">
        <v>6.5780691029730693</v>
      </c>
      <c r="V29" s="33">
        <v>6.8445763586294515</v>
      </c>
      <c r="W29" s="33">
        <v>7.1110836142858007</v>
      </c>
      <c r="X29" s="33">
        <v>7.3775908699421464</v>
      </c>
      <c r="Y29" s="33">
        <v>7.6440981255984983</v>
      </c>
      <c r="Z29" s="33">
        <v>7.9106053812548636</v>
      </c>
      <c r="AA29" s="34">
        <v>8.1771126369112075</v>
      </c>
    </row>
    <row r="30" spans="1:27" x14ac:dyDescent="0.2">
      <c r="E30" s="15" t="s">
        <v>46</v>
      </c>
      <c r="F30" s="16">
        <f>SUM(J10:J16)-SUM(J20:J22)-F27-(F26*$B$16)-B26</f>
        <v>3.9968028886505635E-15</v>
      </c>
      <c r="G30" s="16">
        <f>SUM(K10:K16)-SUM(K20:K22)-G27-(G26*$B$16)-$B$26</f>
        <v>-0.99481712841905179</v>
      </c>
      <c r="H30" s="17">
        <f>SUM(L10:L16)-SUM(L20:L22)-H27-(H26*$B$16)-$B$26</f>
        <v>-2.2301733007441555</v>
      </c>
      <c r="M30" s="44"/>
      <c r="P30" s="26">
        <f t="shared" si="3"/>
        <v>20</v>
      </c>
      <c r="Q30" s="26"/>
      <c r="R30" s="35">
        <v>6.3066435265719711</v>
      </c>
      <c r="S30" s="36">
        <v>6.5731507822283293</v>
      </c>
      <c r="T30" s="37">
        <v>6.8396580378846696</v>
      </c>
      <c r="U30" s="37">
        <v>7.1061652935410482</v>
      </c>
      <c r="V30" s="37">
        <v>7.3726725491973877</v>
      </c>
      <c r="W30" s="37">
        <v>7.6391798048537058</v>
      </c>
      <c r="X30" s="37">
        <v>7.9056870605100729</v>
      </c>
      <c r="Y30" s="37">
        <v>8.1721943161664559</v>
      </c>
      <c r="Z30" s="37">
        <v>8.4387015718227794</v>
      </c>
      <c r="AA30" s="38">
        <v>8.7052088274791348</v>
      </c>
    </row>
    <row r="31" spans="1:27" x14ac:dyDescent="0.2">
      <c r="A31" s="2" t="s">
        <v>38</v>
      </c>
      <c r="E31" s="15"/>
      <c r="F31" s="18"/>
      <c r="G31" s="18"/>
      <c r="H31" s="19"/>
      <c r="P31" s="26"/>
      <c r="Q31" s="26"/>
      <c r="R31" s="32"/>
      <c r="S31" s="32"/>
      <c r="T31" s="33"/>
      <c r="U31" s="33"/>
      <c r="V31" s="33"/>
      <c r="W31" s="33"/>
      <c r="X31" s="33"/>
      <c r="Y31" s="33"/>
      <c r="Z31" s="33"/>
      <c r="AA31" s="33"/>
    </row>
    <row r="32" spans="1:27" x14ac:dyDescent="0.2">
      <c r="E32" s="15"/>
      <c r="F32" s="18"/>
      <c r="G32" s="18"/>
      <c r="H32" s="20" t="s">
        <v>25</v>
      </c>
      <c r="P32" s="39" t="s">
        <v>65</v>
      </c>
      <c r="Q32" s="39"/>
      <c r="R32" s="45" t="s">
        <v>66</v>
      </c>
      <c r="S32" s="46"/>
      <c r="T32" s="46"/>
      <c r="U32" s="46"/>
      <c r="V32" s="46"/>
      <c r="W32" s="46"/>
      <c r="X32" s="46"/>
      <c r="Y32" s="46"/>
      <c r="Z32" s="46"/>
      <c r="AA32" s="47"/>
    </row>
    <row r="33" spans="1:27" x14ac:dyDescent="0.2">
      <c r="A33" t="s">
        <v>9</v>
      </c>
      <c r="B33" s="1">
        <f>B23+B24+(B8*0.42)</f>
        <v>27.834818732207573</v>
      </c>
      <c r="C33" t="s">
        <v>7</v>
      </c>
      <c r="E33" s="15" t="s">
        <v>47</v>
      </c>
      <c r="F33" s="18"/>
      <c r="G33" s="16">
        <f>B45</f>
        <v>3.8713187322075742</v>
      </c>
      <c r="H33" s="19"/>
      <c r="P33" s="3"/>
      <c r="Q33" s="3"/>
      <c r="R33" s="25">
        <f>12</f>
        <v>12</v>
      </c>
      <c r="S33" s="26">
        <f t="shared" ref="S33:AA33" si="4">R33+$S$7</f>
        <v>14</v>
      </c>
      <c r="T33" s="26">
        <f t="shared" si="4"/>
        <v>16</v>
      </c>
      <c r="U33" s="26">
        <f t="shared" si="4"/>
        <v>18</v>
      </c>
      <c r="V33" s="26">
        <f t="shared" si="4"/>
        <v>20</v>
      </c>
      <c r="W33" s="26">
        <f t="shared" si="4"/>
        <v>22</v>
      </c>
      <c r="X33" s="26">
        <f t="shared" si="4"/>
        <v>24</v>
      </c>
      <c r="Y33" s="26">
        <f t="shared" si="4"/>
        <v>26</v>
      </c>
      <c r="Z33" s="26">
        <f t="shared" si="4"/>
        <v>28</v>
      </c>
      <c r="AA33" s="26">
        <f t="shared" si="4"/>
        <v>30</v>
      </c>
    </row>
    <row r="34" spans="1:27" x14ac:dyDescent="0.2">
      <c r="A34" t="s">
        <v>10</v>
      </c>
      <c r="B34" s="1">
        <f>B23+B24+(B9*0.42)</f>
        <v>26.700818732207573</v>
      </c>
      <c r="C34" t="s">
        <v>7</v>
      </c>
      <c r="E34" s="15" t="s">
        <v>48</v>
      </c>
      <c r="F34" s="18"/>
      <c r="G34" s="16">
        <f>G33+1.05</f>
        <v>4.921318732207574</v>
      </c>
      <c r="H34" s="19"/>
      <c r="M34" s="42" t="s">
        <v>63</v>
      </c>
      <c r="P34" s="25">
        <v>6</v>
      </c>
      <c r="Q34" s="25"/>
      <c r="R34" s="27">
        <v>3.4657364673927948</v>
      </c>
      <c r="S34" s="28">
        <v>3.6605840626628963</v>
      </c>
      <c r="T34" s="29">
        <v>3.8554316579330328</v>
      </c>
      <c r="U34" s="29">
        <v>4.0502792532031053</v>
      </c>
      <c r="V34" s="29">
        <v>4.2451268484732347</v>
      </c>
      <c r="W34" s="29">
        <v>4.439974443743318</v>
      </c>
      <c r="X34" s="29">
        <v>4.6348220390134198</v>
      </c>
      <c r="Y34" s="29">
        <v>4.8296696342835368</v>
      </c>
      <c r="Z34" s="29">
        <v>5.02451722955362</v>
      </c>
      <c r="AA34" s="30">
        <v>5.2193648248237166</v>
      </c>
    </row>
    <row r="35" spans="1:27" x14ac:dyDescent="0.2">
      <c r="A35" t="s">
        <v>15</v>
      </c>
      <c r="B35" s="1">
        <f>B23+B24</f>
        <v>26.154818732207573</v>
      </c>
      <c r="C35" t="s">
        <v>7</v>
      </c>
      <c r="E35" s="15"/>
      <c r="F35" s="18"/>
      <c r="G35" s="18"/>
      <c r="H35" s="19"/>
      <c r="M35" s="43"/>
      <c r="P35" s="26">
        <f t="shared" ref="P35:P41" si="5">P34+$S$6</f>
        <v>8</v>
      </c>
      <c r="Q35" s="26"/>
      <c r="R35" s="31">
        <v>4.4051312381684022</v>
      </c>
      <c r="S35" s="32">
        <v>4.5999788334385032</v>
      </c>
      <c r="T35" s="33">
        <v>4.7948264287086104</v>
      </c>
      <c r="U35" s="33">
        <v>4.9896740239787087</v>
      </c>
      <c r="V35" s="33">
        <v>5.1845216192488106</v>
      </c>
      <c r="W35" s="33">
        <v>5.3793692145189222</v>
      </c>
      <c r="X35" s="33">
        <v>5.5742168097890366</v>
      </c>
      <c r="Y35" s="33">
        <v>5.7690644050591366</v>
      </c>
      <c r="Z35" s="33">
        <v>5.9639120003292252</v>
      </c>
      <c r="AA35" s="34">
        <v>6.1587595955993377</v>
      </c>
    </row>
    <row r="36" spans="1:27" x14ac:dyDescent="0.2">
      <c r="A36" t="s">
        <v>16</v>
      </c>
      <c r="B36" s="1">
        <f>B23+B24+(B10*0.42)</f>
        <v>26.154818732207573</v>
      </c>
      <c r="C36" t="s">
        <v>7</v>
      </c>
      <c r="E36" s="21" t="s">
        <v>60</v>
      </c>
      <c r="F36" s="18"/>
      <c r="G36" s="18"/>
      <c r="H36" s="19"/>
      <c r="M36" s="43"/>
      <c r="O36" t="s">
        <v>69</v>
      </c>
      <c r="P36" s="26">
        <f t="shared" si="5"/>
        <v>10</v>
      </c>
      <c r="Q36" s="26"/>
      <c r="R36" s="31">
        <v>5.3445260089440083</v>
      </c>
      <c r="S36" s="32">
        <v>5.5393736042141022</v>
      </c>
      <c r="T36" s="33">
        <v>5.7342211994842218</v>
      </c>
      <c r="U36" s="33">
        <v>5.9290687947543095</v>
      </c>
      <c r="V36" s="33">
        <v>6.1239163900244176</v>
      </c>
      <c r="W36" s="33">
        <v>6.3187639852945283</v>
      </c>
      <c r="X36" s="33">
        <v>6.5136115805646302</v>
      </c>
      <c r="Y36" s="33">
        <v>6.7084591758347374</v>
      </c>
      <c r="Z36" s="33">
        <v>6.9033067711048286</v>
      </c>
      <c r="AA36" s="34">
        <v>7.0981543663749234</v>
      </c>
    </row>
    <row r="37" spans="1:27" x14ac:dyDescent="0.2">
      <c r="A37" t="s">
        <v>51</v>
      </c>
      <c r="B37" s="1">
        <f>B23+B24+(B11*0.42)</f>
        <v>24.789818732207575</v>
      </c>
      <c r="C37" t="s">
        <v>7</v>
      </c>
      <c r="E37" s="15"/>
      <c r="F37" s="18"/>
      <c r="G37" s="18"/>
      <c r="H37" s="19"/>
      <c r="M37" s="43"/>
      <c r="P37" s="26">
        <f t="shared" si="5"/>
        <v>12</v>
      </c>
      <c r="Q37" s="26"/>
      <c r="R37" s="31">
        <v>6.2839207797196046</v>
      </c>
      <c r="S37" s="32">
        <v>6.4787683749897136</v>
      </c>
      <c r="T37" s="33">
        <v>6.673615970259819</v>
      </c>
      <c r="U37" s="33">
        <v>6.8684635655299253</v>
      </c>
      <c r="V37" s="33">
        <v>7.0633111608000201</v>
      </c>
      <c r="W37" s="33">
        <v>7.2581587560701344</v>
      </c>
      <c r="X37" s="33">
        <v>7.4530063513402443</v>
      </c>
      <c r="Y37" s="33">
        <v>7.6478539466103417</v>
      </c>
      <c r="Z37" s="33">
        <v>7.842701541880432</v>
      </c>
      <c r="AA37" s="34">
        <v>8.0375491371505436</v>
      </c>
    </row>
    <row r="38" spans="1:27" x14ac:dyDescent="0.2">
      <c r="A38" t="s">
        <v>52</v>
      </c>
      <c r="B38" s="1">
        <f>B23+B24+(B12*0.42)</f>
        <v>25.524818732207574</v>
      </c>
      <c r="C38" t="s">
        <v>7</v>
      </c>
      <c r="E38" s="15" t="s">
        <v>53</v>
      </c>
      <c r="F38" s="18"/>
      <c r="G38" s="16">
        <f>G34-4.79</f>
        <v>0.13131873220757395</v>
      </c>
      <c r="H38" s="19"/>
      <c r="M38" s="43"/>
      <c r="P38" s="26">
        <f t="shared" si="5"/>
        <v>14</v>
      </c>
      <c r="Q38" s="26"/>
      <c r="R38" s="31">
        <v>7.2233155504952204</v>
      </c>
      <c r="S38" s="32">
        <v>7.4181631457653161</v>
      </c>
      <c r="T38" s="33">
        <v>7.6130107410354189</v>
      </c>
      <c r="U38" s="33">
        <v>7.8078583363055252</v>
      </c>
      <c r="V38" s="33">
        <v>8.0027059315756368</v>
      </c>
      <c r="W38" s="33">
        <v>8.1975535268457396</v>
      </c>
      <c r="X38" s="33">
        <v>8.3924011221158459</v>
      </c>
      <c r="Y38" s="33">
        <v>8.5872487173859291</v>
      </c>
      <c r="Z38" s="33">
        <v>8.7820963126560425</v>
      </c>
      <c r="AA38" s="34">
        <v>8.9769439079261275</v>
      </c>
    </row>
    <row r="39" spans="1:27" ht="13.5" thickBot="1" x14ac:dyDescent="0.25">
      <c r="A39" t="s">
        <v>39</v>
      </c>
      <c r="B39" s="1">
        <f>(0.5*B35)+(0.5*B37)-B14</f>
        <v>15.472318732207576</v>
      </c>
      <c r="C39" t="s">
        <v>7</v>
      </c>
      <c r="E39" s="22"/>
      <c r="F39" s="23"/>
      <c r="G39" s="23"/>
      <c r="H39" s="24"/>
      <c r="M39" s="43"/>
      <c r="P39" s="26">
        <f t="shared" si="5"/>
        <v>16</v>
      </c>
      <c r="Q39" s="26"/>
      <c r="R39" s="31">
        <v>8.1627103212708434</v>
      </c>
      <c r="S39" s="32">
        <v>8.3575579165409248</v>
      </c>
      <c r="T39" s="33">
        <v>8.5524055118110205</v>
      </c>
      <c r="U39" s="33">
        <v>8.7472531070811268</v>
      </c>
      <c r="V39" s="33">
        <v>8.9421007023512296</v>
      </c>
      <c r="W39" s="33">
        <v>9.1369482976213341</v>
      </c>
      <c r="X39" s="33">
        <v>9.3317958928914599</v>
      </c>
      <c r="Y39" s="33">
        <v>9.5266434881615307</v>
      </c>
      <c r="Z39" s="33">
        <v>9.7214910834316299</v>
      </c>
      <c r="AA39" s="34">
        <v>9.9163386787017505</v>
      </c>
    </row>
    <row r="40" spans="1:27" ht="13.5" thickTop="1" x14ac:dyDescent="0.2">
      <c r="A40" t="s">
        <v>21</v>
      </c>
      <c r="B40" s="1">
        <f>B18*B35</f>
        <v>17.000632175934925</v>
      </c>
      <c r="C40" t="s">
        <v>7</v>
      </c>
      <c r="M40" s="43"/>
      <c r="P40" s="26">
        <f t="shared" si="5"/>
        <v>18</v>
      </c>
      <c r="Q40" s="26"/>
      <c r="R40" s="31">
        <v>9.102105092046413</v>
      </c>
      <c r="S40" s="32">
        <v>9.2969526873165229</v>
      </c>
      <c r="T40" s="33">
        <v>9.4918002825866221</v>
      </c>
      <c r="U40" s="33">
        <v>9.686647877856732</v>
      </c>
      <c r="V40" s="33">
        <v>9.8814954731268436</v>
      </c>
      <c r="W40" s="33">
        <v>10.076343068396941</v>
      </c>
      <c r="X40" s="33">
        <v>10.271190663667046</v>
      </c>
      <c r="Y40" s="33">
        <v>10.466038258937136</v>
      </c>
      <c r="Z40" s="33">
        <v>10.660885854207248</v>
      </c>
      <c r="AA40" s="34">
        <v>10.85573344947735</v>
      </c>
    </row>
    <row r="41" spans="1:27" x14ac:dyDescent="0.2">
      <c r="A41" t="s">
        <v>40</v>
      </c>
      <c r="B41" s="1">
        <f>B40+(B20*0.42)</f>
        <v>18.974632175934925</v>
      </c>
      <c r="C41" t="s">
        <v>7</v>
      </c>
      <c r="M41" s="44"/>
      <c r="P41" s="26">
        <f t="shared" si="5"/>
        <v>20</v>
      </c>
      <c r="Q41" s="26"/>
      <c r="R41" s="35">
        <v>10.04149986282202</v>
      </c>
      <c r="S41" s="36">
        <v>10.23634745809213</v>
      </c>
      <c r="T41" s="37">
        <v>10.431195053362242</v>
      </c>
      <c r="U41" s="37">
        <v>10.626042648632342</v>
      </c>
      <c r="V41" s="37">
        <v>10.820890243902433</v>
      </c>
      <c r="W41" s="37">
        <v>11.015737839172541</v>
      </c>
      <c r="X41" s="37">
        <v>11.210585434442638</v>
      </c>
      <c r="Y41" s="37">
        <v>11.405433029712757</v>
      </c>
      <c r="Z41" s="37">
        <v>11.60028062498286</v>
      </c>
      <c r="AA41" s="38">
        <v>11.795128220252952</v>
      </c>
    </row>
    <row r="42" spans="1:27" x14ac:dyDescent="0.2">
      <c r="A42" t="s">
        <v>41</v>
      </c>
      <c r="B42" s="1">
        <f>B17*B35</f>
        <v>13.077409366103787</v>
      </c>
      <c r="C42" t="s">
        <v>7</v>
      </c>
    </row>
    <row r="43" spans="1:27" x14ac:dyDescent="0.2">
      <c r="A43" t="s">
        <v>19</v>
      </c>
      <c r="B43" s="1">
        <f>(0.3*B40)+(0.7*B42)</f>
        <v>14.254376209053127</v>
      </c>
      <c r="C43" t="s">
        <v>7</v>
      </c>
    </row>
    <row r="44" spans="1:27" x14ac:dyDescent="0.2">
      <c r="A44" t="s">
        <v>20</v>
      </c>
      <c r="B44" s="1">
        <f>B23+B25</f>
        <v>20</v>
      </c>
      <c r="C44" t="s">
        <v>7</v>
      </c>
    </row>
    <row r="45" spans="1:27" x14ac:dyDescent="0.2">
      <c r="A45" t="s">
        <v>42</v>
      </c>
      <c r="B45" s="8">
        <f>(0.55*B24)+((B38-B23)*0.45)</f>
        <v>3.8713187322075742</v>
      </c>
      <c r="C45" t="s">
        <v>7</v>
      </c>
      <c r="D45" t="s">
        <v>25</v>
      </c>
    </row>
    <row r="48" spans="1:27" x14ac:dyDescent="0.2">
      <c r="A48" s="2" t="s">
        <v>54</v>
      </c>
    </row>
    <row r="50" spans="1:3" x14ac:dyDescent="0.2">
      <c r="A50" s="11" t="s">
        <v>55</v>
      </c>
      <c r="B50" s="1">
        <f>1.4*0.42*0.19</f>
        <v>0.11172</v>
      </c>
      <c r="C50" t="s">
        <v>56</v>
      </c>
    </row>
    <row r="51" spans="1:3" x14ac:dyDescent="0.2">
      <c r="A51" t="s">
        <v>58</v>
      </c>
      <c r="B51" s="1">
        <f>1.4*0.42*0.16</f>
        <v>9.4079999999999997E-2</v>
      </c>
      <c r="C51" t="s">
        <v>57</v>
      </c>
    </row>
    <row r="53" spans="1:3" x14ac:dyDescent="0.2">
      <c r="B53" s="1" t="s">
        <v>25</v>
      </c>
    </row>
    <row r="54" spans="1:3" x14ac:dyDescent="0.2">
      <c r="B54" s="1" t="s">
        <v>25</v>
      </c>
    </row>
  </sheetData>
  <mergeCells count="6">
    <mergeCell ref="M12:M19"/>
    <mergeCell ref="M23:M30"/>
    <mergeCell ref="M34:M41"/>
    <mergeCell ref="R10:AA10"/>
    <mergeCell ref="R21:AA21"/>
    <mergeCell ref="R32:AA32"/>
  </mergeCells>
  <phoneticPr fontId="0" type="noConversion"/>
  <pageMargins left="0.75" right="0.75" top="1" bottom="1" header="0.5" footer="0.5"/>
  <pageSetup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Button 11">
              <controlPr defaultSize="0" print="0" autoFill="0" autoPict="0" macro="[0]!FCC_Alky">
                <anchor moveWithCells="1" sizeWithCells="1">
                  <from>
                    <xdr:col>5</xdr:col>
                    <xdr:colOff>66675</xdr:colOff>
                    <xdr:row>0</xdr:row>
                    <xdr:rowOff>104775</xdr:rowOff>
                  </from>
                  <to>
                    <xdr:col>5</xdr:col>
                    <xdr:colOff>885825</xdr:colOff>
                    <xdr:row>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Button 13">
              <controlPr defaultSize="0" print="0" autoFill="0" autoPict="0" macro="[0]!FCCCrackSolver">
                <anchor moveWithCells="1">
                  <from>
                    <xdr:col>5</xdr:col>
                    <xdr:colOff>904875</xdr:colOff>
                    <xdr:row>0</xdr:row>
                    <xdr:rowOff>104775</xdr:rowOff>
                  </from>
                  <to>
                    <xdr:col>6</xdr:col>
                    <xdr:colOff>676275</xdr:colOff>
                    <xdr:row>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Button 14">
              <controlPr defaultSize="0" print="0" autoFill="0" autoPict="0" macro="[0]!HSKCrackSolver">
                <anchor moveWithCells="1">
                  <from>
                    <xdr:col>6</xdr:col>
                    <xdr:colOff>685800</xdr:colOff>
                    <xdr:row>0</xdr:row>
                    <xdr:rowOff>85725</xdr:rowOff>
                  </from>
                  <to>
                    <xdr:col>7</xdr:col>
                    <xdr:colOff>657225</xdr:colOff>
                    <xdr:row>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Button 15">
              <controlPr defaultSize="0" print="0" autoFill="0" autoPict="0" macro="[0]!FCC_Alky_Sensitivities">
                <anchor moveWithCells="1" sizeWithCells="1">
                  <from>
                    <xdr:col>15</xdr:col>
                    <xdr:colOff>457200</xdr:colOff>
                    <xdr:row>1</xdr:row>
                    <xdr:rowOff>47625</xdr:rowOff>
                  </from>
                  <to>
                    <xdr:col>18</xdr:col>
                    <xdr:colOff>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Button 16">
              <controlPr defaultSize="0" print="0" autoFill="0" autoPict="0" macro="[0]!FCC_Crack_Sensitivities">
                <anchor moveWithCells="1" sizeWithCells="1">
                  <from>
                    <xdr:col>18</xdr:col>
                    <xdr:colOff>28575</xdr:colOff>
                    <xdr:row>1</xdr:row>
                    <xdr:rowOff>47625</xdr:rowOff>
                  </from>
                  <to>
                    <xdr:col>19</xdr:col>
                    <xdr:colOff>333375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Button 17">
              <controlPr defaultSize="0" print="0" autoFill="0" autoPict="0" macro="[0]!HSK_Crack_Sensitivities">
                <anchor moveWithCells="1" sizeWithCells="1">
                  <from>
                    <xdr:col>19</xdr:col>
                    <xdr:colOff>352425</xdr:colOff>
                    <xdr:row>1</xdr:row>
                    <xdr:rowOff>47625</xdr:rowOff>
                  </from>
                  <to>
                    <xdr:col>21</xdr:col>
                    <xdr:colOff>28575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crack</vt:lpstr>
      <vt:lpstr>Sheet1!Print_Area</vt:lpstr>
      <vt:lpstr>spread</vt:lpstr>
      <vt:lpstr>spread_start_price</vt:lpstr>
      <vt:lpstr>spread_start_price1</vt:lpstr>
      <vt:lpstr>spread_start_price2</vt:lpstr>
      <vt:lpstr>wti_price</vt:lpstr>
      <vt:lpstr>wti_start_price</vt:lpstr>
      <vt:lpstr>wti_start_price1</vt:lpstr>
      <vt:lpstr>wti_start_price2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roconno2</dc:creator>
  <cp:lastModifiedBy>Jan Havlíček</cp:lastModifiedBy>
  <cp:lastPrinted>2001-10-16T17:38:10Z</cp:lastPrinted>
  <dcterms:created xsi:type="dcterms:W3CDTF">2001-09-28T14:16:54Z</dcterms:created>
  <dcterms:modified xsi:type="dcterms:W3CDTF">2023-09-10T15:14:32Z</dcterms:modified>
</cp:coreProperties>
</file>