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5F4796-0DB2-4E1B-858B-9F887F8E885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V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V15" i="1"/>
  <c r="B21" i="1"/>
  <c r="B22" i="1"/>
  <c r="B23" i="1"/>
  <c r="B24" i="1"/>
  <c r="B25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<sst xmlns="http://schemas.openxmlformats.org/spreadsheetml/2006/main" count="29" uniqueCount="12">
  <si>
    <t>COB</t>
  </si>
  <si>
    <t>Palo</t>
  </si>
  <si>
    <t>MIDC</t>
  </si>
  <si>
    <t>Heavy Load Hours</t>
  </si>
  <si>
    <t>Light Load Hours</t>
  </si>
  <si>
    <t>Heavy Load</t>
  </si>
  <si>
    <t>Monthly Averages:</t>
  </si>
  <si>
    <t>Light Load</t>
  </si>
  <si>
    <t xml:space="preserve"> </t>
  </si>
  <si>
    <t>NP-15</t>
  </si>
  <si>
    <t>SP-15</t>
  </si>
  <si>
    <t>Average Price for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</si>
</sst>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2" fontId="2" fillId="3" borderId="1" xfId="0" applyNumberFormat="1" applyFont="1" applyFill="1" applyBorder="1"/>
    <xf numFmtId="1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4" xfId="0" applyFill="1" applyBorder="1"/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2" fillId="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COB Trends</a:t>
            </a:r>
          </a:p>
        </c:rich>
      </c:tx>
      <c:layout>
        <c:manualLayout>
          <c:xMode val="edge"/>
          <c:yMode val="edge"/>
          <c:x val="0.31692307692307692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76923076923077"/>
          <c:y val="0.20460383607216581"/>
          <c:w val="0.78769230769230769"/>
          <c:h val="0.4552435352605689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Sheet1!$C$4:$T$4</c:f>
              <c:numCache>
                <c:formatCode>0.00</c:formatCode>
                <c:ptCount val="18"/>
                <c:pt idx="0">
                  <c:v>28.25</c:v>
                </c:pt>
                <c:pt idx="1">
                  <c:v>29.17</c:v>
                </c:pt>
                <c:pt idx="2">
                  <c:v>28.94</c:v>
                </c:pt>
                <c:pt idx="3">
                  <c:v>27.92</c:v>
                </c:pt>
                <c:pt idx="4">
                  <c:v>28.5</c:v>
                </c:pt>
                <c:pt idx="5">
                  <c:v>28.31</c:v>
                </c:pt>
                <c:pt idx="6">
                  <c:v>39.380000000000003</c:v>
                </c:pt>
                <c:pt idx="7">
                  <c:v>36.5</c:v>
                </c:pt>
                <c:pt idx="8">
                  <c:v>33</c:v>
                </c:pt>
                <c:pt idx="9">
                  <c:v>30.75</c:v>
                </c:pt>
                <c:pt idx="10">
                  <c:v>31.04</c:v>
                </c:pt>
                <c:pt idx="11">
                  <c:v>29.86</c:v>
                </c:pt>
                <c:pt idx="12">
                  <c:v>24.81</c:v>
                </c:pt>
                <c:pt idx="13">
                  <c:v>21.25</c:v>
                </c:pt>
                <c:pt idx="14">
                  <c:v>22</c:v>
                </c:pt>
                <c:pt idx="15">
                  <c:v>25</c:v>
                </c:pt>
                <c:pt idx="16">
                  <c:v>24</c:v>
                </c:pt>
                <c:pt idx="17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F-4175-901B-1C156A7BE299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Sheet1!$C$11:$T$11</c:f>
              <c:numCache>
                <c:formatCode>0.00</c:formatCode>
                <c:ptCount val="18"/>
                <c:pt idx="0">
                  <c:v>20</c:v>
                </c:pt>
                <c:pt idx="1">
                  <c:v>20.170000000000002</c:v>
                </c:pt>
                <c:pt idx="2">
                  <c:v>20.22</c:v>
                </c:pt>
                <c:pt idx="3">
                  <c:v>21</c:v>
                </c:pt>
                <c:pt idx="4">
                  <c:v>23</c:v>
                </c:pt>
                <c:pt idx="5">
                  <c:v>22</c:v>
                </c:pt>
                <c:pt idx="6">
                  <c:v>29.15</c:v>
                </c:pt>
                <c:pt idx="7">
                  <c:v>29.35</c:v>
                </c:pt>
                <c:pt idx="8">
                  <c:v>26.75</c:v>
                </c:pt>
                <c:pt idx="9">
                  <c:v>26</c:v>
                </c:pt>
                <c:pt idx="10">
                  <c:v>24.13</c:v>
                </c:pt>
                <c:pt idx="11">
                  <c:v>23.5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19.28</c:v>
                </c:pt>
                <c:pt idx="16">
                  <c:v>22</c:v>
                </c:pt>
                <c:pt idx="17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F-4175-901B-1C156A7B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198943"/>
        <c:axId val="1"/>
      </c:lineChart>
      <c:dateAx>
        <c:axId val="106019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384615384615388"/>
              <c:y val="0.887469138963019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4615384615384615E-2"/>
              <c:y val="0.3759595487826046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1989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                                                       
 Palo Trends</a:t>
            </a:r>
          </a:p>
        </c:rich>
      </c:tx>
      <c:layout>
        <c:manualLayout>
          <c:xMode val="edge"/>
          <c:yMode val="edge"/>
          <c:x val="0.41093781352067071"/>
          <c:y val="4.07125693597163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5014781963182"/>
          <c:y val="0.27226530759310291"/>
          <c:w val="0.78437559843109006"/>
          <c:h val="0.3893139445022873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Sheet1!$C$5:$T$5</c:f>
              <c:numCache>
                <c:formatCode>0.00</c:formatCode>
                <c:ptCount val="18"/>
                <c:pt idx="0">
                  <c:v>27.8</c:v>
                </c:pt>
                <c:pt idx="1">
                  <c:v>27.18</c:v>
                </c:pt>
                <c:pt idx="2">
                  <c:v>27.69</c:v>
                </c:pt>
                <c:pt idx="3">
                  <c:v>27.37</c:v>
                </c:pt>
                <c:pt idx="4">
                  <c:v>28.06</c:v>
                </c:pt>
                <c:pt idx="5">
                  <c:v>28.57</c:v>
                </c:pt>
                <c:pt idx="6">
                  <c:v>35.08</c:v>
                </c:pt>
                <c:pt idx="7">
                  <c:v>35.82</c:v>
                </c:pt>
                <c:pt idx="8">
                  <c:v>34.42</c:v>
                </c:pt>
                <c:pt idx="9">
                  <c:v>30.23</c:v>
                </c:pt>
                <c:pt idx="10">
                  <c:v>31.2</c:v>
                </c:pt>
                <c:pt idx="11">
                  <c:v>30.26</c:v>
                </c:pt>
                <c:pt idx="12">
                  <c:v>27.24</c:v>
                </c:pt>
                <c:pt idx="13">
                  <c:v>23.13</c:v>
                </c:pt>
                <c:pt idx="14">
                  <c:v>22.91</c:v>
                </c:pt>
                <c:pt idx="15">
                  <c:v>26.28</c:v>
                </c:pt>
                <c:pt idx="16">
                  <c:v>25.56</c:v>
                </c:pt>
                <c:pt idx="17">
                  <c:v>27.42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7-4DDF-9753-224F6EA9D185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Sheet1!$C$12:$T$12</c:f>
              <c:numCache>
                <c:formatCode>0.00</c:formatCode>
                <c:ptCount val="18"/>
                <c:pt idx="0">
                  <c:v>17.059999999999999</c:v>
                </c:pt>
                <c:pt idx="1">
                  <c:v>15.98</c:v>
                </c:pt>
                <c:pt idx="2">
                  <c:v>16.809999999999999</c:v>
                </c:pt>
                <c:pt idx="3">
                  <c:v>18.13</c:v>
                </c:pt>
                <c:pt idx="4">
                  <c:v>18.25</c:v>
                </c:pt>
                <c:pt idx="5">
                  <c:v>19.170000000000002</c:v>
                </c:pt>
                <c:pt idx="6">
                  <c:v>26.88</c:v>
                </c:pt>
                <c:pt idx="7">
                  <c:v>25.5</c:v>
                </c:pt>
                <c:pt idx="8">
                  <c:v>25.75</c:v>
                </c:pt>
                <c:pt idx="9">
                  <c:v>25.81</c:v>
                </c:pt>
                <c:pt idx="10">
                  <c:v>25.06</c:v>
                </c:pt>
                <c:pt idx="11">
                  <c:v>22</c:v>
                </c:pt>
                <c:pt idx="12">
                  <c:v>18.100000000000001</c:v>
                </c:pt>
                <c:pt idx="13">
                  <c:v>15.5</c:v>
                </c:pt>
                <c:pt idx="14">
                  <c:v>13.64</c:v>
                </c:pt>
                <c:pt idx="15">
                  <c:v>16</c:v>
                </c:pt>
                <c:pt idx="16">
                  <c:v>18.38</c:v>
                </c:pt>
                <c:pt idx="17">
                  <c:v>17.43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7-4DDF-9753-224F6EA9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03583"/>
        <c:axId val="1"/>
      </c:lineChart>
      <c:dateAx>
        <c:axId val="106020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468792319330074"/>
              <c:y val="0.888042919158812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409670229182145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2035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MIDC Trends</a:t>
            </a:r>
          </a:p>
        </c:rich>
      </c:tx>
      <c:layout>
        <c:manualLayout>
          <c:xMode val="edge"/>
          <c:yMode val="edge"/>
          <c:x val="0.3108728943338438"/>
          <c:y val="3.3163265306122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8698315467075"/>
          <c:y val="0.2066326530612245"/>
          <c:w val="0.78407350689127109"/>
          <c:h val="0.464285714285714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Sheet1!$C$6:$T$6</c:f>
              <c:numCache>
                <c:formatCode>0.00</c:formatCode>
                <c:ptCount val="18"/>
                <c:pt idx="0">
                  <c:v>25.85</c:v>
                </c:pt>
                <c:pt idx="1">
                  <c:v>27.2</c:v>
                </c:pt>
                <c:pt idx="2">
                  <c:v>27.64</c:v>
                </c:pt>
                <c:pt idx="3">
                  <c:v>26.45</c:v>
                </c:pt>
                <c:pt idx="4">
                  <c:v>27.47</c:v>
                </c:pt>
                <c:pt idx="5">
                  <c:v>27.06</c:v>
                </c:pt>
                <c:pt idx="6">
                  <c:v>32.869999999999997</c:v>
                </c:pt>
                <c:pt idx="7">
                  <c:v>34.369999999999997</c:v>
                </c:pt>
                <c:pt idx="8">
                  <c:v>31.46</c:v>
                </c:pt>
                <c:pt idx="9">
                  <c:v>28.12</c:v>
                </c:pt>
                <c:pt idx="10">
                  <c:v>28.52</c:v>
                </c:pt>
                <c:pt idx="11">
                  <c:v>27.77</c:v>
                </c:pt>
                <c:pt idx="12">
                  <c:v>23.89</c:v>
                </c:pt>
                <c:pt idx="13">
                  <c:v>19.64</c:v>
                </c:pt>
                <c:pt idx="14">
                  <c:v>20.14</c:v>
                </c:pt>
                <c:pt idx="15">
                  <c:v>23.74</c:v>
                </c:pt>
                <c:pt idx="16">
                  <c:v>23</c:v>
                </c:pt>
                <c:pt idx="17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3-42CE-84C0-03CAEAD06440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Sheet1!$C$13:$T$13</c:f>
              <c:numCache>
                <c:formatCode>0.00</c:formatCode>
                <c:ptCount val="18"/>
                <c:pt idx="0">
                  <c:v>19.39</c:v>
                </c:pt>
                <c:pt idx="1">
                  <c:v>19.940000000000001</c:v>
                </c:pt>
                <c:pt idx="2">
                  <c:v>20.37</c:v>
                </c:pt>
                <c:pt idx="3">
                  <c:v>20.2</c:v>
                </c:pt>
                <c:pt idx="4">
                  <c:v>22.64</c:v>
                </c:pt>
                <c:pt idx="5">
                  <c:v>20.38</c:v>
                </c:pt>
                <c:pt idx="6">
                  <c:v>27.5</c:v>
                </c:pt>
                <c:pt idx="7">
                  <c:v>26.29</c:v>
                </c:pt>
                <c:pt idx="8">
                  <c:v>25.81</c:v>
                </c:pt>
                <c:pt idx="9">
                  <c:v>24.89</c:v>
                </c:pt>
                <c:pt idx="10">
                  <c:v>22.03</c:v>
                </c:pt>
                <c:pt idx="11">
                  <c:v>22.79</c:v>
                </c:pt>
                <c:pt idx="12">
                  <c:v>19.170000000000002</c:v>
                </c:pt>
                <c:pt idx="13">
                  <c:v>17.649999999999999</c:v>
                </c:pt>
                <c:pt idx="14">
                  <c:v>17.309999999999999</c:v>
                </c:pt>
                <c:pt idx="15">
                  <c:v>19.72</c:v>
                </c:pt>
                <c:pt idx="16">
                  <c:v>21.4</c:v>
                </c:pt>
                <c:pt idx="17">
                  <c:v>22.56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3-42CE-84C0-03CAEAD0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00799"/>
        <c:axId val="1"/>
      </c:lineChart>
      <c:dateAx>
        <c:axId val="106020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5895865237366"/>
              <c:y val="0.887755102040816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4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4502297090352222E-2"/>
              <c:y val="0.382653061224489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20079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 NP-15 Trends</a:t>
            </a:r>
          </a:p>
        </c:rich>
      </c:tx>
      <c:layout>
        <c:manualLayout>
          <c:xMode val="edge"/>
          <c:yMode val="edge"/>
          <c:x val="0.30109204368174725"/>
          <c:y val="3.35051968040190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44773790951639"/>
          <c:y val="0.20618582648627085"/>
          <c:w val="0.78471138845553823"/>
          <c:h val="0.4510314954387174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Sheet1!$C$7:$T$7</c:f>
              <c:numCache>
                <c:formatCode>0.00</c:formatCode>
                <c:ptCount val="18"/>
                <c:pt idx="0">
                  <c:v>31.33</c:v>
                </c:pt>
                <c:pt idx="1">
                  <c:v>31.02</c:v>
                </c:pt>
                <c:pt idx="2">
                  <c:v>29.47</c:v>
                </c:pt>
                <c:pt idx="3">
                  <c:v>29.24</c:v>
                </c:pt>
                <c:pt idx="4">
                  <c:v>29.96</c:v>
                </c:pt>
                <c:pt idx="5">
                  <c:v>30.43</c:v>
                </c:pt>
                <c:pt idx="6">
                  <c:v>37.74</c:v>
                </c:pt>
                <c:pt idx="7">
                  <c:v>37.69</c:v>
                </c:pt>
                <c:pt idx="8">
                  <c:v>35.909999999999997</c:v>
                </c:pt>
                <c:pt idx="9">
                  <c:v>33.35</c:v>
                </c:pt>
                <c:pt idx="10">
                  <c:v>33.46</c:v>
                </c:pt>
                <c:pt idx="11">
                  <c:v>32.729999999999997</c:v>
                </c:pt>
                <c:pt idx="12">
                  <c:v>27.9</c:v>
                </c:pt>
                <c:pt idx="13">
                  <c:v>25.25</c:v>
                </c:pt>
                <c:pt idx="14">
                  <c:v>24.66</c:v>
                </c:pt>
                <c:pt idx="15">
                  <c:v>27.42</c:v>
                </c:pt>
                <c:pt idx="16">
                  <c:v>26.44</c:v>
                </c:pt>
                <c:pt idx="17">
                  <c:v>28.38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F-49F8-A0C3-B616107D7228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Sheet1!$C$14:$T$14</c:f>
              <c:numCache>
                <c:formatCode>0.00</c:formatCode>
                <c:ptCount val="18"/>
                <c:pt idx="0">
                  <c:v>23.82</c:v>
                </c:pt>
                <c:pt idx="1">
                  <c:v>21.59</c:v>
                </c:pt>
                <c:pt idx="2">
                  <c:v>21.68</c:v>
                </c:pt>
                <c:pt idx="3">
                  <c:v>22.09</c:v>
                </c:pt>
                <c:pt idx="4">
                  <c:v>24.73</c:v>
                </c:pt>
                <c:pt idx="5">
                  <c:v>22.18</c:v>
                </c:pt>
                <c:pt idx="6">
                  <c:v>29.66</c:v>
                </c:pt>
                <c:pt idx="7">
                  <c:v>30.88</c:v>
                </c:pt>
                <c:pt idx="8">
                  <c:v>30</c:v>
                </c:pt>
                <c:pt idx="9">
                  <c:v>29.14</c:v>
                </c:pt>
                <c:pt idx="10">
                  <c:v>27.22</c:v>
                </c:pt>
                <c:pt idx="11">
                  <c:v>25.45</c:v>
                </c:pt>
                <c:pt idx="12">
                  <c:v>21.5</c:v>
                </c:pt>
                <c:pt idx="13">
                  <c:v>18.600000000000001</c:v>
                </c:pt>
                <c:pt idx="14">
                  <c:v>16.29</c:v>
                </c:pt>
                <c:pt idx="15">
                  <c:v>18.93</c:v>
                </c:pt>
                <c:pt idx="16">
                  <c:v>19.89</c:v>
                </c:pt>
                <c:pt idx="17">
                  <c:v>22.46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F-49F8-A0C3-B616107D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02655"/>
        <c:axId val="1"/>
      </c:lineChart>
      <c:dateAx>
        <c:axId val="106020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382215288611547"/>
              <c:y val="0.886599053890964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4960998439937598E-2"/>
              <c:y val="0.37371181050636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20265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
 SP-15 Trends</a:t>
            </a:r>
          </a:p>
        </c:rich>
      </c:tx>
      <c:layout>
        <c:manualLayout>
          <c:xMode val="edge"/>
          <c:yMode val="edge"/>
          <c:x val="0.39111747851002865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65042979942694"/>
          <c:y val="0.27948787932662089"/>
          <c:w val="0.80229226361031514"/>
          <c:h val="0.3794881297278889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Sheet1!$C$8:$T$8</c:f>
              <c:numCache>
                <c:formatCode>0.00</c:formatCode>
                <c:ptCount val="18"/>
                <c:pt idx="0">
                  <c:v>28.93</c:v>
                </c:pt>
                <c:pt idx="1">
                  <c:v>28.46</c:v>
                </c:pt>
                <c:pt idx="2">
                  <c:v>28.1</c:v>
                </c:pt>
                <c:pt idx="3">
                  <c:v>28.5</c:v>
                </c:pt>
                <c:pt idx="4">
                  <c:v>29.29</c:v>
                </c:pt>
                <c:pt idx="5">
                  <c:v>29.75</c:v>
                </c:pt>
                <c:pt idx="6">
                  <c:v>37.020000000000003</c:v>
                </c:pt>
                <c:pt idx="7">
                  <c:v>37.36</c:v>
                </c:pt>
                <c:pt idx="8">
                  <c:v>33.69</c:v>
                </c:pt>
                <c:pt idx="9">
                  <c:v>31.53</c:v>
                </c:pt>
                <c:pt idx="10">
                  <c:v>33.619999999999997</c:v>
                </c:pt>
                <c:pt idx="11">
                  <c:v>31.88</c:v>
                </c:pt>
                <c:pt idx="12">
                  <c:v>26.36</c:v>
                </c:pt>
                <c:pt idx="13">
                  <c:v>24.38</c:v>
                </c:pt>
                <c:pt idx="14">
                  <c:v>24.75</c:v>
                </c:pt>
                <c:pt idx="15">
                  <c:v>27.77</c:v>
                </c:pt>
                <c:pt idx="16">
                  <c:v>26.08</c:v>
                </c:pt>
                <c:pt idx="17">
                  <c:v>29.81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F-495C-96BB-48FB09F96E7E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Sheet1!$C$15:$T$15</c:f>
              <c:numCache>
                <c:formatCode>0.00</c:formatCode>
                <c:ptCount val="18"/>
                <c:pt idx="0">
                  <c:v>18.07</c:v>
                </c:pt>
                <c:pt idx="1">
                  <c:v>17.600000000000001</c:v>
                </c:pt>
                <c:pt idx="2">
                  <c:v>18.95</c:v>
                </c:pt>
                <c:pt idx="3">
                  <c:v>18.75</c:v>
                </c:pt>
                <c:pt idx="4">
                  <c:v>24</c:v>
                </c:pt>
                <c:pt idx="5">
                  <c:v>21.85</c:v>
                </c:pt>
                <c:pt idx="6">
                  <c:v>26.14</c:v>
                </c:pt>
                <c:pt idx="7">
                  <c:v>26.33</c:v>
                </c:pt>
                <c:pt idx="8">
                  <c:v>26.31</c:v>
                </c:pt>
                <c:pt idx="9">
                  <c:v>27.86</c:v>
                </c:pt>
                <c:pt idx="10">
                  <c:v>26.23</c:v>
                </c:pt>
                <c:pt idx="11">
                  <c:v>23.66</c:v>
                </c:pt>
                <c:pt idx="12">
                  <c:v>17</c:v>
                </c:pt>
                <c:pt idx="13">
                  <c:v>17.21</c:v>
                </c:pt>
                <c:pt idx="14">
                  <c:v>17</c:v>
                </c:pt>
                <c:pt idx="15">
                  <c:v>16.670000000000002</c:v>
                </c:pt>
                <c:pt idx="16">
                  <c:v>19.190000000000001</c:v>
                </c:pt>
                <c:pt idx="17">
                  <c:v>22.45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F-495C-96BB-48FB09F9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04511"/>
        <c:axId val="1"/>
      </c:lineChart>
      <c:dateAx>
        <c:axId val="106020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014326647564471"/>
              <c:y val="0.887181708688172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2922636103151862E-2"/>
              <c:y val="0.41282154652831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20451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15</xdr:row>
      <xdr:rowOff>152400</xdr:rowOff>
    </xdr:from>
    <xdr:to>
      <xdr:col>13</xdr:col>
      <xdr:colOff>76200</xdr:colOff>
      <xdr:row>38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31E6F29B-A05F-4CA8-8B0C-0C6B7B3E4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19050</xdr:rowOff>
    </xdr:from>
    <xdr:to>
      <xdr:col>22</xdr:col>
      <xdr:colOff>600075</xdr:colOff>
      <xdr:row>39</xdr:row>
      <xdr:rowOff>38100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7393393-9082-0642-FF94-3A921025C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40</xdr:row>
      <xdr:rowOff>152400</xdr:rowOff>
    </xdr:from>
    <xdr:to>
      <xdr:col>13</xdr:col>
      <xdr:colOff>114300</xdr:colOff>
      <xdr:row>64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1343852B-978B-2B4D-27D4-B2722CE16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41</xdr:row>
      <xdr:rowOff>0</xdr:rowOff>
    </xdr:from>
    <xdr:to>
      <xdr:col>22</xdr:col>
      <xdr:colOff>600075</xdr:colOff>
      <xdr:row>63</xdr:row>
      <xdr:rowOff>133350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C4AA8529-EE92-B3C6-CDC0-1B69885F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571500</xdr:colOff>
      <xdr:row>65</xdr:row>
      <xdr:rowOff>47625</xdr:rowOff>
    </xdr:from>
    <xdr:to>
      <xdr:col>13</xdr:col>
      <xdr:colOff>514350</xdr:colOff>
      <xdr:row>88</xdr:row>
      <xdr:rowOff>38100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1CA42FD2-470C-8A7D-7CCF-10C13B07B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0.54258</cdr:x>
      <cdr:y>0.47953</cdr:y>
    </cdr:from>
    <cdr:to>
      <cdr:x>0.55291</cdr:x>
      <cdr:y>0.53168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9C3E3DC6-21A8-964A-A0D4-921A064D06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5882" y="1802790"/>
          <a:ext cx="63108" cy="195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1"/>
  <sheetViews>
    <sheetView tabSelected="1" workbookViewId="0">
      <selection activeCell="A13" sqref="A13"/>
    </sheetView>
  </sheetViews>
  <sheetFormatPr defaultRowHeight="12.75" x14ac:dyDescent="0.2"/>
  <cols>
    <col min="1" max="1" width="17.5703125" bestFit="1" customWidth="1"/>
    <col min="22" max="22" width="27.5703125" bestFit="1" customWidth="1"/>
    <col min="25" max="25" width="24.42578125" bestFit="1" customWidth="1"/>
    <col min="31" max="31" width="26.42578125" bestFit="1" customWidth="1"/>
  </cols>
  <sheetData>
    <row r="1" spans="1:251" x14ac:dyDescent="0.2">
      <c r="A1" s="1"/>
      <c r="B1" s="1"/>
      <c r="C1" s="2">
        <v>37228</v>
      </c>
      <c r="D1" s="2">
        <v>37229</v>
      </c>
      <c r="E1" s="2">
        <v>37230</v>
      </c>
      <c r="F1" s="2">
        <v>37231</v>
      </c>
      <c r="G1" s="2">
        <v>37232</v>
      </c>
      <c r="H1" s="2">
        <v>37235</v>
      </c>
      <c r="I1" s="2">
        <v>37236</v>
      </c>
      <c r="J1" s="2">
        <v>37237</v>
      </c>
      <c r="K1" s="2">
        <v>37238</v>
      </c>
      <c r="L1" s="2">
        <v>37239</v>
      </c>
      <c r="M1" s="2">
        <v>37242</v>
      </c>
      <c r="N1" s="2">
        <v>37243</v>
      </c>
      <c r="O1" s="2">
        <v>37244</v>
      </c>
      <c r="P1" s="2">
        <v>37245</v>
      </c>
      <c r="Q1" s="2">
        <v>37246</v>
      </c>
      <c r="R1" s="2">
        <v>37251</v>
      </c>
      <c r="S1" s="2">
        <v>37252</v>
      </c>
      <c r="T1" s="2">
        <v>37253</v>
      </c>
      <c r="U1" s="2"/>
      <c r="V1" s="3" t="s">
        <v>11</v>
      </c>
    </row>
    <row r="2" spans="1:251" x14ac:dyDescent="0.2">
      <c r="A2" s="1"/>
      <c r="B2" s="1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8"/>
    </row>
    <row r="3" spans="1:251" x14ac:dyDescent="0.2">
      <c r="A3" s="19" t="s">
        <v>3</v>
      </c>
      <c r="B3" s="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51" x14ac:dyDescent="0.2">
      <c r="A4" s="4" t="s">
        <v>0</v>
      </c>
      <c r="B4" s="4"/>
      <c r="C4" s="5">
        <f>28.25</f>
        <v>28.25</v>
      </c>
      <c r="D4" s="5">
        <f>29.17</f>
        <v>29.17</v>
      </c>
      <c r="E4" s="5">
        <f>28.94</f>
        <v>28.94</v>
      </c>
      <c r="F4" s="5">
        <f>27.92</f>
        <v>27.92</v>
      </c>
      <c r="G4" s="5">
        <f>28.5</f>
        <v>28.5</v>
      </c>
      <c r="H4" s="5">
        <f>28.31</f>
        <v>28.31</v>
      </c>
      <c r="I4" s="5">
        <f>39.38</f>
        <v>39.380000000000003</v>
      </c>
      <c r="J4" s="5">
        <f>36.5</f>
        <v>36.5</v>
      </c>
      <c r="K4" s="5">
        <f>33</f>
        <v>33</v>
      </c>
      <c r="L4" s="5">
        <f>30.75</f>
        <v>30.75</v>
      </c>
      <c r="M4" s="5">
        <f>31.04</f>
        <v>31.04</v>
      </c>
      <c r="N4" s="5">
        <f>29.86</f>
        <v>29.86</v>
      </c>
      <c r="O4" s="5">
        <f>24.81</f>
        <v>24.81</v>
      </c>
      <c r="P4" s="5">
        <f>21.25</f>
        <v>21.25</v>
      </c>
      <c r="Q4" s="5">
        <f>22</f>
        <v>22</v>
      </c>
      <c r="R4" s="5">
        <f>25</f>
        <v>25</v>
      </c>
      <c r="S4" s="5">
        <f>24</f>
        <v>24</v>
      </c>
      <c r="T4" s="5">
        <f>26.5</f>
        <v>26.5</v>
      </c>
      <c r="U4" s="5"/>
      <c r="V4" s="5">
        <f>SUM(C4:T4)/18</f>
        <v>28.621111111111116</v>
      </c>
    </row>
    <row r="5" spans="1:251" x14ac:dyDescent="0.2">
      <c r="A5" s="6" t="s">
        <v>1</v>
      </c>
      <c r="B5" s="6"/>
      <c r="C5" s="7">
        <f>27.8</f>
        <v>27.8</v>
      </c>
      <c r="D5" s="7">
        <f>27.18</f>
        <v>27.18</v>
      </c>
      <c r="E5" s="7">
        <f>27.69</f>
        <v>27.69</v>
      </c>
      <c r="F5" s="7">
        <f>27.37</f>
        <v>27.37</v>
      </c>
      <c r="G5" s="7">
        <f>28.06</f>
        <v>28.06</v>
      </c>
      <c r="H5" s="7">
        <f>28.57</f>
        <v>28.57</v>
      </c>
      <c r="I5" s="7">
        <f>35.08</f>
        <v>35.08</v>
      </c>
      <c r="J5" s="7">
        <f>35.82</f>
        <v>35.82</v>
      </c>
      <c r="K5" s="7">
        <f>34.42</f>
        <v>34.42</v>
      </c>
      <c r="L5" s="7">
        <f>30.23</f>
        <v>30.23</v>
      </c>
      <c r="M5" s="7">
        <f>31.2</f>
        <v>31.2</v>
      </c>
      <c r="N5" s="7">
        <f>30.26</f>
        <v>30.26</v>
      </c>
      <c r="O5" s="7">
        <f>27.24</f>
        <v>27.24</v>
      </c>
      <c r="P5" s="7">
        <f>23.13</f>
        <v>23.13</v>
      </c>
      <c r="Q5" s="7">
        <f>22.91</f>
        <v>22.91</v>
      </c>
      <c r="R5" s="7">
        <f>26.28</f>
        <v>26.28</v>
      </c>
      <c r="S5" s="7">
        <f>25.56</f>
        <v>25.56</v>
      </c>
      <c r="T5" s="7">
        <f>27.42</f>
        <v>27.42</v>
      </c>
      <c r="U5" s="7"/>
      <c r="V5" s="7">
        <f t="shared" ref="V5:V15" si="0">SUM(C5:T5)/18</f>
        <v>28.678888888888892</v>
      </c>
    </row>
    <row r="6" spans="1:251" x14ac:dyDescent="0.2">
      <c r="A6" s="4" t="s">
        <v>2</v>
      </c>
      <c r="B6" s="4"/>
      <c r="C6" s="5">
        <f>25.85</f>
        <v>25.85</v>
      </c>
      <c r="D6" s="5">
        <f>27.2</f>
        <v>27.2</v>
      </c>
      <c r="E6" s="5">
        <f>27.64</f>
        <v>27.64</v>
      </c>
      <c r="F6" s="5">
        <f>26.45</f>
        <v>26.45</v>
      </c>
      <c r="G6" s="5">
        <f>27.47</f>
        <v>27.47</v>
      </c>
      <c r="H6" s="5">
        <f>27.06</f>
        <v>27.06</v>
      </c>
      <c r="I6" s="5">
        <f>32.87</f>
        <v>32.869999999999997</v>
      </c>
      <c r="J6" s="5">
        <f>34.37</f>
        <v>34.369999999999997</v>
      </c>
      <c r="K6" s="5">
        <f>31.46</f>
        <v>31.46</v>
      </c>
      <c r="L6" s="5">
        <f>28.12</f>
        <v>28.12</v>
      </c>
      <c r="M6" s="5">
        <f>28.52</f>
        <v>28.52</v>
      </c>
      <c r="N6" s="5">
        <f>27.77</f>
        <v>27.77</v>
      </c>
      <c r="O6" s="5">
        <f>23.89</f>
        <v>23.89</v>
      </c>
      <c r="P6" s="5">
        <f>19.64</f>
        <v>19.64</v>
      </c>
      <c r="Q6" s="5">
        <f>20.14</f>
        <v>20.14</v>
      </c>
      <c r="R6" s="5">
        <f>23.74</f>
        <v>23.74</v>
      </c>
      <c r="S6" s="5">
        <f>23</f>
        <v>23</v>
      </c>
      <c r="T6" s="5">
        <f>25.03</f>
        <v>25.03</v>
      </c>
      <c r="U6" s="5"/>
      <c r="V6" s="5">
        <f t="shared" si="0"/>
        <v>26.678888888888885</v>
      </c>
    </row>
    <row r="7" spans="1:251" x14ac:dyDescent="0.2">
      <c r="A7" s="6" t="s">
        <v>9</v>
      </c>
      <c r="B7" s="6"/>
      <c r="C7" s="7">
        <f>31.33</f>
        <v>31.33</v>
      </c>
      <c r="D7" s="7">
        <f>31.02</f>
        <v>31.02</v>
      </c>
      <c r="E7" s="7">
        <f>29.47</f>
        <v>29.47</v>
      </c>
      <c r="F7" s="7">
        <f>29.24</f>
        <v>29.24</v>
      </c>
      <c r="G7" s="7">
        <f>29.96</f>
        <v>29.96</v>
      </c>
      <c r="H7" s="7">
        <f>30.43</f>
        <v>30.43</v>
      </c>
      <c r="I7" s="7">
        <f>37.74</f>
        <v>37.74</v>
      </c>
      <c r="J7" s="7">
        <f>37.69</f>
        <v>37.69</v>
      </c>
      <c r="K7" s="7">
        <f>35.91</f>
        <v>35.909999999999997</v>
      </c>
      <c r="L7" s="7">
        <f>33.35</f>
        <v>33.35</v>
      </c>
      <c r="M7" s="7">
        <f>33.46</f>
        <v>33.46</v>
      </c>
      <c r="N7" s="7">
        <f>32.73</f>
        <v>32.729999999999997</v>
      </c>
      <c r="O7" s="7">
        <f>27.9</f>
        <v>27.9</v>
      </c>
      <c r="P7" s="7">
        <f>25.25</f>
        <v>25.25</v>
      </c>
      <c r="Q7" s="7">
        <f>24.66</f>
        <v>24.66</v>
      </c>
      <c r="R7" s="7">
        <f>27.42</f>
        <v>27.42</v>
      </c>
      <c r="S7" s="7">
        <f>26.44</f>
        <v>26.44</v>
      </c>
      <c r="T7" s="7">
        <f>28.38</f>
        <v>28.38</v>
      </c>
      <c r="U7" s="7"/>
      <c r="V7" s="7">
        <f t="shared" si="0"/>
        <v>30.687777777777779</v>
      </c>
    </row>
    <row r="8" spans="1:251" x14ac:dyDescent="0.2">
      <c r="A8" s="4" t="s">
        <v>10</v>
      </c>
      <c r="B8" s="4"/>
      <c r="C8" s="5">
        <f>28.93</f>
        <v>28.93</v>
      </c>
      <c r="D8" s="5">
        <f>28.46</f>
        <v>28.46</v>
      </c>
      <c r="E8" s="5">
        <f>28.1</f>
        <v>28.1</v>
      </c>
      <c r="F8" s="5">
        <f>28.5</f>
        <v>28.5</v>
      </c>
      <c r="G8" s="5">
        <f>29.29</f>
        <v>29.29</v>
      </c>
      <c r="H8" s="5">
        <f>29.75</f>
        <v>29.75</v>
      </c>
      <c r="I8" s="5">
        <f>37.02</f>
        <v>37.020000000000003</v>
      </c>
      <c r="J8" s="5">
        <f>37.36</f>
        <v>37.36</v>
      </c>
      <c r="K8" s="5">
        <f>33.69</f>
        <v>33.69</v>
      </c>
      <c r="L8" s="5">
        <f>31.53</f>
        <v>31.53</v>
      </c>
      <c r="M8" s="5">
        <f>33.62</f>
        <v>33.619999999999997</v>
      </c>
      <c r="N8" s="5">
        <f>31.88</f>
        <v>31.88</v>
      </c>
      <c r="O8" s="5">
        <f>26.36</f>
        <v>26.36</v>
      </c>
      <c r="P8" s="5">
        <f>24.38</f>
        <v>24.38</v>
      </c>
      <c r="Q8" s="5">
        <f>24.75</f>
        <v>24.75</v>
      </c>
      <c r="R8" s="5">
        <f>27.77</f>
        <v>27.77</v>
      </c>
      <c r="S8" s="5">
        <f>26.08</f>
        <v>26.08</v>
      </c>
      <c r="T8" s="5">
        <f>29.81</f>
        <v>29.81</v>
      </c>
      <c r="U8" s="5"/>
      <c r="V8" s="5">
        <f t="shared" si="0"/>
        <v>29.848888888888887</v>
      </c>
    </row>
    <row r="9" spans="1:251" s="16" customFormat="1" x14ac:dyDescent="0.2">
      <c r="A9" s="15"/>
      <c r="B9" s="15"/>
      <c r="L9" s="24"/>
      <c r="M9" s="24"/>
      <c r="N9" s="24"/>
      <c r="T9" s="24"/>
      <c r="U9" s="25"/>
      <c r="V9" s="27" t="s">
        <v>8</v>
      </c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</row>
    <row r="10" spans="1:251" s="22" customFormat="1" x14ac:dyDescent="0.2">
      <c r="A10" s="20" t="s">
        <v>4</v>
      </c>
      <c r="B10" s="15"/>
      <c r="L10" s="23"/>
      <c r="M10" s="23"/>
      <c r="N10" s="23"/>
      <c r="T10" s="23"/>
      <c r="U10" s="26"/>
      <c r="V10" s="27" t="s">
        <v>8</v>
      </c>
    </row>
    <row r="11" spans="1:251" s="21" customFormat="1" x14ac:dyDescent="0.2">
      <c r="A11" s="14" t="s">
        <v>0</v>
      </c>
      <c r="B11" s="4"/>
      <c r="C11" s="5">
        <f>20</f>
        <v>20</v>
      </c>
      <c r="D11" s="5">
        <f>20.17</f>
        <v>20.170000000000002</v>
      </c>
      <c r="E11" s="5">
        <f>20.22</f>
        <v>20.22</v>
      </c>
      <c r="F11" s="5">
        <f>21</f>
        <v>21</v>
      </c>
      <c r="G11" s="5">
        <f>23</f>
        <v>23</v>
      </c>
      <c r="H11" s="5">
        <f>22</f>
        <v>22</v>
      </c>
      <c r="I11" s="5">
        <f>29.15</f>
        <v>29.15</v>
      </c>
      <c r="J11" s="5">
        <f>29.35</f>
        <v>29.35</v>
      </c>
      <c r="K11" s="5">
        <f>26.75</f>
        <v>26.75</v>
      </c>
      <c r="L11" s="5">
        <f>26</f>
        <v>26</v>
      </c>
      <c r="M11" s="5">
        <f>24.13</f>
        <v>24.13</v>
      </c>
      <c r="N11" s="5">
        <f>23.5</f>
        <v>23.5</v>
      </c>
      <c r="O11" s="5">
        <f>21</f>
        <v>21</v>
      </c>
      <c r="P11" s="5">
        <f>20</f>
        <v>20</v>
      </c>
      <c r="Q11" s="5">
        <f>19</f>
        <v>19</v>
      </c>
      <c r="R11" s="5">
        <f>19.28</f>
        <v>19.28</v>
      </c>
      <c r="S11" s="5">
        <f>22</f>
        <v>22</v>
      </c>
      <c r="T11" s="5">
        <f>23.5</f>
        <v>23.5</v>
      </c>
      <c r="U11" s="5"/>
      <c r="V11" s="5">
        <f t="shared" si="0"/>
        <v>22.780555555555551</v>
      </c>
    </row>
    <row r="12" spans="1:251" x14ac:dyDescent="0.2">
      <c r="A12" s="6" t="s">
        <v>1</v>
      </c>
      <c r="B12" s="6"/>
      <c r="C12" s="7">
        <f>17.06</f>
        <v>17.059999999999999</v>
      </c>
      <c r="D12" s="7">
        <f>15.98</f>
        <v>15.98</v>
      </c>
      <c r="E12" s="7">
        <f>16.81</f>
        <v>16.809999999999999</v>
      </c>
      <c r="F12" s="7">
        <f>18.13</f>
        <v>18.13</v>
      </c>
      <c r="G12" s="7">
        <f>18.25</f>
        <v>18.25</v>
      </c>
      <c r="H12" s="7">
        <f>19.17</f>
        <v>19.170000000000002</v>
      </c>
      <c r="I12" s="7">
        <f>26.88</f>
        <v>26.88</v>
      </c>
      <c r="J12" s="7">
        <f>25.5</f>
        <v>25.5</v>
      </c>
      <c r="K12" s="7">
        <f>25.75</f>
        <v>25.75</v>
      </c>
      <c r="L12" s="7">
        <f>25.81</f>
        <v>25.81</v>
      </c>
      <c r="M12" s="7">
        <f>25.06</f>
        <v>25.06</v>
      </c>
      <c r="N12" s="7">
        <f>22</f>
        <v>22</v>
      </c>
      <c r="O12" s="7">
        <f>18.1</f>
        <v>18.100000000000001</v>
      </c>
      <c r="P12" s="7">
        <f>15.5</f>
        <v>15.5</v>
      </c>
      <c r="Q12" s="7">
        <f>13.64</f>
        <v>13.64</v>
      </c>
      <c r="R12" s="7">
        <f>16</f>
        <v>16</v>
      </c>
      <c r="S12" s="7">
        <f>18.38</f>
        <v>18.38</v>
      </c>
      <c r="T12" s="7">
        <f>17.43</f>
        <v>17.43</v>
      </c>
      <c r="U12" s="7"/>
      <c r="V12" s="7">
        <f t="shared" si="0"/>
        <v>19.74722222222222</v>
      </c>
    </row>
    <row r="13" spans="1:251" x14ac:dyDescent="0.2">
      <c r="A13" s="4" t="s">
        <v>2</v>
      </c>
      <c r="B13" s="4"/>
      <c r="C13" s="5">
        <f>19.39</f>
        <v>19.39</v>
      </c>
      <c r="D13" s="5">
        <f>19.94</f>
        <v>19.940000000000001</v>
      </c>
      <c r="E13" s="5">
        <f>20.37</f>
        <v>20.37</v>
      </c>
      <c r="F13" s="5">
        <f>20.2</f>
        <v>20.2</v>
      </c>
      <c r="G13" s="5">
        <f>22.64</f>
        <v>22.64</v>
      </c>
      <c r="H13" s="5">
        <f>20.38</f>
        <v>20.38</v>
      </c>
      <c r="I13" s="5">
        <f>27.5</f>
        <v>27.5</v>
      </c>
      <c r="J13" s="5">
        <f>26.29</f>
        <v>26.29</v>
      </c>
      <c r="K13" s="5">
        <f>25.81</f>
        <v>25.81</v>
      </c>
      <c r="L13" s="5">
        <f>24.89</f>
        <v>24.89</v>
      </c>
      <c r="M13" s="5">
        <f>22.03</f>
        <v>22.03</v>
      </c>
      <c r="N13" s="5">
        <f>22.79</f>
        <v>22.79</v>
      </c>
      <c r="O13" s="5">
        <f>19.17</f>
        <v>19.170000000000002</v>
      </c>
      <c r="P13" s="5">
        <f>17.65</f>
        <v>17.649999999999999</v>
      </c>
      <c r="Q13" s="5">
        <f>17.31</f>
        <v>17.309999999999999</v>
      </c>
      <c r="R13" s="5">
        <f>19.72</f>
        <v>19.72</v>
      </c>
      <c r="S13" s="5">
        <f>21.4</f>
        <v>21.4</v>
      </c>
      <c r="T13" s="5">
        <f>22.56</f>
        <v>22.56</v>
      </c>
      <c r="U13" s="5"/>
      <c r="V13" s="5">
        <f t="shared" si="0"/>
        <v>21.66888888888889</v>
      </c>
    </row>
    <row r="14" spans="1:251" x14ac:dyDescent="0.2">
      <c r="A14" s="6" t="s">
        <v>9</v>
      </c>
      <c r="B14" s="6"/>
      <c r="C14" s="7">
        <f>23.82</f>
        <v>23.82</v>
      </c>
      <c r="D14" s="7">
        <f>21.59</f>
        <v>21.59</v>
      </c>
      <c r="E14" s="7">
        <f>21.68</f>
        <v>21.68</v>
      </c>
      <c r="F14" s="7">
        <f>22.09</f>
        <v>22.09</v>
      </c>
      <c r="G14" s="7">
        <f>24.73</f>
        <v>24.73</v>
      </c>
      <c r="H14" s="7">
        <f>22.18</f>
        <v>22.18</v>
      </c>
      <c r="I14" s="7">
        <f>29.66</f>
        <v>29.66</v>
      </c>
      <c r="J14" s="7">
        <f>30.88</f>
        <v>30.88</v>
      </c>
      <c r="K14" s="7">
        <f>30</f>
        <v>30</v>
      </c>
      <c r="L14" s="7">
        <f>29.14</f>
        <v>29.14</v>
      </c>
      <c r="M14" s="7">
        <f>27.22</f>
        <v>27.22</v>
      </c>
      <c r="N14" s="7">
        <f>25.45</f>
        <v>25.45</v>
      </c>
      <c r="O14" s="7">
        <f>21.5</f>
        <v>21.5</v>
      </c>
      <c r="P14" s="7">
        <f>18.6</f>
        <v>18.600000000000001</v>
      </c>
      <c r="Q14" s="7">
        <f>16.29</f>
        <v>16.29</v>
      </c>
      <c r="R14" s="7">
        <f>18.93</f>
        <v>18.93</v>
      </c>
      <c r="S14" s="7">
        <f>19.89</f>
        <v>19.89</v>
      </c>
      <c r="T14" s="7">
        <f>22.46</f>
        <v>22.46</v>
      </c>
      <c r="U14" s="7"/>
      <c r="V14" s="7">
        <f t="shared" si="0"/>
        <v>23.672777777777778</v>
      </c>
    </row>
    <row r="15" spans="1:251" x14ac:dyDescent="0.2">
      <c r="A15" s="4" t="s">
        <v>10</v>
      </c>
      <c r="B15" s="4"/>
      <c r="C15" s="5">
        <f>18.07</f>
        <v>18.07</v>
      </c>
      <c r="D15" s="5">
        <f>17.6</f>
        <v>17.600000000000001</v>
      </c>
      <c r="E15" s="5">
        <f>18.95</f>
        <v>18.95</v>
      </c>
      <c r="F15" s="5">
        <f>18.75</f>
        <v>18.75</v>
      </c>
      <c r="G15" s="5">
        <f>24</f>
        <v>24</v>
      </c>
      <c r="H15" s="5">
        <f>21.85</f>
        <v>21.85</v>
      </c>
      <c r="I15" s="5">
        <f>26.14</f>
        <v>26.14</v>
      </c>
      <c r="J15" s="5">
        <f>26.33</f>
        <v>26.33</v>
      </c>
      <c r="K15" s="5">
        <f>26.31</f>
        <v>26.31</v>
      </c>
      <c r="L15" s="5">
        <f>27.86</f>
        <v>27.86</v>
      </c>
      <c r="M15" s="5">
        <f>26.23</f>
        <v>26.23</v>
      </c>
      <c r="N15" s="5">
        <f>23.66</f>
        <v>23.66</v>
      </c>
      <c r="O15" s="5">
        <f>17</f>
        <v>17</v>
      </c>
      <c r="P15" s="5">
        <f>17.21</f>
        <v>17.21</v>
      </c>
      <c r="Q15" s="5">
        <f>17</f>
        <v>17</v>
      </c>
      <c r="R15" s="5">
        <f>16.67</f>
        <v>16.670000000000002</v>
      </c>
      <c r="S15" s="5">
        <f>19.19</f>
        <v>19.190000000000001</v>
      </c>
      <c r="T15" s="5">
        <f>22.45</f>
        <v>22.45</v>
      </c>
      <c r="U15" s="5"/>
      <c r="V15" s="5">
        <f t="shared" si="0"/>
        <v>21.403888888888886</v>
      </c>
    </row>
    <row r="16" spans="1:251" x14ac:dyDescent="0.2">
      <c r="A16" s="13"/>
      <c r="L16" t="s">
        <v>8</v>
      </c>
    </row>
    <row r="17" spans="1:27" x14ac:dyDescent="0.2">
      <c r="A17" s="13"/>
    </row>
    <row r="19" spans="1:27" x14ac:dyDescent="0.2">
      <c r="A19" s="8" t="s">
        <v>6</v>
      </c>
      <c r="B19" s="8"/>
    </row>
    <row r="20" spans="1:27" x14ac:dyDescent="0.2">
      <c r="A20" s="8" t="s">
        <v>5</v>
      </c>
      <c r="B20" s="8"/>
    </row>
    <row r="21" spans="1:27" x14ac:dyDescent="0.2">
      <c r="A21" s="9" t="s">
        <v>0</v>
      </c>
      <c r="B21" s="10">
        <f>V4</f>
        <v>28.621111111111116</v>
      </c>
      <c r="AA21" s="11"/>
    </row>
    <row r="22" spans="1:27" x14ac:dyDescent="0.2">
      <c r="A22" s="9" t="s">
        <v>1</v>
      </c>
      <c r="B22" s="10">
        <f>V5</f>
        <v>28.678888888888892</v>
      </c>
      <c r="AA22" s="11"/>
    </row>
    <row r="23" spans="1:27" x14ac:dyDescent="0.2">
      <c r="A23" s="9" t="s">
        <v>2</v>
      </c>
      <c r="B23" s="10">
        <f>V6</f>
        <v>26.678888888888885</v>
      </c>
      <c r="AA23" s="11"/>
    </row>
    <row r="24" spans="1:27" x14ac:dyDescent="0.2">
      <c r="A24" s="9" t="s">
        <v>9</v>
      </c>
      <c r="B24" s="10">
        <f>V7</f>
        <v>30.687777777777779</v>
      </c>
      <c r="AA24" s="11"/>
    </row>
    <row r="25" spans="1:27" x14ac:dyDescent="0.2">
      <c r="A25" s="9" t="s">
        <v>10</v>
      </c>
      <c r="B25" s="10">
        <f>V8</f>
        <v>29.848888888888887</v>
      </c>
      <c r="AA25" s="11"/>
    </row>
    <row r="26" spans="1:27" x14ac:dyDescent="0.2">
      <c r="A26" s="8" t="s">
        <v>7</v>
      </c>
    </row>
    <row r="27" spans="1:27" x14ac:dyDescent="0.2">
      <c r="A27" s="9" t="s">
        <v>0</v>
      </c>
      <c r="B27" s="10">
        <f>V11</f>
        <v>22.780555555555551</v>
      </c>
    </row>
    <row r="28" spans="1:27" x14ac:dyDescent="0.2">
      <c r="A28" s="9" t="s">
        <v>1</v>
      </c>
      <c r="B28" s="10">
        <f>V12</f>
        <v>19.74722222222222</v>
      </c>
    </row>
    <row r="29" spans="1:27" x14ac:dyDescent="0.2">
      <c r="A29" s="9" t="s">
        <v>2</v>
      </c>
      <c r="B29" s="10">
        <f>V13</f>
        <v>21.66888888888889</v>
      </c>
    </row>
    <row r="30" spans="1:27" x14ac:dyDescent="0.2">
      <c r="A30" s="9" t="s">
        <v>9</v>
      </c>
      <c r="B30" s="10">
        <f>V14</f>
        <v>23.672777777777778</v>
      </c>
    </row>
    <row r="31" spans="1:27" x14ac:dyDescent="0.2">
      <c r="A31" s="9" t="s">
        <v>10</v>
      </c>
      <c r="B31" s="10">
        <f>V15</f>
        <v>21.403888888888886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APB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</dc:creator>
  <cp:lastModifiedBy>Jan Havlíček</cp:lastModifiedBy>
  <dcterms:created xsi:type="dcterms:W3CDTF">2001-02-16T20:20:46Z</dcterms:created>
  <dcterms:modified xsi:type="dcterms:W3CDTF">2023-09-10T15:22:39Z</dcterms:modified>
</cp:coreProperties>
</file>