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00E8D5-C46C-40FF-A068-19D2CAD229DD}" xr6:coauthVersionLast="47" xr6:coauthVersionMax="47" xr10:uidLastSave="{00000000-0000-0000-0000-000000000000}"/>
  <bookViews>
    <workbookView xWindow="-120" yWindow="-120" windowWidth="38640" windowHeight="15720" activeTab="3"/>
  </bookViews>
  <sheets>
    <sheet name="Naphtha Prices" sheetId="1" r:id="rId1"/>
    <sheet name="Crude Prices" sheetId="5" r:id="rId2"/>
    <sheet name="Price-Differentials" sheetId="6" r:id="rId3"/>
    <sheet name="CaptivePower" sheetId="4" r:id="rId4"/>
    <sheet name="Final Comparision" sheetId="7" r:id="rId5"/>
  </sheets>
  <calcPr calcId="0"/>
</workbook>
</file>

<file path=xl/calcChain.xml><?xml version="1.0" encoding="utf-8"?>
<calcChain xmlns="http://schemas.openxmlformats.org/spreadsheetml/2006/main">
  <c r="D3" i="4" l="1"/>
  <c r="D4" i="4"/>
  <c r="D5" i="4"/>
  <c r="E9" i="4"/>
  <c r="G9" i="4"/>
  <c r="J9" i="4"/>
  <c r="K9" i="4"/>
  <c r="E10" i="4"/>
  <c r="G10" i="4"/>
  <c r="J10" i="4"/>
  <c r="K10" i="4"/>
  <c r="E11" i="4"/>
  <c r="G11" i="4"/>
  <c r="J11" i="4"/>
  <c r="K11" i="4"/>
  <c r="E12" i="4"/>
  <c r="G12" i="4"/>
  <c r="J12" i="4"/>
  <c r="K12" i="4"/>
  <c r="E13" i="4"/>
  <c r="G13" i="4"/>
  <c r="J13" i="4"/>
  <c r="K13" i="4"/>
  <c r="E14" i="4"/>
  <c r="G14" i="4"/>
  <c r="J14" i="4"/>
  <c r="K14" i="4"/>
  <c r="E15" i="4"/>
  <c r="G15" i="4"/>
  <c r="J15" i="4"/>
  <c r="K15" i="4"/>
  <c r="E16" i="4"/>
  <c r="G16" i="4"/>
  <c r="J16" i="4"/>
  <c r="K16" i="4"/>
  <c r="E17" i="4"/>
  <c r="G17" i="4"/>
  <c r="J17" i="4"/>
  <c r="K17" i="4"/>
  <c r="E18" i="4"/>
  <c r="G18" i="4"/>
  <c r="J18" i="4"/>
  <c r="K18" i="4"/>
  <c r="E19" i="4"/>
  <c r="G19" i="4"/>
  <c r="J19" i="4"/>
  <c r="K19" i="4"/>
  <c r="E20" i="4"/>
  <c r="G20" i="4"/>
  <c r="J20" i="4"/>
  <c r="K20" i="4"/>
  <c r="E21" i="4"/>
  <c r="G21" i="4"/>
  <c r="J21" i="4"/>
  <c r="K21" i="4"/>
  <c r="E22" i="4"/>
  <c r="G22" i="4"/>
  <c r="J22" i="4"/>
  <c r="K22" i="4"/>
  <c r="E23" i="4"/>
  <c r="G23" i="4"/>
  <c r="J23" i="4"/>
  <c r="K23" i="4"/>
  <c r="E24" i="4"/>
  <c r="G24" i="4"/>
  <c r="J24" i="4"/>
  <c r="K24" i="4"/>
  <c r="E25" i="4"/>
  <c r="G25" i="4"/>
  <c r="J25" i="4"/>
  <c r="K25" i="4"/>
  <c r="E26" i="4"/>
  <c r="G26" i="4"/>
  <c r="J26" i="4"/>
  <c r="K26" i="4"/>
  <c r="E27" i="4"/>
  <c r="G27" i="4"/>
  <c r="J27" i="4"/>
  <c r="K27" i="4"/>
  <c r="E28" i="4"/>
  <c r="G28" i="4"/>
  <c r="J28" i="4"/>
  <c r="K28" i="4"/>
  <c r="E29" i="4"/>
  <c r="G29" i="4"/>
  <c r="J29" i="4"/>
  <c r="K29" i="4"/>
  <c r="E30" i="4"/>
  <c r="G30" i="4"/>
  <c r="J30" i="4"/>
  <c r="K30" i="4"/>
  <c r="E31" i="4"/>
  <c r="G31" i="4"/>
  <c r="J31" i="4"/>
  <c r="K31" i="4"/>
  <c r="E32" i="4"/>
  <c r="G32" i="4"/>
  <c r="J32" i="4"/>
  <c r="K32" i="4"/>
  <c r="E33" i="4"/>
  <c r="G33" i="4"/>
  <c r="J33" i="4"/>
  <c r="K33" i="4"/>
  <c r="E34" i="4"/>
  <c r="G34" i="4"/>
  <c r="J34" i="4"/>
  <c r="K34" i="4"/>
  <c r="E35" i="4"/>
  <c r="G35" i="4"/>
  <c r="J35" i="4"/>
  <c r="K35" i="4"/>
  <c r="E36" i="4"/>
  <c r="G36" i="4"/>
  <c r="J36" i="4"/>
  <c r="K36" i="4"/>
  <c r="E37" i="4"/>
  <c r="G37" i="4"/>
  <c r="J37" i="4"/>
  <c r="K37" i="4"/>
  <c r="E38" i="4"/>
  <c r="G38" i="4"/>
  <c r="J38" i="4"/>
  <c r="K38" i="4"/>
  <c r="E39" i="4"/>
  <c r="G39" i="4"/>
  <c r="J39" i="4"/>
  <c r="K39" i="4"/>
  <c r="E40" i="4"/>
  <c r="G40" i="4"/>
  <c r="J40" i="4"/>
  <c r="K40" i="4"/>
  <c r="D41" i="4"/>
  <c r="E43" i="4"/>
  <c r="G43" i="4"/>
  <c r="J43" i="4"/>
  <c r="K43" i="4"/>
  <c r="E44" i="4"/>
  <c r="G44" i="4"/>
  <c r="J44" i="4"/>
  <c r="K44" i="4"/>
  <c r="E45" i="4"/>
  <c r="G45" i="4"/>
  <c r="J45" i="4"/>
  <c r="K45" i="4"/>
  <c r="E46" i="4"/>
  <c r="G46" i="4"/>
  <c r="J46" i="4"/>
  <c r="K46" i="4"/>
  <c r="E47" i="4"/>
  <c r="G47" i="4"/>
  <c r="J47" i="4"/>
  <c r="K47" i="4"/>
  <c r="E48" i="4"/>
  <c r="G48" i="4"/>
  <c r="J48" i="4"/>
  <c r="K48" i="4"/>
  <c r="E49" i="4"/>
  <c r="G49" i="4"/>
  <c r="J49" i="4"/>
  <c r="K49" i="4"/>
  <c r="E50" i="4"/>
  <c r="G50" i="4"/>
  <c r="J50" i="4"/>
  <c r="K50" i="4"/>
  <c r="D51" i="4"/>
  <c r="J51" i="4"/>
  <c r="K51" i="4"/>
  <c r="D4" i="5"/>
  <c r="G4" i="5"/>
  <c r="H4" i="5"/>
  <c r="D5" i="5"/>
  <c r="G5" i="5"/>
  <c r="H5" i="5"/>
  <c r="D6" i="5"/>
  <c r="G6" i="5"/>
  <c r="H6" i="5"/>
  <c r="D7" i="5"/>
  <c r="G7" i="5"/>
  <c r="H7" i="5"/>
  <c r="D8" i="5"/>
  <c r="G8" i="5"/>
  <c r="H8" i="5"/>
  <c r="D9" i="5"/>
  <c r="G9" i="5"/>
  <c r="H9" i="5"/>
  <c r="D10" i="5"/>
  <c r="G10" i="5"/>
  <c r="H10" i="5"/>
  <c r="D11" i="5"/>
  <c r="G11" i="5"/>
  <c r="H11" i="5"/>
  <c r="D12" i="5"/>
  <c r="G12" i="5"/>
  <c r="H12" i="5"/>
  <c r="D13" i="5"/>
  <c r="G13" i="5"/>
  <c r="H13" i="5"/>
  <c r="D14" i="5"/>
  <c r="G14" i="5"/>
  <c r="H14" i="5"/>
  <c r="D15" i="5"/>
  <c r="G15" i="5"/>
  <c r="H15" i="5"/>
  <c r="D16" i="5"/>
  <c r="G16" i="5"/>
  <c r="H16" i="5"/>
  <c r="D17" i="5"/>
  <c r="G17" i="5"/>
  <c r="H17" i="5"/>
  <c r="D18" i="5"/>
  <c r="G18" i="5"/>
  <c r="H18" i="5"/>
  <c r="D19" i="5"/>
  <c r="G19" i="5"/>
  <c r="H19" i="5"/>
  <c r="D20" i="5"/>
  <c r="G20" i="5"/>
  <c r="H20" i="5"/>
  <c r="D21" i="5"/>
  <c r="G21" i="5"/>
  <c r="H21" i="5"/>
  <c r="D22" i="5"/>
  <c r="G22" i="5"/>
  <c r="H22" i="5"/>
  <c r="D23" i="5"/>
  <c r="G23" i="5"/>
  <c r="H23" i="5"/>
  <c r="B24" i="5"/>
  <c r="C24" i="5"/>
  <c r="D24" i="5"/>
  <c r="F24" i="5"/>
  <c r="G24" i="5"/>
  <c r="H24" i="5"/>
  <c r="I24" i="5"/>
  <c r="B25" i="5"/>
  <c r="C25" i="5"/>
  <c r="D25" i="5"/>
  <c r="F25" i="5"/>
  <c r="G25" i="5"/>
  <c r="H25" i="5"/>
  <c r="I25" i="5"/>
  <c r="B26" i="5"/>
  <c r="C26" i="5"/>
  <c r="D26" i="5"/>
  <c r="F26" i="5"/>
  <c r="G26" i="5"/>
  <c r="H26" i="5"/>
  <c r="I26" i="5"/>
  <c r="B27" i="5"/>
  <c r="C27" i="5"/>
  <c r="D27" i="5"/>
  <c r="E7" i="7"/>
  <c r="E8" i="7"/>
  <c r="E13" i="7"/>
  <c r="E14" i="7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C5" i="6"/>
  <c r="C8" i="6"/>
  <c r="C10" i="6"/>
  <c r="C11" i="6"/>
  <c r="C12" i="6"/>
  <c r="C13" i="6"/>
  <c r="C18" i="6"/>
  <c r="C20" i="6"/>
  <c r="C21" i="6"/>
  <c r="C22" i="6"/>
  <c r="C23" i="6"/>
  <c r="C29" i="6"/>
  <c r="F29" i="6"/>
  <c r="C35" i="6"/>
  <c r="F35" i="6"/>
</calcChain>
</file>

<file path=xl/sharedStrings.xml><?xml version="1.0" encoding="utf-8"?>
<sst xmlns="http://schemas.openxmlformats.org/spreadsheetml/2006/main" count="225" uniqueCount="122">
  <si>
    <t>Naphtha Prices</t>
  </si>
  <si>
    <t>Minimum</t>
  </si>
  <si>
    <t>Maximum</t>
  </si>
  <si>
    <t>Nap.price($/Mmbtu)</t>
  </si>
  <si>
    <t>Units - kWh</t>
  </si>
  <si>
    <t>Average - Simple</t>
  </si>
  <si>
    <t>Average - Weighted</t>
  </si>
  <si>
    <t>Nap.price ($/MT)</t>
  </si>
  <si>
    <t>F/xRate</t>
  </si>
  <si>
    <t>En.Charge - cents/kWh</t>
  </si>
  <si>
    <t>En. Charge - Rs/kWh</t>
  </si>
  <si>
    <t>Maharashtra State</t>
  </si>
  <si>
    <t>Company</t>
  </si>
  <si>
    <t>Location</t>
  </si>
  <si>
    <t>Fuel</t>
  </si>
  <si>
    <t>Capacity (MW)</t>
  </si>
  <si>
    <t>Standard Alkali</t>
  </si>
  <si>
    <t>Thane</t>
  </si>
  <si>
    <t>Diesel</t>
  </si>
  <si>
    <t>Chemplast</t>
  </si>
  <si>
    <t>NA</t>
  </si>
  <si>
    <t>National Rayon</t>
  </si>
  <si>
    <t>Kalyan</t>
  </si>
  <si>
    <t>TELCO</t>
  </si>
  <si>
    <t>Hanil Era Textile Ltd.</t>
  </si>
  <si>
    <t>Raigad</t>
  </si>
  <si>
    <t>Sunflag Iron &amp; Steel</t>
  </si>
  <si>
    <t>Bhandara</t>
  </si>
  <si>
    <t>Woolworth India</t>
  </si>
  <si>
    <t>Nagpur</t>
  </si>
  <si>
    <t>L&amp;T</t>
  </si>
  <si>
    <t>Indo Count Ind.</t>
  </si>
  <si>
    <t>Kolhapur</t>
  </si>
  <si>
    <t>Usha Ispat Ltd</t>
  </si>
  <si>
    <t>Sindhudurg</t>
  </si>
  <si>
    <t>NRC Ltd.</t>
  </si>
  <si>
    <t>Bajaj Auto</t>
  </si>
  <si>
    <t>Pudumjee Pulp &amp; Paper Ltd.</t>
  </si>
  <si>
    <t>Pune</t>
  </si>
  <si>
    <t>Century Enka</t>
  </si>
  <si>
    <t>Welspun</t>
  </si>
  <si>
    <t>Soma Textile</t>
  </si>
  <si>
    <t>Lupin Chemicals</t>
  </si>
  <si>
    <t xml:space="preserve">NA </t>
  </si>
  <si>
    <t>Ceat</t>
  </si>
  <si>
    <t>Eurotex</t>
  </si>
  <si>
    <t>Arvind Cordspin</t>
  </si>
  <si>
    <t>Jindal Polyestor Ltd.</t>
  </si>
  <si>
    <t>Igatpuri</t>
  </si>
  <si>
    <t>Spentex Ind. Ltd.</t>
  </si>
  <si>
    <t>Baramati</t>
  </si>
  <si>
    <t>Bombay Tyres</t>
  </si>
  <si>
    <t>Binani Glass Fibre</t>
  </si>
  <si>
    <t>Santogen Export Ltd.</t>
  </si>
  <si>
    <t>Amit Spinning Inds.</t>
  </si>
  <si>
    <t>Hindustan Spinning Mills</t>
  </si>
  <si>
    <t>Karad</t>
  </si>
  <si>
    <t>DCL Polyestor</t>
  </si>
  <si>
    <t>Nagreeka Export</t>
  </si>
  <si>
    <t>Garware Wall Ropes</t>
  </si>
  <si>
    <t>Satara</t>
  </si>
  <si>
    <t>TOTAL</t>
  </si>
  <si>
    <t>IPCL</t>
  </si>
  <si>
    <t>Gas/Naphtha</t>
  </si>
  <si>
    <t>Reliance Ind. Ltd.</t>
  </si>
  <si>
    <t>ONGC IPG/CPU</t>
  </si>
  <si>
    <t>Indo Rama Synthetics</t>
  </si>
  <si>
    <t>RCF</t>
  </si>
  <si>
    <t>Ballarpur Industries</t>
  </si>
  <si>
    <t>Ballarpur</t>
  </si>
  <si>
    <t>I.G. Petrochemicals Ltd.</t>
  </si>
  <si>
    <t>Taloja</t>
  </si>
  <si>
    <t>Godrej Soaps</t>
  </si>
  <si>
    <t>Mumbai</t>
  </si>
  <si>
    <t>Diesel Generation</t>
  </si>
  <si>
    <t>Gas/Naphtha Generation</t>
  </si>
  <si>
    <t>Total</t>
  </si>
  <si>
    <t>Crude Price ($/Bbl)</t>
  </si>
  <si>
    <t>X = FOB AG Naphtha - $/Bbl</t>
  </si>
  <si>
    <t>Y = Prompt Brent Crude Price - $/Bbl</t>
  </si>
  <si>
    <t>Equation - 1990 to date</t>
  </si>
  <si>
    <t>Y = 0.98497594X + 0.312869509</t>
  </si>
  <si>
    <t>Gas Price ($/MMBtu)</t>
  </si>
  <si>
    <t>En. Ch. (Rs/kWh)</t>
  </si>
  <si>
    <t>En Ch (cents / kWh)</t>
  </si>
  <si>
    <t>Btu/kg (LHV)</t>
  </si>
  <si>
    <t>Btu/kg (HHV)</t>
  </si>
  <si>
    <t>Price in May ('00)</t>
  </si>
  <si>
    <t>Rs./Kilo Litre</t>
  </si>
  <si>
    <t>With Transport Cost (1%)</t>
  </si>
  <si>
    <t>Specific Grav. Diesel</t>
  </si>
  <si>
    <t xml:space="preserve">Price </t>
  </si>
  <si>
    <t>Rs./ton</t>
  </si>
  <si>
    <t>Furnace Oil (Larger Diesels)</t>
  </si>
  <si>
    <t>Price Rs./MMBtu</t>
  </si>
  <si>
    <t>Rs./MMBtu</t>
  </si>
  <si>
    <t>$/MMBtu</t>
  </si>
  <si>
    <t>No. 2 Diesel (Small Diesels)</t>
  </si>
  <si>
    <t>Naphtha at Dabhol</t>
  </si>
  <si>
    <t>LNG at Dabhol</t>
  </si>
  <si>
    <t>Price ($/MMBtu) - HHV</t>
  </si>
  <si>
    <t>Price ($/MMBtu) - LHV</t>
  </si>
  <si>
    <t>Price in June Bill ('00) - May Deliveries</t>
  </si>
  <si>
    <t>Heat Rate (Btu/kWh)</t>
  </si>
  <si>
    <t>HR (KCal/kWh, HHV)</t>
  </si>
  <si>
    <t>Cost in Cents/kWh</t>
  </si>
  <si>
    <t>Dabhol Cost (Cents/kWh) - Naphtha</t>
  </si>
  <si>
    <t>Dabhol Cost (Cents/kWh) - LNG</t>
  </si>
  <si>
    <t>Assumed PLF of Diesel Units:</t>
  </si>
  <si>
    <t>Savings in Maharashtra Fuel Cost if Captive Units were to be Supplied by Dabhol</t>
  </si>
  <si>
    <t>With Naphtha Fired Dabhol</t>
  </si>
  <si>
    <t>With LNG Fired Dabhol</t>
  </si>
  <si>
    <t>$/Hr.</t>
  </si>
  <si>
    <t>Savings per Year with Naphtha</t>
  </si>
  <si>
    <t>Savings per Year with LNG</t>
  </si>
  <si>
    <t>If we assume 5000 operating hours/yr. (57% PLF)</t>
  </si>
  <si>
    <t>This does not take into account capital costs incurred in equipment installation</t>
  </si>
  <si>
    <t>It also does not account for the fact that there are several much smaller units being used by</t>
  </si>
  <si>
    <t>hotels, small commercial establishments, and homes.  The typical energy cost for these is</t>
  </si>
  <si>
    <t>in the range of 10-12 cents/kWh.</t>
  </si>
  <si>
    <t>Compare against Naphtha</t>
  </si>
  <si>
    <t>Compare against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</si>
</sst>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1" xfId="0" applyBorder="1"/>
    <xf numFmtId="43" fontId="0" fillId="0" borderId="2" xfId="1" applyFont="1" applyBorder="1"/>
    <xf numFmtId="43" fontId="0" fillId="0" borderId="3" xfId="1" applyFont="1" applyBorder="1"/>
    <xf numFmtId="0" fontId="2" fillId="0" borderId="1" xfId="0" applyFont="1" applyBorder="1"/>
    <xf numFmtId="0" fontId="2" fillId="0" borderId="4" xfId="0" applyFont="1" applyBorder="1"/>
    <xf numFmtId="43" fontId="2" fillId="0" borderId="0" xfId="0" applyNumberFormat="1" applyFont="1" applyBorder="1"/>
    <xf numFmtId="43" fontId="2" fillId="0" borderId="5" xfId="0" applyNumberFormat="1" applyFont="1" applyBorder="1"/>
    <xf numFmtId="0" fontId="2" fillId="0" borderId="6" xfId="0" applyFont="1" applyBorder="1"/>
    <xf numFmtId="43" fontId="2" fillId="0" borderId="2" xfId="1" applyFont="1" applyBorder="1"/>
    <xf numFmtId="43" fontId="2" fillId="0" borderId="3" xfId="1" applyFont="1" applyBorder="1"/>
    <xf numFmtId="0" fontId="2" fillId="0" borderId="0" xfId="0" applyFont="1"/>
    <xf numFmtId="43" fontId="0" fillId="0" borderId="1" xfId="1" applyFont="1" applyBorder="1"/>
    <xf numFmtId="43" fontId="0" fillId="0" borderId="7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8" xfId="0" applyBorder="1"/>
    <xf numFmtId="17" fontId="0" fillId="0" borderId="4" xfId="0" applyNumberFormat="1" applyBorder="1"/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0" xfId="0" applyBorder="1"/>
    <xf numFmtId="43" fontId="0" fillId="0" borderId="8" xfId="1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11" xfId="0" applyBorder="1"/>
    <xf numFmtId="164" fontId="1" fillId="0" borderId="16" xfId="1" applyNumberFormat="1" applyBorder="1"/>
    <xf numFmtId="0" fontId="0" fillId="0" borderId="17" xfId="0" applyBorder="1"/>
    <xf numFmtId="0" fontId="0" fillId="0" borderId="18" xfId="0" applyBorder="1"/>
    <xf numFmtId="164" fontId="1" fillId="0" borderId="19" xfId="1" applyNumberFormat="1" applyBorder="1"/>
    <xf numFmtId="0" fontId="0" fillId="0" borderId="20" xfId="0" applyBorder="1"/>
    <xf numFmtId="0" fontId="0" fillId="0" borderId="9" xfId="0" applyBorder="1"/>
    <xf numFmtId="164" fontId="1" fillId="0" borderId="21" xfId="1" applyNumberFormat="1" applyBorder="1"/>
    <xf numFmtId="0" fontId="2" fillId="0" borderId="22" xfId="0" applyFont="1" applyBorder="1"/>
    <xf numFmtId="0" fontId="2" fillId="0" borderId="23" xfId="0" applyFont="1" applyBorder="1"/>
    <xf numFmtId="164" fontId="2" fillId="0" borderId="24" xfId="1" applyNumberFormat="1" applyFont="1" applyBorder="1"/>
    <xf numFmtId="0" fontId="0" fillId="2" borderId="17" xfId="0" applyFill="1" applyBorder="1"/>
    <xf numFmtId="0" fontId="0" fillId="2" borderId="18" xfId="0" applyFill="1" applyBorder="1"/>
    <xf numFmtId="164" fontId="1" fillId="2" borderId="19" xfId="1" applyNumberFormat="1" applyFill="1" applyBorder="1"/>
    <xf numFmtId="0" fontId="0" fillId="0" borderId="25" xfId="0" applyBorder="1"/>
    <xf numFmtId="0" fontId="0" fillId="0" borderId="26" xfId="0" applyBorder="1"/>
    <xf numFmtId="164" fontId="1" fillId="0" borderId="27" xfId="1" applyNumberFormat="1" applyBorder="1"/>
    <xf numFmtId="164" fontId="2" fillId="0" borderId="14" xfId="0" applyNumberFormat="1" applyFont="1" applyBorder="1"/>
    <xf numFmtId="164" fontId="2" fillId="0" borderId="0" xfId="0" applyNumberFormat="1" applyFont="1"/>
    <xf numFmtId="0" fontId="0" fillId="0" borderId="2" xfId="0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4" fillId="0" borderId="0" xfId="0" applyFont="1"/>
    <xf numFmtId="43" fontId="1" fillId="0" borderId="1" xfId="1" applyBorder="1"/>
    <xf numFmtId="43" fontId="1" fillId="0" borderId="7" xfId="1" applyBorder="1"/>
    <xf numFmtId="43" fontId="1" fillId="0" borderId="0" xfId="1" applyBorder="1"/>
    <xf numFmtId="43" fontId="1" fillId="0" borderId="4" xfId="1" applyBorder="1"/>
    <xf numFmtId="43" fontId="1" fillId="0" borderId="5" xfId="1" applyBorder="1"/>
    <xf numFmtId="43" fontId="1" fillId="0" borderId="6" xfId="1" applyBorder="1"/>
    <xf numFmtId="43" fontId="1" fillId="0" borderId="3" xfId="1" applyBorder="1"/>
    <xf numFmtId="165" fontId="1" fillId="0" borderId="0" xfId="1" applyNumberFormat="1" applyBorder="1"/>
    <xf numFmtId="43" fontId="2" fillId="0" borderId="0" xfId="1" applyFont="1" applyBorder="1"/>
    <xf numFmtId="0" fontId="0" fillId="0" borderId="8" xfId="0" applyBorder="1" applyAlignment="1">
      <alignment horizontal="right"/>
    </xf>
    <xf numFmtId="0" fontId="0" fillId="0" borderId="3" xfId="0" applyBorder="1"/>
    <xf numFmtId="165" fontId="1" fillId="0" borderId="8" xfId="1" applyNumberFormat="1" applyBorder="1"/>
    <xf numFmtId="165" fontId="1" fillId="0" borderId="2" xfId="1" applyNumberFormat="1" applyBorder="1"/>
    <xf numFmtId="1" fontId="0" fillId="0" borderId="0" xfId="0" applyNumberFormat="1"/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0" fontId="2" fillId="0" borderId="28" xfId="0" applyFont="1" applyBorder="1"/>
    <xf numFmtId="0" fontId="0" fillId="0" borderId="29" xfId="0" applyBorder="1"/>
    <xf numFmtId="9" fontId="0" fillId="0" borderId="30" xfId="0" applyNumberFormat="1" applyBorder="1" applyAlignment="1">
      <alignment horizontal="left"/>
    </xf>
    <xf numFmtId="44" fontId="0" fillId="0" borderId="0" xfId="2" applyFont="1"/>
    <xf numFmtId="44" fontId="0" fillId="0" borderId="0" xfId="0" applyNumberFormat="1"/>
    <xf numFmtId="170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>
      <selection activeCell="E17" sqref="E17"/>
    </sheetView>
  </sheetViews>
  <sheetFormatPr defaultRowHeight="12.75" x14ac:dyDescent="0.2"/>
  <cols>
    <col min="1" max="1" width="19.28515625" bestFit="1" customWidth="1"/>
    <col min="2" max="2" width="18.85546875" bestFit="1" customWidth="1"/>
    <col min="3" max="3" width="15.85546875" bestFit="1" customWidth="1"/>
    <col min="4" max="4" width="18.28515625" bestFit="1" customWidth="1"/>
    <col min="5" max="5" width="21.85546875" bestFit="1" customWidth="1"/>
    <col min="6" max="6" width="19.7109375" bestFit="1" customWidth="1"/>
    <col min="7" max="7" width="17.5703125" bestFit="1" customWidth="1"/>
    <col min="8" max="8" width="7.5703125" bestFit="1" customWidth="1"/>
  </cols>
  <sheetData>
    <row r="1" spans="1:8" x14ac:dyDescent="0.2">
      <c r="B1" s="13" t="s">
        <v>0</v>
      </c>
    </row>
    <row r="3" spans="1:8" x14ac:dyDescent="0.2">
      <c r="A3" s="3"/>
      <c r="B3" s="25" t="s">
        <v>3</v>
      </c>
      <c r="C3" s="26" t="s">
        <v>7</v>
      </c>
      <c r="D3" s="26" t="s">
        <v>77</v>
      </c>
      <c r="E3" s="26" t="s">
        <v>9</v>
      </c>
      <c r="F3" s="27" t="s">
        <v>10</v>
      </c>
      <c r="G3" s="2" t="s">
        <v>4</v>
      </c>
      <c r="H3" s="21" t="s">
        <v>8</v>
      </c>
    </row>
    <row r="4" spans="1:8" x14ac:dyDescent="0.2">
      <c r="A4" s="20">
        <v>36281</v>
      </c>
      <c r="B4" s="14">
        <v>4.0928680000000002</v>
      </c>
      <c r="C4" s="24">
        <v>177.22052685542286</v>
      </c>
      <c r="D4" s="24">
        <f>((((C4/1.228)-18.37)/9)*$B$33)+$B$34</f>
        <v>14.096665489895491</v>
      </c>
      <c r="E4" s="24">
        <f t="shared" ref="E4:E23" si="0">F4/H4*100</f>
        <v>3.3480294478195978</v>
      </c>
      <c r="F4" s="15">
        <f>144.01548669796/100</f>
        <v>1.4401548669796</v>
      </c>
      <c r="G4" s="1">
        <v>185744334.83199996</v>
      </c>
      <c r="H4" s="22">
        <v>43.015000000000001</v>
      </c>
    </row>
    <row r="5" spans="1:8" x14ac:dyDescent="0.2">
      <c r="A5" s="20">
        <v>36312</v>
      </c>
      <c r="B5" s="16">
        <v>4.3394969999999997</v>
      </c>
      <c r="C5" s="22">
        <v>193.17819043801927</v>
      </c>
      <c r="D5" s="22">
        <f>((((C5/1.228)-18.37)/9)*$B$33)+$B$34</f>
        <v>15.518843800379718</v>
      </c>
      <c r="E5" s="22">
        <f t="shared" si="0"/>
        <v>3.5187408594328695</v>
      </c>
      <c r="F5" s="17">
        <f>153.194247883509/100</f>
        <v>1.5319424788350902</v>
      </c>
      <c r="G5" s="1">
        <v>226883759.72400004</v>
      </c>
      <c r="H5" s="22">
        <v>43.536666666666669</v>
      </c>
    </row>
    <row r="6" spans="1:8" x14ac:dyDescent="0.2">
      <c r="A6" s="20">
        <v>36342</v>
      </c>
      <c r="B6" s="16">
        <v>4.5173129999999997</v>
      </c>
      <c r="C6" s="22">
        <v>202.65677820592114</v>
      </c>
      <c r="D6" s="22">
        <f>((((C6/1.228)-18.37)/9)*$B$33)+$B$34</f>
        <v>16.363594152945918</v>
      </c>
      <c r="E6" s="22">
        <f t="shared" si="0"/>
        <v>3.7393951688129876</v>
      </c>
      <c r="F6" s="17">
        <f>162.190033121982/100</f>
        <v>1.6219003312198199</v>
      </c>
      <c r="G6" s="1">
        <v>298788696.94799995</v>
      </c>
      <c r="H6" s="22">
        <v>43.373333333333335</v>
      </c>
    </row>
    <row r="7" spans="1:8" x14ac:dyDescent="0.2">
      <c r="A7" s="20">
        <v>36373</v>
      </c>
      <c r="B7" s="16">
        <v>5.3739150000000002</v>
      </c>
      <c r="C7" s="22">
        <v>241.7915678526262</v>
      </c>
      <c r="D7" s="22">
        <f>((((C7/1.228)-18.37)/9)*$B$33)+$B$34</f>
        <v>19.851363445288079</v>
      </c>
      <c r="E7" s="22">
        <f t="shared" si="0"/>
        <v>4.3182368959333761</v>
      </c>
      <c r="F7" s="17">
        <f>187.814516727129/100</f>
        <v>1.8781451672712899</v>
      </c>
      <c r="G7" s="1">
        <v>327583457.61999989</v>
      </c>
      <c r="H7" s="22">
        <v>43.493333333333332</v>
      </c>
    </row>
    <row r="8" spans="1:8" x14ac:dyDescent="0.2">
      <c r="A8" s="20">
        <v>36404</v>
      </c>
      <c r="B8" s="16">
        <v>5.9283659999999996</v>
      </c>
      <c r="C8" s="22">
        <v>265.3312838616767</v>
      </c>
      <c r="D8" s="22">
        <f>((((C8/1.228)-18.37)/9)*$B$33)+$B$34</f>
        <v>21.949269154964838</v>
      </c>
      <c r="E8" s="22">
        <f t="shared" si="0"/>
        <v>4.6999482482250814</v>
      </c>
      <c r="F8" s="17">
        <f>204.949076610935/100</f>
        <v>2.0494907661093502</v>
      </c>
      <c r="G8" s="1">
        <v>332464124.60799992</v>
      </c>
      <c r="H8" s="22">
        <v>43.606666666666662</v>
      </c>
    </row>
    <row r="9" spans="1:8" x14ac:dyDescent="0.2">
      <c r="A9" s="20">
        <v>36434</v>
      </c>
      <c r="B9" s="16">
        <v>6.1393490000000002</v>
      </c>
      <c r="C9" s="22">
        <v>275.31749107781081</v>
      </c>
      <c r="D9" s="22">
        <f t="shared" ref="D9:D23" si="1">((((C9/1.228)-18.37)/9)*$B$33)+$B$34</f>
        <v>22.839259549440637</v>
      </c>
      <c r="E9" s="22">
        <f t="shared" si="0"/>
        <v>5.2076622732626658</v>
      </c>
      <c r="F9" s="17">
        <f>226.203490276286/100</f>
        <v>2.2620349027628599</v>
      </c>
      <c r="G9" s="1">
        <v>249027908.43599999</v>
      </c>
      <c r="H9" s="22">
        <v>43.436666666666667</v>
      </c>
    </row>
    <row r="10" spans="1:8" x14ac:dyDescent="0.2">
      <c r="A10" s="20">
        <v>36465</v>
      </c>
      <c r="B10" s="16">
        <v>6.3174159999999997</v>
      </c>
      <c r="C10" s="22">
        <v>283.42908278546787</v>
      </c>
      <c r="D10" s="22">
        <f t="shared" si="1"/>
        <v>23.562180529095514</v>
      </c>
      <c r="E10" s="22">
        <f t="shared" si="0"/>
        <v>5.0770746516400305</v>
      </c>
      <c r="F10" s="17">
        <f>220.429657792038/100</f>
        <v>2.2042965779203798</v>
      </c>
      <c r="G10" s="1">
        <v>408451284.47200006</v>
      </c>
      <c r="H10" s="22">
        <v>43.416666666666664</v>
      </c>
    </row>
    <row r="11" spans="1:8" x14ac:dyDescent="0.2">
      <c r="A11" s="20">
        <v>36495</v>
      </c>
      <c r="B11" s="16">
        <v>6.5911270000000002</v>
      </c>
      <c r="C11" s="22">
        <v>293.9416847981866</v>
      </c>
      <c r="D11" s="22">
        <f t="shared" si="1"/>
        <v>24.49908426139044</v>
      </c>
      <c r="E11" s="22">
        <f t="shared" si="0"/>
        <v>5.3577390424491727</v>
      </c>
      <c r="F11" s="17">
        <f>233.133084867105/100</f>
        <v>2.3313308486710498</v>
      </c>
      <c r="G11" s="1">
        <v>429480185.66800004</v>
      </c>
      <c r="H11" s="22">
        <v>43.513333333333328</v>
      </c>
    </row>
    <row r="12" spans="1:8" x14ac:dyDescent="0.2">
      <c r="A12" s="20">
        <v>36526</v>
      </c>
      <c r="B12" s="16">
        <v>6.4360819999999999</v>
      </c>
      <c r="C12" s="22">
        <v>286.6236089976635</v>
      </c>
      <c r="D12" s="22">
        <f t="shared" si="1"/>
        <v>23.846882977404601</v>
      </c>
      <c r="E12" s="22">
        <f t="shared" si="0"/>
        <v>5.356232221042454</v>
      </c>
      <c r="F12" s="17">
        <f>233.531724837451/100</f>
        <v>2.3353172483745102</v>
      </c>
      <c r="G12" s="1">
        <v>333778537.75200003</v>
      </c>
      <c r="H12" s="22">
        <v>43.6</v>
      </c>
    </row>
    <row r="13" spans="1:8" x14ac:dyDescent="0.2">
      <c r="A13" s="20">
        <v>36557</v>
      </c>
      <c r="B13" s="16">
        <v>6.7199049999999998</v>
      </c>
      <c r="C13" s="22">
        <v>300.50089364107583</v>
      </c>
      <c r="D13" s="22">
        <f t="shared" si="1"/>
        <v>25.083653832118014</v>
      </c>
      <c r="E13" s="22">
        <f t="shared" si="0"/>
        <v>5.4451509945567631</v>
      </c>
      <c r="F13" s="17">
        <f>237.54017451171/100</f>
        <v>2.3754017451171001</v>
      </c>
      <c r="G13" s="1">
        <v>410246756.972</v>
      </c>
      <c r="H13" s="22">
        <v>43.624166666666667</v>
      </c>
    </row>
    <row r="14" spans="1:8" x14ac:dyDescent="0.2">
      <c r="A14" s="20">
        <v>36586</v>
      </c>
      <c r="B14" s="16">
        <v>7.42021</v>
      </c>
      <c r="C14" s="22">
        <v>330.2558933988654</v>
      </c>
      <c r="D14" s="22">
        <f t="shared" si="1"/>
        <v>27.735477832853491</v>
      </c>
      <c r="E14" s="22">
        <f t="shared" si="0"/>
        <v>6.1171103899279951</v>
      </c>
      <c r="F14" s="17">
        <f>266.869135944592/100</f>
        <v>2.6686913594459201</v>
      </c>
      <c r="G14" s="1">
        <v>357877324.19200003</v>
      </c>
      <c r="H14" s="22">
        <v>43.626666666666665</v>
      </c>
    </row>
    <row r="15" spans="1:8" x14ac:dyDescent="0.2">
      <c r="A15" s="20">
        <v>36617</v>
      </c>
      <c r="B15" s="16">
        <v>6.9021889999999999</v>
      </c>
      <c r="C15" s="22">
        <v>307.433527350632</v>
      </c>
      <c r="D15" s="22">
        <f t="shared" si="1"/>
        <v>25.701503760162325</v>
      </c>
      <c r="E15" s="22">
        <f t="shared" si="0"/>
        <v>5.5197733875953601</v>
      </c>
      <c r="F15" s="17">
        <f>241.043904025133/100</f>
        <v>2.41043904025133</v>
      </c>
      <c r="G15" s="1">
        <v>447487202.10000002</v>
      </c>
      <c r="H15" s="22">
        <v>43.669166666666662</v>
      </c>
    </row>
    <row r="16" spans="1:8" x14ac:dyDescent="0.2">
      <c r="A16" s="20">
        <v>36647</v>
      </c>
      <c r="B16" s="16">
        <v>6.7914000000000003</v>
      </c>
      <c r="C16" s="22">
        <v>303.22899100993175</v>
      </c>
      <c r="D16" s="22">
        <f t="shared" si="1"/>
        <v>25.326787226101036</v>
      </c>
      <c r="E16" s="22">
        <f t="shared" si="0"/>
        <v>5.559713102094217</v>
      </c>
      <c r="F16" s="17">
        <f>248.018801484423/100</f>
        <v>2.4801880148442299</v>
      </c>
      <c r="G16" s="1">
        <v>381389341.12800008</v>
      </c>
      <c r="H16" s="22">
        <v>44.61</v>
      </c>
    </row>
    <row r="17" spans="1:8" x14ac:dyDescent="0.2">
      <c r="A17" s="20">
        <v>36678</v>
      </c>
      <c r="B17" s="16">
        <v>6.7851489999999997</v>
      </c>
      <c r="C17" s="22">
        <v>303.22899198898597</v>
      </c>
      <c r="D17" s="22">
        <f t="shared" si="1"/>
        <v>25.326787313356274</v>
      </c>
      <c r="E17" s="22">
        <f t="shared" si="0"/>
        <v>6.4370616477103102</v>
      </c>
      <c r="F17" s="17">
        <f>287.666920818134/100</f>
        <v>2.8766692081813399</v>
      </c>
      <c r="G17" s="1">
        <v>39123882.144000001</v>
      </c>
      <c r="H17" s="22">
        <v>44.689166666666665</v>
      </c>
    </row>
    <row r="18" spans="1:8" x14ac:dyDescent="0.2">
      <c r="A18" s="20">
        <v>36708</v>
      </c>
      <c r="B18" s="16">
        <v>6.866492</v>
      </c>
      <c r="C18" s="22">
        <v>306.16218961912222</v>
      </c>
      <c r="D18" s="22">
        <f t="shared" si="1"/>
        <v>25.588199645327791</v>
      </c>
      <c r="E18" s="22">
        <f t="shared" si="0"/>
        <v>5.9217681552597394</v>
      </c>
      <c r="F18" s="17">
        <f>268.532446613845/100</f>
        <v>2.6853244661384501</v>
      </c>
      <c r="G18" s="1">
        <v>179474667.45599997</v>
      </c>
      <c r="H18" s="22">
        <v>45.346666666666671</v>
      </c>
    </row>
    <row r="19" spans="1:8" x14ac:dyDescent="0.2">
      <c r="A19" s="20">
        <v>36739</v>
      </c>
      <c r="B19" s="16">
        <v>7.032883</v>
      </c>
      <c r="C19" s="22">
        <v>313.04466318501687</v>
      </c>
      <c r="D19" s="22">
        <f t="shared" si="1"/>
        <v>26.201579202882282</v>
      </c>
      <c r="E19" s="22">
        <f t="shared" si="0"/>
        <v>6.1388434773655671</v>
      </c>
      <c r="F19" s="17">
        <f>281.578518900963/100</f>
        <v>2.8157851890096297</v>
      </c>
      <c r="G19" s="1">
        <v>231445114.42800003</v>
      </c>
      <c r="H19" s="22">
        <v>45.868333333333332</v>
      </c>
    </row>
    <row r="20" spans="1:8" x14ac:dyDescent="0.2">
      <c r="A20" s="20">
        <v>36770</v>
      </c>
      <c r="B20" s="16">
        <v>8.1393229999999992</v>
      </c>
      <c r="C20" s="22">
        <v>362.93618958308633</v>
      </c>
      <c r="D20" s="22">
        <f t="shared" si="1"/>
        <v>30.648009994772735</v>
      </c>
      <c r="E20" s="22">
        <f t="shared" si="0"/>
        <v>6.8943830613819603</v>
      </c>
      <c r="F20" s="17">
        <f>318.22174083652/100</f>
        <v>3.1822174083652</v>
      </c>
      <c r="G20" s="1">
        <v>257753632.05599999</v>
      </c>
      <c r="H20" s="22">
        <v>46.156666666666666</v>
      </c>
    </row>
    <row r="21" spans="1:8" x14ac:dyDescent="0.2">
      <c r="A21" s="20">
        <v>36800</v>
      </c>
      <c r="B21" s="16">
        <v>8.3934429999999995</v>
      </c>
      <c r="C21" s="22">
        <v>374.3835628518687</v>
      </c>
      <c r="D21" s="22">
        <f t="shared" si="1"/>
        <v>31.668222376780498</v>
      </c>
      <c r="E21" s="22">
        <f t="shared" si="0"/>
        <v>7.1874549139147632</v>
      </c>
      <c r="F21" s="17">
        <f>336.756220899953/100</f>
        <v>3.3675622089995301</v>
      </c>
      <c r="G21" s="1">
        <v>267259145.29199994</v>
      </c>
      <c r="H21" s="22">
        <v>46.853333333333332</v>
      </c>
    </row>
    <row r="22" spans="1:8" x14ac:dyDescent="0.2">
      <c r="A22" s="20">
        <v>36831</v>
      </c>
      <c r="B22" s="16">
        <v>8.0647439999999992</v>
      </c>
      <c r="C22" s="22">
        <v>359.01103865004586</v>
      </c>
      <c r="D22" s="22">
        <f t="shared" si="1"/>
        <v>30.298192836800112</v>
      </c>
      <c r="E22" s="22">
        <f t="shared" si="0"/>
        <v>6.6230986801164207</v>
      </c>
      <c r="F22" s="17">
        <f>310.446712132657/100</f>
        <v>3.1044671213265702</v>
      </c>
      <c r="G22" s="1">
        <v>184948831.28800005</v>
      </c>
      <c r="H22" s="22">
        <v>46.873333333333335</v>
      </c>
    </row>
    <row r="23" spans="1:8" x14ac:dyDescent="0.2">
      <c r="A23" s="20">
        <v>36861</v>
      </c>
      <c r="B23" s="18">
        <v>7.9896079999999996</v>
      </c>
      <c r="C23" s="4">
        <v>355.86495491159224</v>
      </c>
      <c r="D23" s="4">
        <f t="shared" si="1"/>
        <v>30.017807676865072</v>
      </c>
      <c r="E23" s="4">
        <f t="shared" si="0"/>
        <v>7.0335182101283884</v>
      </c>
      <c r="F23" s="5">
        <f>328.477025287852/100</f>
        <v>3.2847702528785199</v>
      </c>
      <c r="G23" s="1">
        <v>179021281.10400003</v>
      </c>
      <c r="H23" s="22">
        <v>46.701667</v>
      </c>
    </row>
    <row r="24" spans="1:8" x14ac:dyDescent="0.2">
      <c r="A24" s="28" t="s">
        <v>1</v>
      </c>
      <c r="B24" s="8">
        <f>MIN(B4:B23)</f>
        <v>4.0928680000000002</v>
      </c>
      <c r="C24" s="8">
        <f>MIN(C4:C23)</f>
        <v>177.22052685542286</v>
      </c>
      <c r="D24" s="8">
        <f>MIN(D4:D23)</f>
        <v>14.096665489895491</v>
      </c>
      <c r="E24" s="8">
        <f>MIN(E4:E23)</f>
        <v>3.3480294478195978</v>
      </c>
      <c r="F24" s="9">
        <f>MIN(F4:F23)</f>
        <v>1.4401548669796</v>
      </c>
    </row>
    <row r="25" spans="1:8" x14ac:dyDescent="0.2">
      <c r="A25" s="29" t="s">
        <v>2</v>
      </c>
      <c r="B25" s="8">
        <f>MAX(B4:B23)</f>
        <v>8.3934429999999995</v>
      </c>
      <c r="C25" s="8">
        <f>MAX(C4:C23)</f>
        <v>374.3835628518687</v>
      </c>
      <c r="D25" s="8">
        <f>MAX(D4:D23)</f>
        <v>31.668222376780498</v>
      </c>
      <c r="E25" s="8">
        <f>MAX(E4:E23)</f>
        <v>7.1874549139147632</v>
      </c>
      <c r="F25" s="9">
        <f>MAX(F4:F23)</f>
        <v>3.3675622089995301</v>
      </c>
    </row>
    <row r="26" spans="1:8" x14ac:dyDescent="0.2">
      <c r="A26" s="29" t="s">
        <v>5</v>
      </c>
      <c r="B26" s="8">
        <f>AVERAGE(B4:B23)</f>
        <v>6.5420639499999993</v>
      </c>
      <c r="C26" s="8">
        <f>AVERAGE(C4:C23)</f>
        <v>291.77705555315094</v>
      </c>
      <c r="D26" s="8">
        <f>AVERAGE(D4:D23)</f>
        <v>24.306168252941241</v>
      </c>
      <c r="E26" s="8">
        <f>AVERAGE(E4:E23)</f>
        <v>5.475046741433486</v>
      </c>
      <c r="F26" s="9">
        <f>AVERAGE(F4:F23)</f>
        <v>2.4453064601350882</v>
      </c>
    </row>
    <row r="27" spans="1:8" x14ac:dyDescent="0.2">
      <c r="A27" s="30" t="s">
        <v>6</v>
      </c>
      <c r="B27" s="11">
        <f>SUMPRODUCT(B4:B23,G4:G23)/SUM(G4:G23)</f>
        <v>6.527992146572128</v>
      </c>
      <c r="C27" s="11">
        <f>SUMPRODUCT(C4:C23,G4:G23)/SUM(G4:G23)</f>
        <v>291.29866206973293</v>
      </c>
      <c r="D27" s="11">
        <f>SUMPRODUCT(D4:D23,G4:G23)/SUM(G4:G23)</f>
        <v>24.263532886399492</v>
      </c>
      <c r="E27" s="11">
        <f>SUMPRODUCT(E4:E23,G4:G23)/SUM(G4:G23)</f>
        <v>5.3952214368963629</v>
      </c>
      <c r="F27" s="12">
        <f>SUMPRODUCT(F4:F23,G4:G23)/SUM(G4:G23)</f>
        <v>2.3957621247043859</v>
      </c>
    </row>
    <row r="29" spans="1:8" x14ac:dyDescent="0.2">
      <c r="A29" s="58" t="s">
        <v>80</v>
      </c>
    </row>
    <row r="30" spans="1:8" x14ac:dyDescent="0.2">
      <c r="A30" s="59" t="s">
        <v>81</v>
      </c>
    </row>
    <row r="31" spans="1:8" x14ac:dyDescent="0.2">
      <c r="A31" s="60" t="s">
        <v>79</v>
      </c>
    </row>
    <row r="32" spans="1:8" x14ac:dyDescent="0.2">
      <c r="A32" s="60" t="s">
        <v>78</v>
      </c>
    </row>
    <row r="33" spans="2:2" x14ac:dyDescent="0.2">
      <c r="B33" s="61">
        <v>0.98497593999999999</v>
      </c>
    </row>
    <row r="34" spans="2:2" x14ac:dyDescent="0.2">
      <c r="B34" s="61">
        <v>0.31286950899999999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selection activeCell="A7" sqref="A7"/>
    </sheetView>
  </sheetViews>
  <sheetFormatPr defaultRowHeight="12.75" x14ac:dyDescent="0.2"/>
  <cols>
    <col min="1" max="1" width="19.28515625" bestFit="1" customWidth="1"/>
    <col min="2" max="2" width="18.85546875" hidden="1" customWidth="1"/>
    <col min="3" max="3" width="15.85546875" hidden="1" customWidth="1"/>
    <col min="4" max="4" width="18.28515625" bestFit="1" customWidth="1"/>
    <col min="5" max="5" width="17.5703125" hidden="1" customWidth="1"/>
    <col min="6" max="6" width="18.85546875" bestFit="1" customWidth="1"/>
    <col min="7" max="7" width="18.7109375" bestFit="1" customWidth="1"/>
    <col min="8" max="8" width="16" bestFit="1" customWidth="1"/>
  </cols>
  <sheetData>
    <row r="1" spans="1:9" x14ac:dyDescent="0.2">
      <c r="B1" s="13" t="s">
        <v>0</v>
      </c>
    </row>
    <row r="3" spans="1:9" x14ac:dyDescent="0.2">
      <c r="A3" s="3"/>
      <c r="B3" s="25" t="s">
        <v>3</v>
      </c>
      <c r="C3" s="26" t="s">
        <v>7</v>
      </c>
      <c r="D3" s="26" t="s">
        <v>77</v>
      </c>
      <c r="E3" s="71" t="s">
        <v>4</v>
      </c>
      <c r="F3" s="25" t="s">
        <v>82</v>
      </c>
      <c r="G3" s="25" t="s">
        <v>84</v>
      </c>
      <c r="H3" s="25" t="s">
        <v>83</v>
      </c>
      <c r="I3" s="27" t="s">
        <v>8</v>
      </c>
    </row>
    <row r="4" spans="1:9" x14ac:dyDescent="0.2">
      <c r="A4" s="20">
        <v>36281</v>
      </c>
      <c r="B4" s="64">
        <v>4.0928680000000002</v>
      </c>
      <c r="C4" s="64">
        <v>177.22052685542286</v>
      </c>
      <c r="D4" s="62">
        <f t="shared" ref="D4:D23" si="0">((((C4/1.228)-18.37)/9)*$B$33)+$B$34</f>
        <v>14.096665489895491</v>
      </c>
      <c r="E4" s="73">
        <v>185744334.83199996</v>
      </c>
      <c r="F4" s="24">
        <v>3.4614409300492905</v>
      </c>
      <c r="G4" s="24">
        <f>F4*7450/10^6*100</f>
        <v>2.5787734928867216</v>
      </c>
      <c r="H4" s="24">
        <f>G4*I4/100</f>
        <v>1.1092594179652233</v>
      </c>
      <c r="I4" s="63">
        <v>43.015000000000001</v>
      </c>
    </row>
    <row r="5" spans="1:9" x14ac:dyDescent="0.2">
      <c r="A5" s="20">
        <v>36312</v>
      </c>
      <c r="B5" s="64">
        <v>4.3394969999999997</v>
      </c>
      <c r="C5" s="64">
        <v>193.17819043801927</v>
      </c>
      <c r="D5" s="65">
        <f t="shared" si="0"/>
        <v>15.518843800379718</v>
      </c>
      <c r="E5" s="69">
        <v>226883759.72400004</v>
      </c>
      <c r="F5" s="22">
        <v>3.6872176534811332</v>
      </c>
      <c r="G5" s="22">
        <f t="shared" ref="G5:G26" si="1">F5*7450/10^6*100</f>
        <v>2.7469771518434443</v>
      </c>
      <c r="H5" s="22">
        <f t="shared" ref="H5:H26" si="2">G5*I5/100</f>
        <v>1.1959422860075741</v>
      </c>
      <c r="I5" s="66">
        <v>43.536666666666669</v>
      </c>
    </row>
    <row r="6" spans="1:9" x14ac:dyDescent="0.2">
      <c r="A6" s="20">
        <v>36342</v>
      </c>
      <c r="B6" s="64">
        <v>4.5173129999999997</v>
      </c>
      <c r="C6" s="64">
        <v>202.65677820592114</v>
      </c>
      <c r="D6" s="65">
        <f t="shared" si="0"/>
        <v>16.363594152945918</v>
      </c>
      <c r="E6" s="69">
        <v>298788696.94799995</v>
      </c>
      <c r="F6" s="22">
        <v>3.8219406006953611</v>
      </c>
      <c r="G6" s="22">
        <f t="shared" si="1"/>
        <v>2.8473457475180441</v>
      </c>
      <c r="H6" s="22">
        <f t="shared" si="2"/>
        <v>1.2349887622234932</v>
      </c>
      <c r="I6" s="66">
        <v>43.373333333333335</v>
      </c>
    </row>
    <row r="7" spans="1:9" x14ac:dyDescent="0.2">
      <c r="A7" s="20">
        <v>36373</v>
      </c>
      <c r="B7" s="64">
        <v>5.3739150000000002</v>
      </c>
      <c r="C7" s="64">
        <v>241.7915678526262</v>
      </c>
      <c r="D7" s="65">
        <f t="shared" si="0"/>
        <v>19.851363445288079</v>
      </c>
      <c r="E7" s="69">
        <v>327583457.61999989</v>
      </c>
      <c r="F7" s="22">
        <v>4.3771514756052028</v>
      </c>
      <c r="G7" s="22">
        <f t="shared" si="1"/>
        <v>3.2609778493258759</v>
      </c>
      <c r="H7" s="22">
        <f t="shared" si="2"/>
        <v>1.4183079659334674</v>
      </c>
      <c r="I7" s="66">
        <v>43.493333333333332</v>
      </c>
    </row>
    <row r="8" spans="1:9" x14ac:dyDescent="0.2">
      <c r="A8" s="20">
        <v>36404</v>
      </c>
      <c r="B8" s="64">
        <v>5.9283659999999996</v>
      </c>
      <c r="C8" s="64">
        <v>265.3312838616767</v>
      </c>
      <c r="D8" s="65">
        <f t="shared" si="0"/>
        <v>21.949269154964838</v>
      </c>
      <c r="E8" s="69">
        <v>332464124.60799992</v>
      </c>
      <c r="F8" s="22">
        <v>4.7110603131549267</v>
      </c>
      <c r="G8" s="22">
        <f t="shared" si="1"/>
        <v>3.5097399333004207</v>
      </c>
      <c r="H8" s="22">
        <f t="shared" si="2"/>
        <v>1.5304805935812034</v>
      </c>
      <c r="I8" s="66">
        <v>43.606666666666662</v>
      </c>
    </row>
    <row r="9" spans="1:9" x14ac:dyDescent="0.2">
      <c r="A9" s="20">
        <v>36434</v>
      </c>
      <c r="B9" s="64">
        <v>6.1393490000000002</v>
      </c>
      <c r="C9" s="64">
        <v>275.31749107781081</v>
      </c>
      <c r="D9" s="65">
        <f t="shared" si="0"/>
        <v>22.839259549440637</v>
      </c>
      <c r="E9" s="69">
        <v>249027908.43599999</v>
      </c>
      <c r="F9" s="22">
        <v>4.8529948942657954</v>
      </c>
      <c r="G9" s="22">
        <f t="shared" si="1"/>
        <v>3.6154811962280173</v>
      </c>
      <c r="H9" s="22">
        <f t="shared" si="2"/>
        <v>1.5704445156015765</v>
      </c>
      <c r="I9" s="66">
        <v>43.436666666666667</v>
      </c>
    </row>
    <row r="10" spans="1:9" x14ac:dyDescent="0.2">
      <c r="A10" s="20">
        <v>36465</v>
      </c>
      <c r="B10" s="64">
        <v>6.3174159999999997</v>
      </c>
      <c r="C10" s="64">
        <v>283.42908278546787</v>
      </c>
      <c r="D10" s="65">
        <f t="shared" si="0"/>
        <v>23.562180529095514</v>
      </c>
      <c r="E10" s="69">
        <v>408451284.47200006</v>
      </c>
      <c r="F10" s="22">
        <v>4.9681333085495778</v>
      </c>
      <c r="G10" s="22">
        <f t="shared" si="1"/>
        <v>3.7012593148694353</v>
      </c>
      <c r="H10" s="22">
        <f t="shared" si="2"/>
        <v>1.6069634192058131</v>
      </c>
      <c r="I10" s="66">
        <v>43.416666666666664</v>
      </c>
    </row>
    <row r="11" spans="1:9" x14ac:dyDescent="0.2">
      <c r="A11" s="20">
        <v>36495</v>
      </c>
      <c r="B11" s="64">
        <v>6.5911270000000002</v>
      </c>
      <c r="C11" s="64">
        <v>293.9416847981866</v>
      </c>
      <c r="D11" s="65">
        <f t="shared" si="0"/>
        <v>24.49908426139044</v>
      </c>
      <c r="E11" s="69">
        <v>429480185.66800004</v>
      </c>
      <c r="F11" s="22">
        <v>5.1171938722697812</v>
      </c>
      <c r="G11" s="22">
        <f t="shared" si="1"/>
        <v>3.8123094348409867</v>
      </c>
      <c r="H11" s="22">
        <f t="shared" si="2"/>
        <v>1.6588629120804745</v>
      </c>
      <c r="I11" s="66">
        <v>43.513333333333328</v>
      </c>
    </row>
    <row r="12" spans="1:9" x14ac:dyDescent="0.2">
      <c r="A12" s="20">
        <v>36526</v>
      </c>
      <c r="B12" s="64">
        <v>6.4360819999999999</v>
      </c>
      <c r="C12" s="64">
        <v>286.6236089976635</v>
      </c>
      <c r="D12" s="65">
        <f t="shared" si="0"/>
        <v>23.846882977404601</v>
      </c>
      <c r="E12" s="69">
        <v>333778537.75200003</v>
      </c>
      <c r="F12" s="22">
        <v>5.0132306694508504</v>
      </c>
      <c r="G12" s="22">
        <f t="shared" si="1"/>
        <v>3.7348568487408835</v>
      </c>
      <c r="H12" s="22">
        <f t="shared" si="2"/>
        <v>1.6283975860510254</v>
      </c>
      <c r="I12" s="66">
        <v>43.6</v>
      </c>
    </row>
    <row r="13" spans="1:9" x14ac:dyDescent="0.2">
      <c r="A13" s="20">
        <v>36557</v>
      </c>
      <c r="B13" s="64">
        <v>6.7199049999999998</v>
      </c>
      <c r="C13" s="64">
        <v>300.50089364107583</v>
      </c>
      <c r="D13" s="65">
        <f t="shared" si="0"/>
        <v>25.083653832118014</v>
      </c>
      <c r="E13" s="69">
        <v>410246756.972</v>
      </c>
      <c r="F13" s="22">
        <v>5.2101337550123414</v>
      </c>
      <c r="G13" s="22">
        <f t="shared" si="1"/>
        <v>3.881549647484194</v>
      </c>
      <c r="H13" s="22">
        <f t="shared" si="2"/>
        <v>1.6932936874679172</v>
      </c>
      <c r="I13" s="66">
        <v>43.624166666666667</v>
      </c>
    </row>
    <row r="14" spans="1:9" x14ac:dyDescent="0.2">
      <c r="A14" s="20">
        <v>36586</v>
      </c>
      <c r="B14" s="64">
        <v>7.42021</v>
      </c>
      <c r="C14" s="64">
        <v>330.2558933988654</v>
      </c>
      <c r="D14" s="65">
        <f t="shared" si="0"/>
        <v>27.735477832853491</v>
      </c>
      <c r="E14" s="69">
        <v>357877324.19200003</v>
      </c>
      <c r="F14" s="22">
        <v>5.6323871122168736</v>
      </c>
      <c r="G14" s="22">
        <f t="shared" si="1"/>
        <v>4.1961283986015712</v>
      </c>
      <c r="H14" s="22">
        <f t="shared" si="2"/>
        <v>1.8306309493632456</v>
      </c>
      <c r="I14" s="66">
        <v>43.626666666666665</v>
      </c>
    </row>
    <row r="15" spans="1:9" x14ac:dyDescent="0.2">
      <c r="A15" s="20">
        <v>36617</v>
      </c>
      <c r="B15" s="64">
        <v>6.9021889999999999</v>
      </c>
      <c r="C15" s="64">
        <v>307.433527350632</v>
      </c>
      <c r="D15" s="65">
        <f t="shared" si="0"/>
        <v>25.701503760162325</v>
      </c>
      <c r="E15" s="69">
        <v>447487202.10000002</v>
      </c>
      <c r="F15" s="22">
        <v>5.3084578560110938</v>
      </c>
      <c r="G15" s="22">
        <f t="shared" si="1"/>
        <v>3.9548011027282648</v>
      </c>
      <c r="H15" s="22">
        <f t="shared" si="2"/>
        <v>1.7270286848855769</v>
      </c>
      <c r="I15" s="66">
        <v>43.669166666666662</v>
      </c>
    </row>
    <row r="16" spans="1:9" x14ac:dyDescent="0.2">
      <c r="A16" s="20">
        <v>36647</v>
      </c>
      <c r="B16" s="64">
        <v>6.7914000000000003</v>
      </c>
      <c r="C16" s="64">
        <v>303.22899100993175</v>
      </c>
      <c r="D16" s="65">
        <f t="shared" si="0"/>
        <v>25.326787226101036</v>
      </c>
      <c r="E16" s="69">
        <v>381389341.12800008</v>
      </c>
      <c r="F16" s="22">
        <v>5.2476113594243055</v>
      </c>
      <c r="G16" s="22">
        <f t="shared" si="1"/>
        <v>3.9094704627711079</v>
      </c>
      <c r="H16" s="22">
        <f t="shared" si="2"/>
        <v>1.7440147734421914</v>
      </c>
      <c r="I16" s="66">
        <v>44.61</v>
      </c>
    </row>
    <row r="17" spans="1:9" x14ac:dyDescent="0.2">
      <c r="A17" s="20">
        <v>36678</v>
      </c>
      <c r="B17" s="64">
        <v>6.7851489999999997</v>
      </c>
      <c r="C17" s="64">
        <v>303.22899198898597</v>
      </c>
      <c r="D17" s="65">
        <f t="shared" si="0"/>
        <v>25.326787313356274</v>
      </c>
      <c r="E17" s="69">
        <v>39123882.144000001</v>
      </c>
      <c r="F17" s="22">
        <v>5.2475143937152451</v>
      </c>
      <c r="G17" s="22">
        <f t="shared" si="1"/>
        <v>3.9093982233178575</v>
      </c>
      <c r="H17" s="22">
        <f t="shared" si="2"/>
        <v>1.7470774876822228</v>
      </c>
      <c r="I17" s="66">
        <v>44.689166666666665</v>
      </c>
    </row>
    <row r="18" spans="1:9" x14ac:dyDescent="0.2">
      <c r="A18" s="20">
        <v>36708</v>
      </c>
      <c r="B18" s="64">
        <v>6.866492</v>
      </c>
      <c r="C18" s="64">
        <v>306.16218961912222</v>
      </c>
      <c r="D18" s="65">
        <f t="shared" si="0"/>
        <v>25.588199645327791</v>
      </c>
      <c r="E18" s="69">
        <v>179474667.45599997</v>
      </c>
      <c r="F18" s="22">
        <v>5.2883473763124655</v>
      </c>
      <c r="G18" s="22">
        <f t="shared" si="1"/>
        <v>3.939818795352787</v>
      </c>
      <c r="H18" s="22">
        <f t="shared" si="2"/>
        <v>1.7865764963993107</v>
      </c>
      <c r="I18" s="66">
        <v>45.346666666666671</v>
      </c>
    </row>
    <row r="19" spans="1:9" x14ac:dyDescent="0.2">
      <c r="A19" s="20">
        <v>36739</v>
      </c>
      <c r="B19" s="64">
        <v>7.032883</v>
      </c>
      <c r="C19" s="64">
        <v>313.04466318501687</v>
      </c>
      <c r="D19" s="65">
        <f t="shared" si="0"/>
        <v>26.201579202882282</v>
      </c>
      <c r="E19" s="69">
        <v>231445114.42800003</v>
      </c>
      <c r="F19" s="22">
        <v>5.3854048350358834</v>
      </c>
      <c r="G19" s="22">
        <f t="shared" si="1"/>
        <v>4.0121266021017332</v>
      </c>
      <c r="H19" s="22">
        <f t="shared" si="2"/>
        <v>1.8402956036073632</v>
      </c>
      <c r="I19" s="66">
        <v>45.868333333333332</v>
      </c>
    </row>
    <row r="20" spans="1:9" x14ac:dyDescent="0.2">
      <c r="A20" s="20">
        <v>36770</v>
      </c>
      <c r="B20" s="64">
        <v>8.1393229999999992</v>
      </c>
      <c r="C20" s="64">
        <v>362.93618958308633</v>
      </c>
      <c r="D20" s="65">
        <f t="shared" si="0"/>
        <v>30.648009994772735</v>
      </c>
      <c r="E20" s="69">
        <v>257753632.05599999</v>
      </c>
      <c r="F20" s="22">
        <v>6.0930885278422213</v>
      </c>
      <c r="G20" s="22">
        <f t="shared" si="1"/>
        <v>4.5393509532424545</v>
      </c>
      <c r="H20" s="22">
        <f t="shared" si="2"/>
        <v>2.0952130883182756</v>
      </c>
      <c r="I20" s="66">
        <v>46.156666666666666</v>
      </c>
    </row>
    <row r="21" spans="1:9" x14ac:dyDescent="0.2">
      <c r="A21" s="20">
        <v>36800</v>
      </c>
      <c r="B21" s="64">
        <v>8.3934429999999995</v>
      </c>
      <c r="C21" s="64">
        <v>374.3835628518687</v>
      </c>
      <c r="D21" s="65">
        <f t="shared" si="0"/>
        <v>31.668222376780498</v>
      </c>
      <c r="E21" s="69">
        <v>267259145.29199994</v>
      </c>
      <c r="F21" s="22">
        <v>6.2547527715563032</v>
      </c>
      <c r="G21" s="22">
        <f t="shared" si="1"/>
        <v>4.6597908148094458</v>
      </c>
      <c r="H21" s="22">
        <f t="shared" si="2"/>
        <v>2.1832673230987187</v>
      </c>
      <c r="I21" s="66">
        <v>46.853333333333332</v>
      </c>
    </row>
    <row r="22" spans="1:9" x14ac:dyDescent="0.2">
      <c r="A22" s="20">
        <v>36831</v>
      </c>
      <c r="B22" s="64">
        <v>8.0647439999999992</v>
      </c>
      <c r="C22" s="64">
        <v>359.01103865004586</v>
      </c>
      <c r="D22" s="65">
        <f t="shared" si="0"/>
        <v>30.298192836800112</v>
      </c>
      <c r="E22" s="69">
        <v>184948831.28800005</v>
      </c>
      <c r="F22" s="22">
        <v>6.0365773027595777</v>
      </c>
      <c r="G22" s="22">
        <f t="shared" si="1"/>
        <v>4.4972500905558856</v>
      </c>
      <c r="H22" s="22">
        <f t="shared" si="2"/>
        <v>2.1080110257798954</v>
      </c>
      <c r="I22" s="66">
        <v>46.873333333333335</v>
      </c>
    </row>
    <row r="23" spans="1:9" x14ac:dyDescent="0.2">
      <c r="A23" s="20">
        <v>36861</v>
      </c>
      <c r="B23" s="64">
        <v>7.9896079999999996</v>
      </c>
      <c r="C23" s="64">
        <v>355.86495491159224</v>
      </c>
      <c r="D23" s="67">
        <f t="shared" si="0"/>
        <v>30.017807676865072</v>
      </c>
      <c r="E23" s="74">
        <v>179021281.10400003</v>
      </c>
      <c r="F23" s="4">
        <v>5.9921223862969635</v>
      </c>
      <c r="G23" s="4">
        <f t="shared" si="1"/>
        <v>4.4641311777912378</v>
      </c>
      <c r="H23" s="4">
        <f t="shared" si="2"/>
        <v>2.0848236770952422</v>
      </c>
      <c r="I23" s="68">
        <v>46.701667</v>
      </c>
    </row>
    <row r="24" spans="1:9" x14ac:dyDescent="0.2">
      <c r="A24" s="7" t="s">
        <v>1</v>
      </c>
      <c r="B24" s="8">
        <f>MIN(B4:B23)</f>
        <v>4.0928680000000002</v>
      </c>
      <c r="C24" s="8">
        <f>MIN(C4:C23)</f>
        <v>177.22052685542286</v>
      </c>
      <c r="D24" s="8">
        <f>MIN(D4:D23)</f>
        <v>14.096665489895491</v>
      </c>
      <c r="E24" s="23"/>
      <c r="F24" s="8">
        <f>MIN(F4:F23)</f>
        <v>3.4614409300492905</v>
      </c>
      <c r="G24" s="70">
        <f t="shared" si="1"/>
        <v>2.5787734928867216</v>
      </c>
      <c r="H24" s="70">
        <f t="shared" si="2"/>
        <v>1.1092594179652233</v>
      </c>
      <c r="I24" s="9">
        <f>MIN(I4:I23)</f>
        <v>43.015000000000001</v>
      </c>
    </row>
    <row r="25" spans="1:9" x14ac:dyDescent="0.2">
      <c r="A25" s="7" t="s">
        <v>2</v>
      </c>
      <c r="B25" s="8">
        <f>MAX(B4:B23)</f>
        <v>8.3934429999999995</v>
      </c>
      <c r="C25" s="8">
        <f>MAX(C4:C23)</f>
        <v>374.3835628518687</v>
      </c>
      <c r="D25" s="8">
        <f>MAX(D4:D23)</f>
        <v>31.668222376780498</v>
      </c>
      <c r="E25" s="23"/>
      <c r="F25" s="8">
        <f>MAX(F4:F23)</f>
        <v>6.2547527715563032</v>
      </c>
      <c r="G25" s="70">
        <f t="shared" si="1"/>
        <v>4.6597908148094458</v>
      </c>
      <c r="H25" s="70">
        <f t="shared" si="2"/>
        <v>2.1841992812616811</v>
      </c>
      <c r="I25" s="9">
        <f>MAX(I4:I23)</f>
        <v>46.873333333333335</v>
      </c>
    </row>
    <row r="26" spans="1:9" x14ac:dyDescent="0.2">
      <c r="A26" s="7" t="s">
        <v>5</v>
      </c>
      <c r="B26" s="8">
        <f>AVERAGE(B4:B23)</f>
        <v>6.5420639499999993</v>
      </c>
      <c r="C26" s="8">
        <f>AVERAGE(C4:C23)</f>
        <v>291.77705555315094</v>
      </c>
      <c r="D26" s="8">
        <f>AVERAGE(D4:D23)</f>
        <v>24.306168252941241</v>
      </c>
      <c r="E26" s="23"/>
      <c r="F26" s="8">
        <f>AVERAGE(F4:F23)</f>
        <v>5.0853380696852604</v>
      </c>
      <c r="G26" s="70">
        <f t="shared" si="1"/>
        <v>3.7885768619155193</v>
      </c>
      <c r="H26" s="70">
        <f t="shared" si="2"/>
        <v>1.6840429372108801</v>
      </c>
      <c r="I26" s="9">
        <f>AVERAGE(I4:I23)</f>
        <v>44.450541683333341</v>
      </c>
    </row>
    <row r="27" spans="1:9" x14ac:dyDescent="0.2">
      <c r="A27" s="10" t="s">
        <v>6</v>
      </c>
      <c r="B27" s="11">
        <f>SUMPRODUCT(B4:B23,E4:E23)/SUM(E4:E23)</f>
        <v>6.527992146572128</v>
      </c>
      <c r="C27" s="11">
        <f>SUMPRODUCT(C4:C23,E4:E23)/SUM(E4:E23)</f>
        <v>291.29866206973293</v>
      </c>
      <c r="D27" s="11">
        <f>SUMPRODUCT(D4:D23,E4:E23)/SUM(E4:E23)</f>
        <v>24.263532886399492</v>
      </c>
      <c r="E27" s="54"/>
      <c r="F27" s="54"/>
      <c r="G27" s="54"/>
      <c r="H27" s="54"/>
      <c r="I27" s="72"/>
    </row>
    <row r="29" spans="1:9" x14ac:dyDescent="0.2">
      <c r="A29" s="58" t="s">
        <v>80</v>
      </c>
    </row>
    <row r="30" spans="1:9" x14ac:dyDescent="0.2">
      <c r="A30" s="59" t="s">
        <v>81</v>
      </c>
    </row>
    <row r="31" spans="1:9" x14ac:dyDescent="0.2">
      <c r="A31" s="60" t="s">
        <v>79</v>
      </c>
    </row>
    <row r="32" spans="1:9" x14ac:dyDescent="0.2">
      <c r="A32" s="60" t="s">
        <v>78</v>
      </c>
    </row>
    <row r="33" spans="2:2" x14ac:dyDescent="0.2">
      <c r="B33" s="61">
        <v>0.98497593999999999</v>
      </c>
    </row>
    <row r="34" spans="2:2" x14ac:dyDescent="0.2">
      <c r="B34" s="61">
        <v>0.31286950899999999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topLeftCell="A8" workbookViewId="0">
      <selection activeCell="F38" sqref="F38"/>
    </sheetView>
  </sheetViews>
  <sheetFormatPr defaultRowHeight="12.75" x14ac:dyDescent="0.2"/>
  <cols>
    <col min="2" max="2" width="26.28515625" bestFit="1" customWidth="1"/>
    <col min="6" max="6" width="10.28515625" bestFit="1" customWidth="1"/>
  </cols>
  <sheetData>
    <row r="3" spans="2:4" x14ac:dyDescent="0.2">
      <c r="B3" s="13" t="s">
        <v>97</v>
      </c>
      <c r="C3">
        <v>40700</v>
      </c>
      <c r="D3" t="s">
        <v>85</v>
      </c>
    </row>
    <row r="4" spans="2:4" x14ac:dyDescent="0.2">
      <c r="C4">
        <v>1.06</v>
      </c>
    </row>
    <row r="5" spans="2:4" x14ac:dyDescent="0.2">
      <c r="C5">
        <f>C4*C3</f>
        <v>43142</v>
      </c>
      <c r="D5" t="s">
        <v>86</v>
      </c>
    </row>
    <row r="7" spans="2:4" x14ac:dyDescent="0.2">
      <c r="B7" t="s">
        <v>87</v>
      </c>
      <c r="C7">
        <v>16912</v>
      </c>
      <c r="D7" t="s">
        <v>88</v>
      </c>
    </row>
    <row r="8" spans="2:4" x14ac:dyDescent="0.2">
      <c r="B8" t="s">
        <v>89</v>
      </c>
      <c r="C8" s="75">
        <f>C7*1.01</f>
        <v>17081.12</v>
      </c>
      <c r="D8" t="s">
        <v>88</v>
      </c>
    </row>
    <row r="9" spans="2:4" x14ac:dyDescent="0.2">
      <c r="B9" t="s">
        <v>90</v>
      </c>
      <c r="C9">
        <v>0.82</v>
      </c>
    </row>
    <row r="10" spans="2:4" x14ac:dyDescent="0.2">
      <c r="B10" t="s">
        <v>91</v>
      </c>
      <c r="C10">
        <f>C8/C9</f>
        <v>20830.634146341465</v>
      </c>
      <c r="D10" t="s">
        <v>92</v>
      </c>
    </row>
    <row r="11" spans="2:4" x14ac:dyDescent="0.2">
      <c r="B11" t="s">
        <v>94</v>
      </c>
      <c r="C11" s="1">
        <f>C10/43.45</f>
        <v>479.41620589968846</v>
      </c>
      <c r="D11" t="s">
        <v>95</v>
      </c>
    </row>
    <row r="12" spans="2:4" x14ac:dyDescent="0.2">
      <c r="B12" t="s">
        <v>100</v>
      </c>
      <c r="C12" s="77">
        <f>C11/47</f>
        <v>10.20034480637635</v>
      </c>
      <c r="D12" t="s">
        <v>96</v>
      </c>
    </row>
    <row r="13" spans="2:4" x14ac:dyDescent="0.2">
      <c r="B13" t="s">
        <v>101</v>
      </c>
      <c r="C13" s="1">
        <f>C12*1.06</f>
        <v>10.812365494758932</v>
      </c>
      <c r="D13" t="s">
        <v>96</v>
      </c>
    </row>
    <row r="15" spans="2:4" x14ac:dyDescent="0.2">
      <c r="B15" s="13" t="s">
        <v>93</v>
      </c>
    </row>
    <row r="16" spans="2:4" x14ac:dyDescent="0.2">
      <c r="B16" s="13"/>
    </row>
    <row r="17" spans="2:6" x14ac:dyDescent="0.2">
      <c r="B17" t="s">
        <v>87</v>
      </c>
      <c r="C17">
        <v>12708</v>
      </c>
      <c r="D17" t="s">
        <v>88</v>
      </c>
    </row>
    <row r="18" spans="2:6" x14ac:dyDescent="0.2">
      <c r="B18" t="s">
        <v>89</v>
      </c>
      <c r="C18" s="75">
        <f>C17*1.01</f>
        <v>12835.08</v>
      </c>
      <c r="D18" t="s">
        <v>88</v>
      </c>
    </row>
    <row r="19" spans="2:6" x14ac:dyDescent="0.2">
      <c r="B19" t="s">
        <v>90</v>
      </c>
      <c r="C19">
        <v>0.92</v>
      </c>
    </row>
    <row r="20" spans="2:6" x14ac:dyDescent="0.2">
      <c r="B20" t="s">
        <v>91</v>
      </c>
      <c r="C20" s="75">
        <f>C18/C19</f>
        <v>13951.173913043478</v>
      </c>
      <c r="D20" t="s">
        <v>92</v>
      </c>
    </row>
    <row r="21" spans="2:6" x14ac:dyDescent="0.2">
      <c r="B21" t="s">
        <v>94</v>
      </c>
      <c r="C21" s="1">
        <f>C20/39.69</f>
        <v>351.50349995070491</v>
      </c>
      <c r="D21" t="s">
        <v>95</v>
      </c>
    </row>
    <row r="22" spans="2:6" x14ac:dyDescent="0.2">
      <c r="B22" t="s">
        <v>100</v>
      </c>
      <c r="C22" s="77">
        <f>C21/47</f>
        <v>7.4787978712915937</v>
      </c>
      <c r="D22" t="s">
        <v>96</v>
      </c>
    </row>
    <row r="23" spans="2:6" x14ac:dyDescent="0.2">
      <c r="B23" t="s">
        <v>101</v>
      </c>
      <c r="C23" s="78">
        <f>C22*1.055</f>
        <v>7.8901317542126312</v>
      </c>
      <c r="D23" t="s">
        <v>96</v>
      </c>
    </row>
    <row r="25" spans="2:6" x14ac:dyDescent="0.2">
      <c r="B25" s="13" t="s">
        <v>98</v>
      </c>
    </row>
    <row r="27" spans="2:6" x14ac:dyDescent="0.2">
      <c r="B27" t="s">
        <v>102</v>
      </c>
    </row>
    <row r="28" spans="2:6" x14ac:dyDescent="0.2">
      <c r="B28" t="s">
        <v>100</v>
      </c>
      <c r="C28" s="77">
        <v>6.79</v>
      </c>
      <c r="D28" t="s">
        <v>96</v>
      </c>
    </row>
    <row r="29" spans="2:6" x14ac:dyDescent="0.2">
      <c r="B29" t="s">
        <v>101</v>
      </c>
      <c r="C29" s="77">
        <f>C28*1.08</f>
        <v>7.3332000000000006</v>
      </c>
      <c r="D29" t="s">
        <v>96</v>
      </c>
      <c r="F29" s="78">
        <f>(C29*7605/1.08)/10000</f>
        <v>5.1637949999999995</v>
      </c>
    </row>
    <row r="30" spans="2:6" x14ac:dyDescent="0.2">
      <c r="C30" s="77"/>
    </row>
    <row r="31" spans="2:6" x14ac:dyDescent="0.2">
      <c r="B31" s="13" t="s">
        <v>99</v>
      </c>
    </row>
    <row r="33" spans="2:6" x14ac:dyDescent="0.2">
      <c r="B33" t="s">
        <v>102</v>
      </c>
    </row>
    <row r="34" spans="2:6" x14ac:dyDescent="0.2">
      <c r="B34" t="s">
        <v>100</v>
      </c>
      <c r="C34" s="77">
        <v>5.25</v>
      </c>
      <c r="D34" t="s">
        <v>96</v>
      </c>
    </row>
    <row r="35" spans="2:6" x14ac:dyDescent="0.2">
      <c r="B35" t="s">
        <v>101</v>
      </c>
      <c r="C35" s="77">
        <f>C34*1.105</f>
        <v>5.8012499999999996</v>
      </c>
      <c r="D35" t="s">
        <v>96</v>
      </c>
      <c r="F35" s="76">
        <f>(C35*7450/1.105)/10000</f>
        <v>3.9112499999999999</v>
      </c>
    </row>
    <row r="37" spans="2:6" x14ac:dyDescent="0.2">
      <c r="F37" s="7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showGridLines="0" tabSelected="1" topLeftCell="A27" workbookViewId="0">
      <selection activeCell="N19" sqref="N19"/>
    </sheetView>
  </sheetViews>
  <sheetFormatPr defaultRowHeight="12.75" x14ac:dyDescent="0.2"/>
  <cols>
    <col min="1" max="1" width="25.42578125" customWidth="1"/>
    <col min="2" max="2" width="10.5703125" customWidth="1"/>
    <col min="3" max="3" width="11.85546875" customWidth="1"/>
    <col min="4" max="4" width="14.28515625" customWidth="1"/>
    <col min="5" max="6" width="19.140625" bestFit="1" customWidth="1"/>
    <col min="7" max="7" width="28" customWidth="1"/>
    <col min="8" max="9" width="32.42578125" bestFit="1" customWidth="1"/>
    <col min="10" max="10" width="24.5703125" bestFit="1" customWidth="1"/>
    <col min="11" max="11" width="23.5703125" customWidth="1"/>
    <col min="12" max="12" width="19.85546875" customWidth="1"/>
    <col min="13" max="13" width="9.28515625" customWidth="1"/>
  </cols>
  <sheetData>
    <row r="1" spans="1:12" x14ac:dyDescent="0.2">
      <c r="A1" s="13" t="s">
        <v>11</v>
      </c>
    </row>
    <row r="2" spans="1:12" x14ac:dyDescent="0.2">
      <c r="A2" s="13"/>
      <c r="D2" s="28" t="s">
        <v>15</v>
      </c>
    </row>
    <row r="3" spans="1:12" x14ac:dyDescent="0.2">
      <c r="A3" s="6" t="s">
        <v>74</v>
      </c>
      <c r="B3" s="19"/>
      <c r="C3" s="19"/>
      <c r="D3" s="55">
        <f>SUM(D9:D40)</f>
        <v>267.05</v>
      </c>
    </row>
    <row r="4" spans="1:12" x14ac:dyDescent="0.2">
      <c r="A4" s="7" t="s">
        <v>75</v>
      </c>
      <c r="B4" s="23"/>
      <c r="C4" s="23"/>
      <c r="D4" s="56">
        <f>SUM(D43:D50)</f>
        <v>330.3</v>
      </c>
    </row>
    <row r="5" spans="1:12" ht="13.5" thickBot="1" x14ac:dyDescent="0.25">
      <c r="A5" s="10" t="s">
        <v>76</v>
      </c>
      <c r="B5" s="54"/>
      <c r="C5" s="54"/>
      <c r="D5" s="57">
        <f>SUM(D3:D4)</f>
        <v>597.35</v>
      </c>
    </row>
    <row r="6" spans="1:12" ht="13.5" thickBot="1" x14ac:dyDescent="0.25">
      <c r="A6" s="13"/>
      <c r="D6" s="53"/>
      <c r="H6" s="80" t="s">
        <v>108</v>
      </c>
      <c r="I6" s="81">
        <v>0.5</v>
      </c>
    </row>
    <row r="7" spans="1:12" ht="13.5" thickBot="1" x14ac:dyDescent="0.25">
      <c r="A7" s="13"/>
    </row>
    <row r="8" spans="1:12" ht="13.5" thickBot="1" x14ac:dyDescent="0.25">
      <c r="A8" s="31" t="s">
        <v>12</v>
      </c>
      <c r="B8" s="32" t="s">
        <v>13</v>
      </c>
      <c r="C8" s="32" t="s">
        <v>14</v>
      </c>
      <c r="D8" s="33" t="s">
        <v>15</v>
      </c>
      <c r="E8" s="33" t="s">
        <v>103</v>
      </c>
      <c r="F8" s="33" t="s">
        <v>104</v>
      </c>
      <c r="G8" s="33" t="s">
        <v>105</v>
      </c>
      <c r="H8" s="79" t="s">
        <v>106</v>
      </c>
      <c r="I8" s="79" t="s">
        <v>107</v>
      </c>
      <c r="J8" s="79" t="s">
        <v>120</v>
      </c>
      <c r="K8" s="79" t="s">
        <v>121</v>
      </c>
    </row>
    <row r="9" spans="1:12" x14ac:dyDescent="0.2">
      <c r="A9" s="34" t="s">
        <v>16</v>
      </c>
      <c r="B9" s="35" t="s">
        <v>17</v>
      </c>
      <c r="C9" s="35" t="s">
        <v>18</v>
      </c>
      <c r="D9" s="36">
        <v>34.5</v>
      </c>
      <c r="E9">
        <f>F9*3.969</f>
        <v>8731.7999999999993</v>
      </c>
      <c r="F9">
        <v>2200</v>
      </c>
      <c r="G9" s="76">
        <f>(E9*'Price-Differentials'!$C$23)/10000</f>
        <v>6.8895052451433845</v>
      </c>
      <c r="H9">
        <v>5.16</v>
      </c>
      <c r="I9">
        <v>3.91</v>
      </c>
      <c r="J9" s="78">
        <f>(G9-H9)*D9</f>
        <v>59.667930957446757</v>
      </c>
      <c r="K9" s="78">
        <f>(G9-I9)*D9</f>
        <v>102.79293095744676</v>
      </c>
    </row>
    <row r="10" spans="1:12" x14ac:dyDescent="0.2">
      <c r="A10" s="37" t="s">
        <v>19</v>
      </c>
      <c r="B10" s="38" t="s">
        <v>20</v>
      </c>
      <c r="C10" s="38" t="s">
        <v>18</v>
      </c>
      <c r="D10" s="39">
        <v>30</v>
      </c>
      <c r="E10">
        <f t="shared" ref="E10:E50" si="0">F10*3.969</f>
        <v>8731.7999999999993</v>
      </c>
      <c r="F10">
        <v>2200</v>
      </c>
      <c r="G10" s="76">
        <f>(E10*'Price-Differentials'!$C$23)/10000</f>
        <v>6.8895052451433845</v>
      </c>
      <c r="H10">
        <v>5.16</v>
      </c>
      <c r="I10">
        <v>3.91</v>
      </c>
      <c r="J10" s="78">
        <f t="shared" ref="J10:J50" si="1">(G10-H10)*D10</f>
        <v>51.885157354301526</v>
      </c>
      <c r="K10" s="78">
        <f t="shared" ref="K10:K50" si="2">(G10-I10)*D10</f>
        <v>89.385157354301526</v>
      </c>
      <c r="L10" s="1"/>
    </row>
    <row r="11" spans="1:12" x14ac:dyDescent="0.2">
      <c r="A11" s="37" t="s">
        <v>21</v>
      </c>
      <c r="B11" s="38" t="s">
        <v>22</v>
      </c>
      <c r="C11" s="38" t="s">
        <v>18</v>
      </c>
      <c r="D11" s="39">
        <v>24</v>
      </c>
      <c r="E11">
        <f t="shared" si="0"/>
        <v>8731.7999999999993</v>
      </c>
      <c r="F11">
        <v>2200</v>
      </c>
      <c r="G11" s="76">
        <f>(E11*'Price-Differentials'!$C$23)/10000</f>
        <v>6.8895052451433845</v>
      </c>
      <c r="H11">
        <v>5.16</v>
      </c>
      <c r="I11">
        <v>3.91</v>
      </c>
      <c r="J11" s="78">
        <f t="shared" si="1"/>
        <v>41.508125883441224</v>
      </c>
      <c r="K11" s="78">
        <f t="shared" si="2"/>
        <v>71.508125883441224</v>
      </c>
      <c r="L11" s="1"/>
    </row>
    <row r="12" spans="1:12" x14ac:dyDescent="0.2">
      <c r="A12" s="37" t="s">
        <v>23</v>
      </c>
      <c r="B12" s="38" t="s">
        <v>20</v>
      </c>
      <c r="C12" s="38" t="s">
        <v>18</v>
      </c>
      <c r="D12" s="39">
        <v>19.2</v>
      </c>
      <c r="E12">
        <f t="shared" si="0"/>
        <v>8731.7999999999993</v>
      </c>
      <c r="F12">
        <v>2200</v>
      </c>
      <c r="G12" s="76">
        <f>(E12*'Price-Differentials'!$C$23)/10000</f>
        <v>6.8895052451433845</v>
      </c>
      <c r="H12">
        <v>5.16</v>
      </c>
      <c r="I12">
        <v>3.91</v>
      </c>
      <c r="J12" s="78">
        <f t="shared" si="1"/>
        <v>33.206500706752976</v>
      </c>
      <c r="K12" s="78">
        <f t="shared" si="2"/>
        <v>57.206500706752976</v>
      </c>
      <c r="L12" s="1"/>
    </row>
    <row r="13" spans="1:12" x14ac:dyDescent="0.2">
      <c r="A13" s="37" t="s">
        <v>24</v>
      </c>
      <c r="B13" s="38" t="s">
        <v>25</v>
      </c>
      <c r="C13" s="38" t="s">
        <v>18</v>
      </c>
      <c r="D13" s="39">
        <v>17.899999999999999</v>
      </c>
      <c r="E13">
        <f t="shared" si="0"/>
        <v>8731.7999999999993</v>
      </c>
      <c r="F13">
        <v>2200</v>
      </c>
      <c r="G13" s="76">
        <f>(E13*'Price-Differentials'!$C$23)/10000</f>
        <v>6.8895052451433845</v>
      </c>
      <c r="H13">
        <v>5.16</v>
      </c>
      <c r="I13">
        <v>3.91</v>
      </c>
      <c r="J13" s="78">
        <f t="shared" si="1"/>
        <v>30.958143888066576</v>
      </c>
      <c r="K13" s="78">
        <f t="shared" si="2"/>
        <v>53.333143888066573</v>
      </c>
      <c r="L13" s="1"/>
    </row>
    <row r="14" spans="1:12" x14ac:dyDescent="0.2">
      <c r="A14" s="37" t="s">
        <v>26</v>
      </c>
      <c r="B14" s="38" t="s">
        <v>27</v>
      </c>
      <c r="C14" s="38" t="s">
        <v>18</v>
      </c>
      <c r="D14" s="39">
        <v>15</v>
      </c>
      <c r="E14">
        <f t="shared" si="0"/>
        <v>8731.7999999999993</v>
      </c>
      <c r="F14">
        <v>2200</v>
      </c>
      <c r="G14" s="76">
        <f>(E14*'Price-Differentials'!$C$23)/10000</f>
        <v>6.8895052451433845</v>
      </c>
      <c r="H14">
        <v>5.16</v>
      </c>
      <c r="I14">
        <v>3.91</v>
      </c>
      <c r="J14" s="78">
        <f t="shared" si="1"/>
        <v>25.942578677150763</v>
      </c>
      <c r="K14" s="78">
        <f t="shared" si="2"/>
        <v>44.692578677150763</v>
      </c>
      <c r="L14" s="1"/>
    </row>
    <row r="15" spans="1:12" x14ac:dyDescent="0.2">
      <c r="A15" s="37" t="s">
        <v>28</v>
      </c>
      <c r="B15" s="38" t="s">
        <v>29</v>
      </c>
      <c r="C15" s="38" t="s">
        <v>18</v>
      </c>
      <c r="D15" s="39">
        <v>12</v>
      </c>
      <c r="E15">
        <f t="shared" si="0"/>
        <v>8731.7999999999993</v>
      </c>
      <c r="F15">
        <v>2200</v>
      </c>
      <c r="G15" s="76">
        <f>(E15*'Price-Differentials'!$C$23)/10000</f>
        <v>6.8895052451433845</v>
      </c>
      <c r="H15">
        <v>5.16</v>
      </c>
      <c r="I15">
        <v>3.91</v>
      </c>
      <c r="J15" s="78">
        <f t="shared" si="1"/>
        <v>20.754062941720612</v>
      </c>
      <c r="K15" s="78">
        <f t="shared" si="2"/>
        <v>35.754062941720612</v>
      </c>
      <c r="L15" s="1"/>
    </row>
    <row r="16" spans="1:12" x14ac:dyDescent="0.2">
      <c r="A16" s="37" t="s">
        <v>30</v>
      </c>
      <c r="B16" s="38" t="s">
        <v>20</v>
      </c>
      <c r="C16" s="38" t="s">
        <v>18</v>
      </c>
      <c r="D16" s="39">
        <v>11.2</v>
      </c>
      <c r="E16">
        <f t="shared" si="0"/>
        <v>8731.7999999999993</v>
      </c>
      <c r="F16">
        <v>2200</v>
      </c>
      <c r="G16" s="76">
        <f>(E16*'Price-Differentials'!$C$23)/10000</f>
        <v>6.8895052451433845</v>
      </c>
      <c r="H16">
        <v>5.16</v>
      </c>
      <c r="I16">
        <v>3.91</v>
      </c>
      <c r="J16" s="78">
        <f t="shared" si="1"/>
        <v>19.370458745605902</v>
      </c>
      <c r="K16" s="78">
        <f t="shared" si="2"/>
        <v>33.370458745605902</v>
      </c>
      <c r="L16" s="1"/>
    </row>
    <row r="17" spans="1:12" x14ac:dyDescent="0.2">
      <c r="A17" s="37" t="s">
        <v>31</v>
      </c>
      <c r="B17" s="38" t="s">
        <v>32</v>
      </c>
      <c r="C17" s="38" t="s">
        <v>18</v>
      </c>
      <c r="D17" s="39">
        <v>8.5</v>
      </c>
      <c r="E17">
        <f t="shared" si="0"/>
        <v>9128.6999999999989</v>
      </c>
      <c r="F17">
        <v>2300</v>
      </c>
      <c r="G17" s="76">
        <f>(E17*'Price-Differentials'!$C$23)/10000</f>
        <v>7.2026645744680833</v>
      </c>
      <c r="H17">
        <v>5.16</v>
      </c>
      <c r="I17">
        <v>3.91</v>
      </c>
      <c r="J17" s="78">
        <f t="shared" si="1"/>
        <v>17.362648882978707</v>
      </c>
      <c r="K17" s="78">
        <f t="shared" si="2"/>
        <v>27.987648882978707</v>
      </c>
      <c r="L17" s="1"/>
    </row>
    <row r="18" spans="1:12" x14ac:dyDescent="0.2">
      <c r="A18" s="37" t="s">
        <v>33</v>
      </c>
      <c r="B18" s="38" t="s">
        <v>34</v>
      </c>
      <c r="C18" s="38" t="s">
        <v>18</v>
      </c>
      <c r="D18" s="39">
        <v>7</v>
      </c>
      <c r="E18">
        <f t="shared" si="0"/>
        <v>9128.6999999999989</v>
      </c>
      <c r="F18">
        <v>2300</v>
      </c>
      <c r="G18" s="76">
        <f>(E18*'Price-Differentials'!$C$23)/10000</f>
        <v>7.2026645744680833</v>
      </c>
      <c r="H18">
        <v>5.16</v>
      </c>
      <c r="I18">
        <v>3.91</v>
      </c>
      <c r="J18" s="78">
        <f t="shared" si="1"/>
        <v>14.298652021276581</v>
      </c>
      <c r="K18" s="78">
        <f t="shared" si="2"/>
        <v>23.048652021276581</v>
      </c>
      <c r="L18" s="1"/>
    </row>
    <row r="19" spans="1:12" x14ac:dyDescent="0.2">
      <c r="A19" s="37" t="s">
        <v>35</v>
      </c>
      <c r="B19" s="38" t="s">
        <v>17</v>
      </c>
      <c r="C19" s="38" t="s">
        <v>18</v>
      </c>
      <c r="D19" s="39">
        <v>7</v>
      </c>
      <c r="E19">
        <f t="shared" si="0"/>
        <v>9128.6999999999989</v>
      </c>
      <c r="F19">
        <v>2300</v>
      </c>
      <c r="G19" s="76">
        <f>(E19*'Price-Differentials'!$C$23)/10000</f>
        <v>7.2026645744680833</v>
      </c>
      <c r="H19">
        <v>5.16</v>
      </c>
      <c r="I19">
        <v>3.91</v>
      </c>
      <c r="J19" s="78">
        <f t="shared" si="1"/>
        <v>14.298652021276581</v>
      </c>
      <c r="K19" s="78">
        <f t="shared" si="2"/>
        <v>23.048652021276581</v>
      </c>
      <c r="L19" s="1"/>
    </row>
    <row r="20" spans="1:12" x14ac:dyDescent="0.2">
      <c r="A20" s="37" t="s">
        <v>36</v>
      </c>
      <c r="B20" s="38" t="s">
        <v>20</v>
      </c>
      <c r="C20" s="38" t="s">
        <v>18</v>
      </c>
      <c r="D20" s="39">
        <v>6.4</v>
      </c>
      <c r="E20">
        <f t="shared" si="0"/>
        <v>9128.6999999999989</v>
      </c>
      <c r="F20">
        <v>2300</v>
      </c>
      <c r="G20" s="76">
        <f>(E20*'Price-Differentials'!$C$23)/10000</f>
        <v>7.2026645744680833</v>
      </c>
      <c r="H20">
        <v>5.16</v>
      </c>
      <c r="I20">
        <v>3.91</v>
      </c>
      <c r="J20" s="78">
        <f t="shared" si="1"/>
        <v>13.073053276595733</v>
      </c>
      <c r="K20" s="78">
        <f t="shared" si="2"/>
        <v>21.073053276595733</v>
      </c>
      <c r="L20" s="1"/>
    </row>
    <row r="21" spans="1:12" x14ac:dyDescent="0.2">
      <c r="A21" s="37" t="s">
        <v>37</v>
      </c>
      <c r="B21" s="38" t="s">
        <v>38</v>
      </c>
      <c r="C21" s="38" t="s">
        <v>18</v>
      </c>
      <c r="D21" s="39">
        <v>6.4</v>
      </c>
      <c r="E21">
        <f t="shared" si="0"/>
        <v>9128.6999999999989</v>
      </c>
      <c r="F21">
        <v>2300</v>
      </c>
      <c r="G21" s="76">
        <f>(E21*'Price-Differentials'!$C$23)/10000</f>
        <v>7.2026645744680833</v>
      </c>
      <c r="H21">
        <v>5.16</v>
      </c>
      <c r="I21">
        <v>3.91</v>
      </c>
      <c r="J21" s="78">
        <f t="shared" si="1"/>
        <v>13.073053276595733</v>
      </c>
      <c r="K21" s="78">
        <f t="shared" si="2"/>
        <v>21.073053276595733</v>
      </c>
      <c r="L21" s="1"/>
    </row>
    <row r="22" spans="1:12" x14ac:dyDescent="0.2">
      <c r="A22" s="37" t="s">
        <v>39</v>
      </c>
      <c r="B22" s="38" t="s">
        <v>20</v>
      </c>
      <c r="C22" s="38" t="s">
        <v>18</v>
      </c>
      <c r="D22" s="39">
        <v>6.2</v>
      </c>
      <c r="E22">
        <f t="shared" si="0"/>
        <v>9128.6999999999989</v>
      </c>
      <c r="F22">
        <v>2300</v>
      </c>
      <c r="G22" s="76">
        <f>(E22*'Price-Differentials'!$C$23)/10000</f>
        <v>7.2026645744680833</v>
      </c>
      <c r="H22">
        <v>5.16</v>
      </c>
      <c r="I22">
        <v>3.91</v>
      </c>
      <c r="J22" s="78">
        <f t="shared" si="1"/>
        <v>12.664520361702117</v>
      </c>
      <c r="K22" s="78">
        <f t="shared" si="2"/>
        <v>20.414520361702117</v>
      </c>
      <c r="L22" s="1"/>
    </row>
    <row r="23" spans="1:12" x14ac:dyDescent="0.2">
      <c r="A23" s="37" t="s">
        <v>40</v>
      </c>
      <c r="B23" s="38" t="s">
        <v>20</v>
      </c>
      <c r="C23" s="38" t="s">
        <v>18</v>
      </c>
      <c r="D23" s="39">
        <v>6</v>
      </c>
      <c r="E23">
        <f t="shared" si="0"/>
        <v>9128.6999999999989</v>
      </c>
      <c r="F23">
        <v>2300</v>
      </c>
      <c r="G23" s="76">
        <f>(E23*'Price-Differentials'!$C$23)/10000</f>
        <v>7.2026645744680833</v>
      </c>
      <c r="H23">
        <v>5.16</v>
      </c>
      <c r="I23">
        <v>3.91</v>
      </c>
      <c r="J23" s="78">
        <f t="shared" si="1"/>
        <v>12.255987446808499</v>
      </c>
      <c r="K23" s="78">
        <f t="shared" si="2"/>
        <v>19.755987446808497</v>
      </c>
      <c r="L23" s="1"/>
    </row>
    <row r="24" spans="1:12" x14ac:dyDescent="0.2">
      <c r="A24" s="37" t="s">
        <v>41</v>
      </c>
      <c r="B24" s="38" t="s">
        <v>38</v>
      </c>
      <c r="C24" s="38" t="s">
        <v>18</v>
      </c>
      <c r="D24" s="39">
        <v>5.4</v>
      </c>
      <c r="E24">
        <f t="shared" si="0"/>
        <v>9128.6999999999989</v>
      </c>
      <c r="F24">
        <v>2300</v>
      </c>
      <c r="G24" s="76">
        <f>(E24*'Price-Differentials'!$C$23)/10000</f>
        <v>7.2026645744680833</v>
      </c>
      <c r="H24">
        <v>5.16</v>
      </c>
      <c r="I24">
        <v>3.91</v>
      </c>
      <c r="J24" s="78">
        <f t="shared" si="1"/>
        <v>11.030388702127651</v>
      </c>
      <c r="K24" s="78">
        <f t="shared" si="2"/>
        <v>17.780388702127649</v>
      </c>
      <c r="L24" s="1"/>
    </row>
    <row r="25" spans="1:12" x14ac:dyDescent="0.2">
      <c r="A25" s="37" t="s">
        <v>42</v>
      </c>
      <c r="B25" s="38" t="s">
        <v>43</v>
      </c>
      <c r="C25" s="38" t="s">
        <v>18</v>
      </c>
      <c r="D25" s="39">
        <v>5</v>
      </c>
      <c r="E25">
        <f t="shared" si="0"/>
        <v>9128.6999999999989</v>
      </c>
      <c r="F25">
        <v>2300</v>
      </c>
      <c r="G25" s="76">
        <f>(E25*'Price-Differentials'!$C$23)/10000</f>
        <v>7.2026645744680833</v>
      </c>
      <c r="H25">
        <v>5.16</v>
      </c>
      <c r="I25">
        <v>3.91</v>
      </c>
      <c r="J25" s="78">
        <f t="shared" si="1"/>
        <v>10.213322872340417</v>
      </c>
      <c r="K25" s="78">
        <f t="shared" si="2"/>
        <v>16.463322872340417</v>
      </c>
      <c r="L25" s="1"/>
    </row>
    <row r="26" spans="1:12" x14ac:dyDescent="0.2">
      <c r="A26" s="37" t="s">
        <v>44</v>
      </c>
      <c r="B26" s="38" t="s">
        <v>20</v>
      </c>
      <c r="C26" s="38" t="s">
        <v>18</v>
      </c>
      <c r="D26" s="39">
        <v>4.3</v>
      </c>
      <c r="E26">
        <f t="shared" si="0"/>
        <v>9128.6999999999989</v>
      </c>
      <c r="F26">
        <v>2300</v>
      </c>
      <c r="G26" s="76">
        <f>(E26*'Price-Differentials'!$C$23)/10000</f>
        <v>7.2026645744680833</v>
      </c>
      <c r="H26">
        <v>5.16</v>
      </c>
      <c r="I26">
        <v>3.91</v>
      </c>
      <c r="J26" s="78">
        <f t="shared" si="1"/>
        <v>8.7834576702127567</v>
      </c>
      <c r="K26" s="78">
        <f t="shared" si="2"/>
        <v>14.158457670212757</v>
      </c>
      <c r="L26" s="1"/>
    </row>
    <row r="27" spans="1:12" x14ac:dyDescent="0.2">
      <c r="A27" s="37" t="s">
        <v>45</v>
      </c>
      <c r="B27" s="38" t="s">
        <v>32</v>
      </c>
      <c r="C27" s="38" t="s">
        <v>18</v>
      </c>
      <c r="D27" s="39">
        <v>4.25</v>
      </c>
      <c r="E27">
        <f t="shared" si="0"/>
        <v>9128.6999999999989</v>
      </c>
      <c r="F27">
        <v>2300</v>
      </c>
      <c r="G27" s="76">
        <f>(E27*'Price-Differentials'!$C$23)/10000</f>
        <v>7.2026645744680833</v>
      </c>
      <c r="H27">
        <v>5.16</v>
      </c>
      <c r="I27">
        <v>3.91</v>
      </c>
      <c r="J27" s="78">
        <f t="shared" si="1"/>
        <v>8.6813244414893536</v>
      </c>
      <c r="K27" s="78">
        <f t="shared" si="2"/>
        <v>13.993824441489354</v>
      </c>
      <c r="L27" s="1"/>
    </row>
    <row r="28" spans="1:12" x14ac:dyDescent="0.2">
      <c r="A28" s="37" t="s">
        <v>46</v>
      </c>
      <c r="B28" s="38" t="s">
        <v>32</v>
      </c>
      <c r="C28" s="38" t="s">
        <v>18</v>
      </c>
      <c r="D28" s="39">
        <v>4.2</v>
      </c>
      <c r="E28">
        <f t="shared" si="0"/>
        <v>9128.6999999999989</v>
      </c>
      <c r="F28">
        <v>2300</v>
      </c>
      <c r="G28" s="76">
        <f>(E28*'Price-Differentials'!$C$23)/10000</f>
        <v>7.2026645744680833</v>
      </c>
      <c r="H28">
        <v>5.16</v>
      </c>
      <c r="I28">
        <v>3.91</v>
      </c>
      <c r="J28" s="78">
        <f t="shared" si="1"/>
        <v>8.5791912127659504</v>
      </c>
      <c r="K28" s="78">
        <f t="shared" si="2"/>
        <v>13.82919121276595</v>
      </c>
      <c r="L28" s="1"/>
    </row>
    <row r="29" spans="1:12" x14ac:dyDescent="0.2">
      <c r="A29" s="37" t="s">
        <v>47</v>
      </c>
      <c r="B29" s="38" t="s">
        <v>48</v>
      </c>
      <c r="C29" s="38" t="s">
        <v>18</v>
      </c>
      <c r="D29" s="39">
        <v>3.9</v>
      </c>
      <c r="E29">
        <f t="shared" si="0"/>
        <v>9128.6999999999989</v>
      </c>
      <c r="F29">
        <v>2300</v>
      </c>
      <c r="G29" s="76">
        <f>(E29*'Price-Differentials'!$C$23)/10000</f>
        <v>7.2026645744680833</v>
      </c>
      <c r="H29">
        <v>5.16</v>
      </c>
      <c r="I29">
        <v>3.91</v>
      </c>
      <c r="J29" s="78">
        <f t="shared" si="1"/>
        <v>7.9663918404255236</v>
      </c>
      <c r="K29" s="78">
        <f t="shared" si="2"/>
        <v>12.841391840425525</v>
      </c>
      <c r="L29" s="1"/>
    </row>
    <row r="30" spans="1:12" x14ac:dyDescent="0.2">
      <c r="A30" s="37" t="s">
        <v>49</v>
      </c>
      <c r="B30" s="38" t="s">
        <v>50</v>
      </c>
      <c r="C30" s="38" t="s">
        <v>18</v>
      </c>
      <c r="D30" s="39">
        <v>3.3</v>
      </c>
      <c r="E30">
        <f t="shared" si="0"/>
        <v>9128.6999999999989</v>
      </c>
      <c r="F30">
        <v>2300</v>
      </c>
      <c r="G30" s="76">
        <f>(E30*'Price-Differentials'!$C$23)/10000</f>
        <v>7.2026645744680833</v>
      </c>
      <c r="H30">
        <v>5.16</v>
      </c>
      <c r="I30">
        <v>3.91</v>
      </c>
      <c r="J30" s="78">
        <f t="shared" si="1"/>
        <v>6.7407930957446736</v>
      </c>
      <c r="K30" s="78">
        <f t="shared" si="2"/>
        <v>10.865793095744674</v>
      </c>
      <c r="L30" s="1"/>
    </row>
    <row r="31" spans="1:12" x14ac:dyDescent="0.2">
      <c r="A31" s="37" t="s">
        <v>51</v>
      </c>
      <c r="B31" s="38" t="s">
        <v>20</v>
      </c>
      <c r="C31" s="38" t="s">
        <v>18</v>
      </c>
      <c r="D31" s="39">
        <v>3.2</v>
      </c>
      <c r="E31">
        <f t="shared" si="0"/>
        <v>9128.6999999999989</v>
      </c>
      <c r="F31">
        <v>2300</v>
      </c>
      <c r="G31" s="76">
        <f>(E31*'Price-Differentials'!$C$23)/10000</f>
        <v>7.2026645744680833</v>
      </c>
      <c r="H31">
        <v>5.16</v>
      </c>
      <c r="I31">
        <v>3.91</v>
      </c>
      <c r="J31" s="78">
        <f t="shared" si="1"/>
        <v>6.5365266382978664</v>
      </c>
      <c r="K31" s="78">
        <f t="shared" si="2"/>
        <v>10.536526638297866</v>
      </c>
      <c r="L31" s="1"/>
    </row>
    <row r="32" spans="1:12" x14ac:dyDescent="0.2">
      <c r="A32" s="37" t="s">
        <v>45</v>
      </c>
      <c r="B32" s="38" t="s">
        <v>32</v>
      </c>
      <c r="C32" s="38" t="s">
        <v>18</v>
      </c>
      <c r="D32" s="39">
        <v>3.2</v>
      </c>
      <c r="E32">
        <f t="shared" si="0"/>
        <v>9128.6999999999989</v>
      </c>
      <c r="F32">
        <v>2300</v>
      </c>
      <c r="G32" s="76">
        <f>(E32*'Price-Differentials'!$C$23)/10000</f>
        <v>7.2026645744680833</v>
      </c>
      <c r="H32">
        <v>5.16</v>
      </c>
      <c r="I32">
        <v>3.91</v>
      </c>
      <c r="J32" s="78">
        <f t="shared" si="1"/>
        <v>6.5365266382978664</v>
      </c>
      <c r="K32" s="78">
        <f t="shared" si="2"/>
        <v>10.536526638297866</v>
      </c>
      <c r="L32" s="1"/>
    </row>
    <row r="33" spans="1:12" x14ac:dyDescent="0.2">
      <c r="A33" s="37" t="s">
        <v>52</v>
      </c>
      <c r="B33" s="38" t="s">
        <v>20</v>
      </c>
      <c r="C33" s="38" t="s">
        <v>18</v>
      </c>
      <c r="D33" s="39">
        <v>3</v>
      </c>
      <c r="E33">
        <f t="shared" si="0"/>
        <v>9128.6999999999989</v>
      </c>
      <c r="F33">
        <v>2300</v>
      </c>
      <c r="G33" s="76">
        <f>(E33*'Price-Differentials'!$C$23)/10000</f>
        <v>7.2026645744680833</v>
      </c>
      <c r="H33">
        <v>5.16</v>
      </c>
      <c r="I33">
        <v>3.91</v>
      </c>
      <c r="J33" s="78">
        <f t="shared" si="1"/>
        <v>6.1279937234042494</v>
      </c>
      <c r="K33" s="78">
        <f t="shared" si="2"/>
        <v>9.8779937234042485</v>
      </c>
      <c r="L33" s="1"/>
    </row>
    <row r="34" spans="1:12" x14ac:dyDescent="0.2">
      <c r="A34" s="37" t="s">
        <v>53</v>
      </c>
      <c r="B34" s="38" t="s">
        <v>25</v>
      </c>
      <c r="C34" s="38" t="s">
        <v>18</v>
      </c>
      <c r="D34" s="39">
        <v>3</v>
      </c>
      <c r="E34">
        <f t="shared" si="0"/>
        <v>9128.6999999999989</v>
      </c>
      <c r="F34">
        <v>2300</v>
      </c>
      <c r="G34" s="76">
        <f>(E34*'Price-Differentials'!$C$23)/10000</f>
        <v>7.2026645744680833</v>
      </c>
      <c r="H34">
        <v>5.16</v>
      </c>
      <c r="I34">
        <v>3.91</v>
      </c>
      <c r="J34" s="78">
        <f t="shared" si="1"/>
        <v>6.1279937234042494</v>
      </c>
      <c r="K34" s="78">
        <f t="shared" si="2"/>
        <v>9.8779937234042485</v>
      </c>
      <c r="L34" s="1"/>
    </row>
    <row r="35" spans="1:12" x14ac:dyDescent="0.2">
      <c r="A35" s="37" t="s">
        <v>54</v>
      </c>
      <c r="B35" s="38" t="s">
        <v>32</v>
      </c>
      <c r="C35" s="38" t="s">
        <v>18</v>
      </c>
      <c r="D35" s="39">
        <v>2.7</v>
      </c>
      <c r="E35">
        <f t="shared" si="0"/>
        <v>9128.6999999999989</v>
      </c>
      <c r="F35">
        <v>2300</v>
      </c>
      <c r="G35" s="76">
        <f>(E35*'Price-Differentials'!$C$23)/10000</f>
        <v>7.2026645744680833</v>
      </c>
      <c r="H35">
        <v>5.16</v>
      </c>
      <c r="I35">
        <v>3.91</v>
      </c>
      <c r="J35" s="78">
        <f t="shared" si="1"/>
        <v>5.5151943510638253</v>
      </c>
      <c r="K35" s="78">
        <f t="shared" si="2"/>
        <v>8.8901943510638244</v>
      </c>
      <c r="L35" s="1"/>
    </row>
    <row r="36" spans="1:12" x14ac:dyDescent="0.2">
      <c r="A36" s="37" t="s">
        <v>55</v>
      </c>
      <c r="B36" s="38" t="s">
        <v>56</v>
      </c>
      <c r="C36" s="38" t="s">
        <v>18</v>
      </c>
      <c r="D36" s="39">
        <v>2.6</v>
      </c>
      <c r="E36">
        <f t="shared" si="0"/>
        <v>9128.6999999999989</v>
      </c>
      <c r="F36">
        <v>2300</v>
      </c>
      <c r="G36" s="76">
        <f>(E36*'Price-Differentials'!$C$23)/10000</f>
        <v>7.2026645744680833</v>
      </c>
      <c r="H36">
        <v>5.16</v>
      </c>
      <c r="I36">
        <v>3.91</v>
      </c>
      <c r="J36" s="78">
        <f t="shared" si="1"/>
        <v>5.3109278936170163</v>
      </c>
      <c r="K36" s="78">
        <f t="shared" si="2"/>
        <v>8.5609278936170163</v>
      </c>
      <c r="L36" s="1"/>
    </row>
    <row r="37" spans="1:12" x14ac:dyDescent="0.2">
      <c r="A37" s="37" t="s">
        <v>57</v>
      </c>
      <c r="B37" s="38" t="s">
        <v>29</v>
      </c>
      <c r="C37" s="38" t="s">
        <v>18</v>
      </c>
      <c r="D37" s="39">
        <v>2.5</v>
      </c>
      <c r="E37">
        <f t="shared" si="0"/>
        <v>9128.6999999999989</v>
      </c>
      <c r="F37">
        <v>2300</v>
      </c>
      <c r="G37" s="76">
        <f>(E37*'Price-Differentials'!$C$23)/10000</f>
        <v>7.2026645744680833</v>
      </c>
      <c r="H37">
        <v>5.16</v>
      </c>
      <c r="I37">
        <v>3.91</v>
      </c>
      <c r="J37" s="78">
        <f t="shared" si="1"/>
        <v>5.1066614361702083</v>
      </c>
      <c r="K37" s="78">
        <f t="shared" si="2"/>
        <v>8.2316614361702083</v>
      </c>
      <c r="L37" s="1"/>
    </row>
    <row r="38" spans="1:12" x14ac:dyDescent="0.2">
      <c r="A38" s="37" t="s">
        <v>58</v>
      </c>
      <c r="B38" s="38" t="s">
        <v>20</v>
      </c>
      <c r="C38" s="38" t="s">
        <v>18</v>
      </c>
      <c r="D38" s="39">
        <v>2.2000000000000002</v>
      </c>
      <c r="E38">
        <f t="shared" si="0"/>
        <v>9128.6999999999989</v>
      </c>
      <c r="F38">
        <v>2300</v>
      </c>
      <c r="G38" s="76">
        <f>(E38*'Price-Differentials'!$C$23)/10000</f>
        <v>7.2026645744680833</v>
      </c>
      <c r="H38">
        <v>5.16</v>
      </c>
      <c r="I38">
        <v>3.91</v>
      </c>
      <c r="J38" s="78">
        <f t="shared" si="1"/>
        <v>4.4938620638297833</v>
      </c>
      <c r="K38" s="78">
        <f t="shared" si="2"/>
        <v>7.2438620638297833</v>
      </c>
      <c r="L38" s="1"/>
    </row>
    <row r="39" spans="1:12" x14ac:dyDescent="0.2">
      <c r="A39" s="37" t="s">
        <v>59</v>
      </c>
      <c r="B39" s="38" t="s">
        <v>38</v>
      </c>
      <c r="C39" s="38" t="s">
        <v>18</v>
      </c>
      <c r="D39" s="39">
        <v>1.8</v>
      </c>
      <c r="E39">
        <f t="shared" si="0"/>
        <v>9525.6</v>
      </c>
      <c r="F39">
        <v>2400</v>
      </c>
      <c r="G39" s="76">
        <f>(E39*'Price-Differentials'!$C$13)/10000</f>
        <v>10.299426875687569</v>
      </c>
      <c r="H39">
        <v>5.16</v>
      </c>
      <c r="I39">
        <v>3.91</v>
      </c>
      <c r="J39" s="78">
        <f t="shared" si="1"/>
        <v>9.2509683762376245</v>
      </c>
      <c r="K39" s="78">
        <f t="shared" si="2"/>
        <v>11.500968376237624</v>
      </c>
      <c r="L39" s="1"/>
    </row>
    <row r="40" spans="1:12" ht="13.5" thickBot="1" x14ac:dyDescent="0.25">
      <c r="A40" s="40" t="s">
        <v>59</v>
      </c>
      <c r="B40" s="41" t="s">
        <v>60</v>
      </c>
      <c r="C40" s="41" t="s">
        <v>18</v>
      </c>
      <c r="D40" s="42">
        <v>1.2</v>
      </c>
      <c r="E40">
        <f t="shared" si="0"/>
        <v>9525.6</v>
      </c>
      <c r="F40">
        <v>2400</v>
      </c>
      <c r="G40" s="76">
        <f>(E40*'Price-Differentials'!$C$13)/10000</f>
        <v>10.299426875687569</v>
      </c>
      <c r="H40">
        <v>5.16</v>
      </c>
      <c r="I40">
        <v>3.91</v>
      </c>
      <c r="J40" s="78">
        <f t="shared" si="1"/>
        <v>6.1673122508250824</v>
      </c>
      <c r="K40" s="78">
        <f t="shared" si="2"/>
        <v>7.6673122508250824</v>
      </c>
      <c r="L40" s="1"/>
    </row>
    <row r="41" spans="1:12" x14ac:dyDescent="0.2">
      <c r="A41" s="43" t="s">
        <v>61</v>
      </c>
      <c r="B41" s="44"/>
      <c r="C41" s="44"/>
      <c r="D41" s="45">
        <f>SUM(D9:D40)</f>
        <v>267.05</v>
      </c>
      <c r="J41" s="78"/>
      <c r="K41" s="78"/>
    </row>
    <row r="42" spans="1:12" x14ac:dyDescent="0.2">
      <c r="A42" s="46"/>
      <c r="B42" s="47"/>
      <c r="C42" s="47"/>
      <c r="D42" s="48"/>
      <c r="J42" s="78"/>
      <c r="K42" s="78"/>
    </row>
    <row r="43" spans="1:12" x14ac:dyDescent="0.2">
      <c r="A43" s="37" t="s">
        <v>62</v>
      </c>
      <c r="B43" s="38" t="s">
        <v>25</v>
      </c>
      <c r="C43" s="38" t="s">
        <v>63</v>
      </c>
      <c r="D43" s="39">
        <v>85</v>
      </c>
      <c r="E43">
        <f t="shared" si="0"/>
        <v>7938</v>
      </c>
      <c r="F43">
        <v>2000</v>
      </c>
      <c r="G43" s="78">
        <f>(E43*1.15*'Price-Differentials'!$C$29)/10000</f>
        <v>6.694258284</v>
      </c>
      <c r="H43">
        <v>5.16</v>
      </c>
      <c r="I43">
        <v>3.91</v>
      </c>
      <c r="J43" s="78">
        <f t="shared" si="1"/>
        <v>130.41195413999998</v>
      </c>
      <c r="K43" s="78">
        <f t="shared" si="2"/>
        <v>236.66195413999998</v>
      </c>
      <c r="L43" s="1"/>
    </row>
    <row r="44" spans="1:12" x14ac:dyDescent="0.2">
      <c r="A44" s="37" t="s">
        <v>64</v>
      </c>
      <c r="B44" s="38" t="s">
        <v>25</v>
      </c>
      <c r="C44" s="38" t="s">
        <v>63</v>
      </c>
      <c r="D44" s="39">
        <v>78</v>
      </c>
      <c r="E44">
        <f t="shared" si="0"/>
        <v>7938</v>
      </c>
      <c r="F44">
        <v>2000</v>
      </c>
      <c r="G44" s="78">
        <f>(E44*1.15*'Price-Differentials'!$C$29)/10000</f>
        <v>6.694258284</v>
      </c>
      <c r="H44">
        <v>5.16</v>
      </c>
      <c r="I44">
        <v>3.91</v>
      </c>
      <c r="J44" s="78">
        <f t="shared" si="1"/>
        <v>119.67214615199998</v>
      </c>
      <c r="K44" s="78">
        <f t="shared" si="2"/>
        <v>217.17214615199998</v>
      </c>
      <c r="L44" s="1"/>
    </row>
    <row r="45" spans="1:12" x14ac:dyDescent="0.2">
      <c r="A45" s="37" t="s">
        <v>65</v>
      </c>
      <c r="B45" s="38" t="s">
        <v>25</v>
      </c>
      <c r="C45" s="38" t="s">
        <v>63</v>
      </c>
      <c r="D45" s="39">
        <v>59</v>
      </c>
      <c r="E45">
        <f t="shared" si="0"/>
        <v>7938</v>
      </c>
      <c r="F45">
        <v>2000</v>
      </c>
      <c r="G45" s="78">
        <f>(E45*1.15*'Price-Differentials'!$C$29)/10000</f>
        <v>6.694258284</v>
      </c>
      <c r="H45">
        <v>5.16</v>
      </c>
      <c r="I45">
        <v>3.91</v>
      </c>
      <c r="J45" s="78">
        <f t="shared" si="1"/>
        <v>90.521238755999988</v>
      </c>
      <c r="K45" s="78">
        <f t="shared" si="2"/>
        <v>164.271238756</v>
      </c>
      <c r="L45" s="1"/>
    </row>
    <row r="46" spans="1:12" x14ac:dyDescent="0.2">
      <c r="A46" s="37" t="s">
        <v>66</v>
      </c>
      <c r="B46" s="38" t="s">
        <v>29</v>
      </c>
      <c r="C46" s="38" t="s">
        <v>63</v>
      </c>
      <c r="D46" s="39">
        <v>40</v>
      </c>
      <c r="E46">
        <f t="shared" si="0"/>
        <v>7938</v>
      </c>
      <c r="F46">
        <v>2000</v>
      </c>
      <c r="G46" s="78">
        <f>(E46*1.15*'Price-Differentials'!$C$29)/10000</f>
        <v>6.694258284</v>
      </c>
      <c r="H46">
        <v>5.16</v>
      </c>
      <c r="I46">
        <v>3.91</v>
      </c>
      <c r="J46" s="78">
        <f t="shared" si="1"/>
        <v>61.370331359999994</v>
      </c>
      <c r="K46" s="78">
        <f t="shared" si="2"/>
        <v>111.37033135999999</v>
      </c>
      <c r="L46" s="1"/>
    </row>
    <row r="47" spans="1:12" x14ac:dyDescent="0.2">
      <c r="A47" s="37" t="s">
        <v>67</v>
      </c>
      <c r="B47" s="38" t="s">
        <v>25</v>
      </c>
      <c r="C47" s="38" t="s">
        <v>63</v>
      </c>
      <c r="D47" s="39">
        <v>30</v>
      </c>
      <c r="E47">
        <f t="shared" si="0"/>
        <v>7938</v>
      </c>
      <c r="F47">
        <v>2000</v>
      </c>
      <c r="G47" s="78">
        <f>(E47*1.15*'Price-Differentials'!$C$29)/10000</f>
        <v>6.694258284</v>
      </c>
      <c r="H47">
        <v>5.16</v>
      </c>
      <c r="I47">
        <v>3.91</v>
      </c>
      <c r="J47" s="78">
        <f t="shared" si="1"/>
        <v>46.027748519999996</v>
      </c>
      <c r="K47" s="78">
        <f t="shared" si="2"/>
        <v>83.527748519999989</v>
      </c>
      <c r="L47" s="1"/>
    </row>
    <row r="48" spans="1:12" x14ac:dyDescent="0.2">
      <c r="A48" s="37" t="s">
        <v>68</v>
      </c>
      <c r="B48" s="38" t="s">
        <v>69</v>
      </c>
      <c r="C48" s="38" t="s">
        <v>63</v>
      </c>
      <c r="D48" s="39">
        <v>27.5</v>
      </c>
      <c r="E48">
        <f t="shared" si="0"/>
        <v>7938</v>
      </c>
      <c r="F48">
        <v>2000</v>
      </c>
      <c r="G48" s="78">
        <f>(E48*1.15*'Price-Differentials'!$C$29)/10000</f>
        <v>6.694258284</v>
      </c>
      <c r="H48">
        <v>5.16</v>
      </c>
      <c r="I48">
        <v>3.91</v>
      </c>
      <c r="J48" s="78">
        <f t="shared" si="1"/>
        <v>42.192102809999994</v>
      </c>
      <c r="K48" s="78">
        <f t="shared" si="2"/>
        <v>76.567102809999994</v>
      </c>
      <c r="L48" s="1"/>
    </row>
    <row r="49" spans="1:12" x14ac:dyDescent="0.2">
      <c r="A49" s="37" t="s">
        <v>70</v>
      </c>
      <c r="B49" s="38" t="s">
        <v>71</v>
      </c>
      <c r="C49" s="38" t="s">
        <v>63</v>
      </c>
      <c r="D49" s="39">
        <v>6.8</v>
      </c>
      <c r="E49">
        <f t="shared" si="0"/>
        <v>8731.7999999999993</v>
      </c>
      <c r="F49">
        <v>2200</v>
      </c>
      <c r="G49" s="78">
        <f>(E49*1.15*'Price-Differentials'!$C$29)/10000</f>
        <v>7.3636841123999988</v>
      </c>
      <c r="H49">
        <v>5.16</v>
      </c>
      <c r="I49">
        <v>3.91</v>
      </c>
      <c r="J49" s="78">
        <f t="shared" si="1"/>
        <v>14.98505196431999</v>
      </c>
      <c r="K49" s="78">
        <f t="shared" si="2"/>
        <v>23.48505196431999</v>
      </c>
      <c r="L49" s="1"/>
    </row>
    <row r="50" spans="1:12" ht="13.5" thickBot="1" x14ac:dyDescent="0.25">
      <c r="A50" s="49" t="s">
        <v>72</v>
      </c>
      <c r="B50" s="50" t="s">
        <v>73</v>
      </c>
      <c r="C50" s="50" t="s">
        <v>63</v>
      </c>
      <c r="D50" s="51">
        <v>4</v>
      </c>
      <c r="E50">
        <f t="shared" si="0"/>
        <v>8731.7999999999993</v>
      </c>
      <c r="F50">
        <v>2200</v>
      </c>
      <c r="G50" s="78">
        <f>(E50*1.15*'Price-Differentials'!$C$29)/10000</f>
        <v>7.3636841123999988</v>
      </c>
      <c r="H50">
        <v>5.16</v>
      </c>
      <c r="I50">
        <v>3.91</v>
      </c>
      <c r="J50" s="78">
        <f t="shared" si="1"/>
        <v>8.8147364495999945</v>
      </c>
      <c r="K50" s="78">
        <f t="shared" si="2"/>
        <v>13.814736449599994</v>
      </c>
      <c r="L50" s="1"/>
    </row>
    <row r="51" spans="1:12" ht="13.5" thickBot="1" x14ac:dyDescent="0.25">
      <c r="A51" s="31" t="s">
        <v>61</v>
      </c>
      <c r="B51" s="32"/>
      <c r="C51" s="32"/>
      <c r="D51" s="52">
        <f>SUM(D43:D50)</f>
        <v>330.3</v>
      </c>
      <c r="J51" s="82">
        <f>SUM(J9:J50)*10</f>
        <v>10174.836735238943</v>
      </c>
      <c r="K51" s="82">
        <f>SUM(K9:K50)*10</f>
        <v>17641.711735238943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workbookViewId="0">
      <selection activeCell="B19" sqref="B19"/>
    </sheetView>
  </sheetViews>
  <sheetFormatPr defaultRowHeight="12.75" x14ac:dyDescent="0.2"/>
  <cols>
    <col min="5" max="5" width="14.85546875" bestFit="1" customWidth="1"/>
  </cols>
  <sheetData>
    <row r="4" spans="2:5" x14ac:dyDescent="0.2">
      <c r="B4" s="13" t="s">
        <v>109</v>
      </c>
    </row>
    <row r="6" spans="2:5" x14ac:dyDescent="0.2">
      <c r="E6" t="s">
        <v>112</v>
      </c>
    </row>
    <row r="7" spans="2:5" x14ac:dyDescent="0.2">
      <c r="B7" t="s">
        <v>110</v>
      </c>
      <c r="E7" s="83">
        <f>CaptivePower!J51</f>
        <v>10174.836735238943</v>
      </c>
    </row>
    <row r="8" spans="2:5" x14ac:dyDescent="0.2">
      <c r="B8" t="s">
        <v>111</v>
      </c>
      <c r="E8" s="83">
        <f>CaptivePower!K51</f>
        <v>17641.711735238943</v>
      </c>
    </row>
    <row r="11" spans="2:5" x14ac:dyDescent="0.2">
      <c r="B11" s="13" t="s">
        <v>115</v>
      </c>
    </row>
    <row r="13" spans="2:5" x14ac:dyDescent="0.2">
      <c r="B13" t="s">
        <v>113</v>
      </c>
      <c r="E13" s="84">
        <f>E7*5000</f>
        <v>50874183.676194713</v>
      </c>
    </row>
    <row r="14" spans="2:5" x14ac:dyDescent="0.2">
      <c r="B14" t="s">
        <v>114</v>
      </c>
      <c r="E14" s="84">
        <f>E8*5000</f>
        <v>88208558.676194713</v>
      </c>
    </row>
    <row r="16" spans="2:5" x14ac:dyDescent="0.2">
      <c r="B16" t="s">
        <v>116</v>
      </c>
    </row>
    <row r="17" spans="2:2" x14ac:dyDescent="0.2">
      <c r="B17" t="s">
        <v>117</v>
      </c>
    </row>
    <row r="18" spans="2:2" x14ac:dyDescent="0.2">
      <c r="B18" t="s">
        <v>118</v>
      </c>
    </row>
    <row r="19" spans="2:2" x14ac:dyDescent="0.2">
      <c r="B19" t="s">
        <v>119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Naphtha Prices</vt:lpstr>
      <vt:lpstr>Crude Prices</vt:lpstr>
      <vt:lpstr>Price-Differentials</vt:lpstr>
      <vt:lpstr>CaptivePower</vt:lpstr>
      <vt:lpstr>Final Comparision</vt:lpstr>
    </vt:vector>
  </TitlesOfParts>
  <Company>Dabhol Power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Srivastav</dc:creator>
  <cp:lastModifiedBy>Jan Havlíček</cp:lastModifiedBy>
  <dcterms:created xsi:type="dcterms:W3CDTF">2001-01-05T09:43:54Z</dcterms:created>
  <dcterms:modified xsi:type="dcterms:W3CDTF">2023-09-10T15:28:21Z</dcterms:modified>
</cp:coreProperties>
</file>