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014252-A796-4566-A986-CC5FDE099F09}" xr6:coauthVersionLast="47" xr6:coauthVersionMax="47" xr10:uidLastSave="{00000000-0000-0000-0000-000000000000}"/>
  <bookViews>
    <workbookView xWindow="-120" yWindow="-120" windowWidth="38640" windowHeight="15720" activeTab="1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high_fcst">Weather_Input!$B$4</definedName>
    <definedName name="Imbalances">Imbalances!$B$7:$S$7</definedName>
    <definedName name="low_fcst">Weather_Input!$C$4</definedName>
    <definedName name="NSG_date">NSG_Gas_Summary!$E$3</definedName>
    <definedName name="NSG_First_date">NSG_Deliveries!$A$5</definedName>
    <definedName name="NSG_GC_Sendout_est">NSG_Deliveries!$C$4</definedName>
    <definedName name="NSG_sendout">NSG_Gas_Summary!$B$3</definedName>
    <definedName name="NSG_Sendout_Input">NSG_Deliveries!$C$6:$C$10</definedName>
    <definedName name="NSG_Sendouts">NSG_Deliveries!$A$5:$G$11</definedName>
    <definedName name="Old_Imbalance">Imbalances!$B$6:$S$6</definedName>
    <definedName name="PGL_date">PGL_Gas_Summary!$E$2</definedName>
    <definedName name="PGL_First_date">PGL_Deliveries!$A$5</definedName>
    <definedName name="PGL_GC_Sendout_est">PGL_Deliveries!$C$4</definedName>
    <definedName name="PGL_high">PGL_Gas_Summary!$E$45</definedName>
    <definedName name="PGL_low">PGL_Gas_Summary!$E$46</definedName>
    <definedName name="PGL_Nom_Input">PGL_Requirements!$J$8:$AD$12</definedName>
    <definedName name="PGL_Noms">PGL_Requirements!$A$7:$Y$12</definedName>
    <definedName name="PGL_sendout">PGL_Gas_Summary!$B$2</definedName>
    <definedName name="PGL_Sendout_Input">PGL_Deliveries!$C$6:$C$10</definedName>
    <definedName name="PGL_Sendouts">PGL_Deliveries!$A$5:$T$10</definedName>
    <definedName name="PGL_temp">PGL_Gas_Summary!$E$47</definedName>
    <definedName name="PGL_wind">PGL_Gas_Summary!$E$48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PGL_Requirements!$H$3:$AH$12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wind_fcst">Weather_Input!$D$4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PGL_Requirements!$H$3:$AH$12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J3" i="11"/>
  <c r="K3" i="11"/>
  <c r="F4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H7" i="5"/>
  <c r="A8" i="5"/>
  <c r="P8" i="5"/>
  <c r="AH8" i="5"/>
  <c r="A9" i="5"/>
  <c r="P9" i="5"/>
  <c r="AH9" i="5"/>
  <c r="A10" i="5"/>
  <c r="P10" i="5"/>
  <c r="AH10" i="5"/>
  <c r="A11" i="5"/>
  <c r="P11" i="5"/>
  <c r="AH11" i="5"/>
  <c r="A12" i="5"/>
  <c r="P12" i="5"/>
  <c r="AH12" i="5"/>
  <c r="A7" i="6"/>
  <c r="AE7" i="6"/>
  <c r="A8" i="6"/>
  <c r="AE8" i="6"/>
  <c r="A9" i="6"/>
  <c r="AE9" i="6"/>
  <c r="A10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<sst xmlns="http://schemas.openxmlformats.org/spreadsheetml/2006/main" count="2087" uniqueCount="828">
  <si>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</si>
  <si>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</si>
  <si>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</si>
  <si>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</si>
  <si>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</si>
  <si>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</si>
  <si>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</si>
  <si>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</si>
  <si>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</si>
  <si>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</si>
  <si>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</si>
  <si>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</si>
  <si>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</si>
  <si>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</si>
  <si>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</si>
  <si>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</si>
  <si>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</si>
  <si>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</si>
  <si>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</si>
  <si>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</si>
  <si>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</si>
  <si>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</si>
  <si>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</si>
  <si>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</si>
  <si>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</si>
  <si>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</si>
  <si>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</si>
  <si>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</si>
  <si>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</si>
  <si>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</si>
  <si>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</si>
  <si>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</si>
  <si>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</si>
  <si>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</si>
  <si>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</si>
  <si>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</si>
  <si>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</si>
  <si>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</si>
  <si>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</si>
  <si>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</si>
  <si>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</si>
  <si>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</si>
  <si>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</si>
  <si>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</si>
  <si>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</si>
  <si>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</si>
  <si>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</si>
  <si>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</si>
  <si>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</si>
  <si>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</si>
  <si>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</si>
  <si>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</si>
  <si>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</si>
  <si>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</si>
  <si>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</si>
  <si>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</si>
  <si>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</si>
  <si>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</si>
  <si>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</si>
  <si>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</si>
  <si>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</si>
  <si>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</si>
  <si>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</si>
  <si>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</si>
  <si>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</si>
  <si>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</si>
  <si>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</si>
  <si>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</si>
  <si>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</si>
  <si>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</si>
  <si>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</si>
  <si>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</si>
  <si>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</si>
  <si>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</si>
  <si>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</si>
  <si>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</si>
  <si>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</si>
  <si>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</si>
  <si>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</si>
  <si>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</si>
  <si>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</si>
  <si>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</si>
  <si>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</si>
  <si>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</si>
  <si>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</si>
  <si>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</si>
  <si>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</si>
  <si>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</si>
  <si>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</si>
  <si>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</si>
  <si>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</si>
  <si>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</si>
  <si>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</si>
  <si>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</si>
  <si>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</si>
  <si>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</si>
  <si>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</si>
  <si>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</si>
  <si>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</si>
  <si>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</si>
  <si>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</si>
  <si>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</si>
  <si>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</si>
  <si>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</si>
  <si>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</si>
  <si>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</si>
  <si>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</si>
  <si>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</si>
  <si>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</si>
  <si>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</si>
  <si>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</si>
  <si>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</si>
  <si>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</si>
  <si>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</si>
  <si>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</si>
  <si>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</si>
  <si>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</si>
  <si>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</si>
  <si>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</si>
  <si>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</si>
  <si>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</si>
  <si>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</si>
  <si>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</si>
  <si>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</si>
  <si>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</si>
  <si>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</si>
  <si>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</si>
  <si>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</si>
  <si>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</si>
  <si>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</si>
  <si>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</si>
  <si>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</si>
  <si>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</si>
  <si>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</si>
  <si>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</si>
  <si>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</si>
  <si>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</si>
  <si>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</si>
  <si>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</si>
  <si>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</si>
  <si>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</si>
  <si>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</si>
  <si>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</si>
  <si>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</si>
  <si>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</si>
  <si>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</si>
  <si>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</si>
  <si>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</si>
  <si>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</si>
  <si>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</si>
  <si>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</si>
  <si>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</si>
  <si>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</si>
  <si>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</si>
  <si>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</si>
  <si>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</si>
  <si>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</si>
  <si>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</si>
  <si>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</si>
  <si>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</si>
  <si>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</si>
  <si>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</si>
  <si>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</si>
  <si>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</si>
  <si>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</si>
  <si>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</si>
  <si>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</si>
  <si>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</si>
  <si>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</si>
  <si>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</si>
  <si>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</si>
  <si>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</si>
  <si>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</si>
  <si>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</si>
  <si>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</si>
  <si>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</si>
  <si>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</si>
  <si>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</si>
  <si>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</si>
  <si>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</si>
  <si>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</si>
  <si>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</si>
  <si>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</si>
  <si>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</si>
  <si>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</si>
  <si>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</si>
  <si>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</si>
  <si>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</si>
  <si>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</si>
  <si>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</si>
  <si>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</si>
  <si>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</si>
  <si>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</si>
  <si>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</si>
  <si>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</si>
  <si>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</si>
  <si>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</si>
  <si>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</si>
  <si>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</si>
  <si>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</si>
  <si>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</si>
  <si>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</si>
  <si>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</si>
  <si>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</si>
  <si>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</si>
  <si>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</si>
  <si>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</si>
  <si>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</si>
  <si>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</si>
  <si>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</si>
  <si>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</si>
  <si>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</si>
  <si>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</si>
  <si>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</si>
  <si>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</si>
  <si>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</si>
  <si>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</si>
  <si>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</si>
  <si>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</si>
  <si>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</si>
  <si>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</si>
  <si>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</si>
  <si>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</si>
  <si>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</si>
  <si>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</si>
  <si>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</si>
  <si>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</si>
  <si>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</si>
  <si>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</si>
  <si>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</si>
  <si>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</si>
  <si>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</si>
  <si>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</si>
  <si>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</si>
  <si>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</si>
  <si>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</si>
  <si>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</si>
  <si>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</si>
  <si>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</si>
  <si>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</si>
  <si>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</si>
  <si>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</si>
  <si>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</si>
  <si>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</si>
  <si>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</si>
  <si>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</si>
  <si>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</si>
  <si>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</si>
  <si>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</si>
  <si>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</si>
  <si>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</si>
  <si>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</si>
  <si>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</si>
  <si>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</si>
  <si>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</si>
  <si>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</si>
  <si>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</si>
  <si>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</si>
  <si>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</si>
  <si>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</si>
  <si>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</si>
  <si>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</si>
  <si>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</si>
  <si>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</si>
  <si>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</si>
  <si>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</si>
  <si>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</si>
  <si>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</si>
  <si>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</si>
  <si>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</si>
  <si>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</si>
  <si>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</si>
  <si>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</si>
  <si>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</si>
  <si>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</si>
  <si>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</si>
  <si>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</si>
  <si>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</si>
  <si>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</si>
  <si>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</si>
  <si>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</si>
  <si>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</si>
  <si>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</si>
  <si>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</si>
  <si>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</si>
  <si>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</si>
  <si>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</si>
  <si>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</si>
  <si>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</si>
  <si>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</si>
  <si>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</si>
  <si>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</si>
  <si>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</si>
  <si>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</si>
  <si>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</si>
  <si>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</si>
  <si>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</si>
  <si>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</si>
  <si>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</si>
  <si>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</si>
  <si>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</si>
  <si>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</si>
  <si>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</si>
  <si>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</si>
  <si>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</si>
  <si>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</si>
  <si>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</si>
  <si>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</si>
  <si>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</si>
  <si>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</si>
  <si>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</si>
  <si>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</si>
  <si>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</si>
  <si>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</si>
  <si>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</si>
  <si>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</si>
  <si>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</si>
  <si>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</si>
  <si>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</si>
  <si>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</si>
  <si>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</si>
  <si>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</si>
  <si>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</si>
  <si>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</si>
  <si>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</si>
  <si>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</si>
  <si>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</si>
  <si>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</si>
  <si>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</si>
  <si>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</si>
  <si>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</si>
  <si>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</si>
  <si>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</si>
  <si>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</si>
  <si>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</si>
  <si>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</si>
  <si>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</si>
  <si>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</si>
  <si>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</si>
  <si>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</si>
  <si>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</si>
  <si>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</si>
  <si>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</si>
  <si>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</si>
  <si>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</si>
  <si>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</si>
  <si>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</si>
  <si>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</si>
  <si>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</si>
  <si>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</si>
  <si>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</si>
  <si>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</si>
  <si>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</si>
  <si>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</si>
  <si>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</si>
  <si>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</si>
  <si>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</si>
  <si>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</si>
  <si>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</si>
  <si>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</si>
  <si>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</si>
  <si>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</si>
  <si>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</si>
  <si>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</si>
  <si>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</si>
  <si>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</si>
  <si>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</si>
  <si>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</si>
  <si>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</si>
  <si>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</si>
  <si>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</si>
  <si>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</si>
  <si>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</si>
  <si>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</si>
  <si>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</si>
  <si>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</si>
  <si>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</si>
  <si>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</si>
  <si>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</si>
  <si>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</si>
  <si>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</si>
  <si>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</si>
  <si>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</si>
  <si>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</si>
  <si>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</si>
  <si>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</si>
  <si>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</si>
  <si>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</si>
  <si>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</si>
  <si>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</si>
  <si>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</si>
  <si>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</si>
  <si>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</si>
  <si>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</si>
  <si>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</si>
  <si>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</si>
  <si>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</si>
  <si>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</si>
  <si>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</si>
  <si>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</si>
  <si>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</si>
  <si>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</si>
  <si>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</si>
  <si>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</si>
  <si>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</si>
  <si>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</si>
  <si>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</si>
  <si>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</si>
  <si>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</si>
  <si>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</si>
  <si>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</si>
  <si>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</si>
  <si>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</si>
  <si>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</si>
  <si>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</si>
  <si>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</si>
  <si>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</si>
  <si>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</si>
  <si>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</si>
  <si>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</si>
  <si>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</si>
  <si>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</si>
  <si>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</si>
  <si>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</si>
  <si>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</si>
  <si>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</si>
  <si>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</si>
  <si>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</si>
  <si>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</si>
  <si>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</si>
  <si>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</si>
  <si>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</si>
  <si>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</si>
  <si>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</si>
  <si>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</si>
  <si>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</si>
  <si>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</si>
  <si>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</si>
  <si>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</si>
  <si>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</si>
  <si>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</si>
  <si>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</si>
  <si>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</si>
  <si>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</si>
  <si>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</si>
  <si>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</si>
  <si>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</si>
  <si>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</si>
  <si>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</si>
  <si>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</si>
  <si>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</si>
  <si>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</si>
  <si>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</si>
  <si>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</si>
  <si>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</si>
  <si>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</si>
  <si>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</si>
  <si>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</si>
  <si>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</si>
  <si>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</si>
  <si>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</si>
  <si>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</si>
  <si>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</si>
  <si>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</si>
  <si>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</si>
  <si>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</si>
  <si>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</si>
  <si>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</si>
  <si>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</si>
  <si>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</si>
  <si>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</si>
  <si>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</si>
  <si>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</si>
  <si>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</si>
  <si>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</si>
  <si>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</si>
  <si>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</si>
  <si>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</si>
  <si>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</si>
  <si>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</si>
  <si>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</si>
  <si>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</si>
  <si>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</si>
  <si>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</si>
  <si>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</si>
  <si>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</si>
  <si>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</si>
  <si>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</si>
  <si>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</si>
  <si>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</si>
  <si>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</si>
  <si>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</si>
  <si>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</si>
  <si>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</si>
  <si>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</si>
  <si>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</si>
  <si>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</si>
  <si>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</si>
  <si>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</si>
  <si>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</si>
  <si>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</si>
  <si>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</si>
  <si>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</si>
  <si>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</si>
  <si>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</si>
  <si>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</si>
  <si>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</si>
  <si>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</si>
  <si>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</si>
  <si>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</si>
  <si>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</si>
  <si>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</si>
  <si>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</si>
  <si>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</si>
  <si>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</si>
  <si>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</si>
  <si>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</si>
  <si>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</si>
  <si>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</si>
  <si>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</si>
  <si>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</si>
  <si>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</si>
  <si>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</si>
  <si>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</si>
  <si>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</si>
  <si>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</si>
  <si>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</si>
  <si>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</si>
  <si>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</si>
  <si>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</si>
  <si>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</si>
  <si>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</si>
  <si>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</si>
  <si>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</si>
  <si>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</si>
  <si>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</si>
  <si>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</si>
  <si>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</si>
  <si>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</si>
  <si>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</si>
  <si>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</si>
  <si>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</si>
  <si>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</si>
  <si>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</si>
  <si>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</si>
  <si>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</si>
  <si>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</si>
  <si>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</si>
  <si>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</si>
  <si>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</si>
  <si>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</si>
  <si>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</si>
  <si>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</si>
  <si>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</si>
  <si>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</si>
  <si>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</si>
  <si>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</si>
  <si>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</si>
  <si>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</si>
  <si>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</si>
  <si>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</si>
  <si>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</si>
  <si>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</si>
  <si>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</si>
  <si>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</si>
  <si>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</si>
  <si>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</si>
  <si>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</si>
  <si>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</si>
  <si>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</si>
  <si>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</si>
  <si>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</si>
  <si>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</si>
  <si>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</si>
  <si>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</si>
  <si>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</si>
  <si>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</si>
  <si>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</si>
  <si>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</si>
  <si>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</si>
  <si>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</si>
  <si>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</si>
  <si>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</si>
  <si>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</si>
  <si>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</si>
  <si>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</si>
  <si>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</si>
  <si>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</si>
  <si>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</si>
  <si>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</si>
  <si>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</si>
  <si>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</si>
  <si>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</si>
  <si>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</si>
  <si>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</si>
  <si>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</si>
  <si>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</si>
  <si>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</si>
  <si>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</si>
  <si>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</si>
  <si>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</si>
  <si>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</si>
  <si>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</si>
  <si>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</si>
  <si>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</si>
  <si>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</si>
  <si>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</si>
  <si>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</si>
  <si>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</si>
  <si>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</si>
  <si>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</si>
  <si>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</si>
  <si>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</si>
  <si>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</si>
  <si>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</si>
  <si>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</si>
  <si>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</si>
  <si>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</si>
  <si>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</si>
  <si>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</si>
  <si>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</si>
  <si>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</si>
  <si>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</si>
  <si>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</si>
  <si>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</si>
  <si>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</si>
  <si>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</si>
  <si>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</si>
  <si>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</si>
  <si>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</si>
  <si>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</si>
  <si>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</si>
  <si>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</si>
  <si>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</si>
  <si>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</si>
  <si>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</si>
  <si>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</si>
  <si>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</si>
  <si>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</si>
  <si>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</si>
  <si>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</si>
  <si>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</si>
  <si>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</si>
  <si>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</si>
  <si>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</si>
  <si>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</si>
  <si>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</si>
  <si>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</si>
  <si>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</si>
  <si>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</si>
  <si>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</si>
  <si>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</si>
  <si>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</si>
  <si>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</si>
  <si>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</si>
  <si>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</si>
  <si>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</si>
  <si>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</si>
  <si>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</si>
  <si>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</si>
  <si>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</si>
  <si>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</si>
  <si>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</si>
  <si>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</si>
  <si>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</si>
  <si>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</si>
  <si>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</si>
  <si>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</si>
  <si>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</si>
  <si>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</si>
  <si>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</si>
  <si>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</si>
  <si>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</si>
  <si>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</si>
  <si>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</si>
  <si>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</si>
  <si>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</si>
  <si>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</si>
  <si>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</si>
  <si>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</si>
  <si>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</si>
  <si>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</si>
  <si>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</si>
  <si>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</si>
  <si>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</si>
  <si>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</si>
  <si>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</si>
  <si>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</si>
  <si>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</si>
  <si>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</si>
  <si>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</si>
  <si>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</si>
  <si>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</si>
  <si>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</si>
  <si>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</si>
  <si>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</si>
  <si>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</si>
  <si>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</si>
  <si>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</si>
  <si>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</si>
  <si>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</si>
  <si>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</si>
  <si>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</si>
  <si>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</si>
  <si>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</si>
  <si>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</si>
  <si>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</si>
  <si>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</si>
  <si>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</si>
  <si>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</si>
  <si>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</si>
  <si>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</si>
  <si>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</si>
  <si>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</si>
  <si>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</si>
  <si>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</si>
  <si>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</si>
  <si>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</si>
  <si>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</si>
  <si>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</si>
  <si>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</si>
  <si>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</si>
  <si>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</si>
  <si>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</si>
  <si>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</si>
  <si>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</si>
  <si>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</si>
  <si>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</si>
  <si>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</si>
  <si>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</si>
  <si>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</si>
  <si>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</si>
  <si>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</si>
  <si>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</si>
  <si>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</si>
  <si>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</si>
  <si>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</si>
  <si>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</si>
  <si>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</si>
  <si>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</si>
  <si>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</si>
  <si>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</si>
  <si>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</si>
  <si>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</si>
  <si>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</si>
  <si>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</si>
  <si>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</si>
  <si>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</si>
  <si>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</si>
  <si>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</si>
  <si>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</si>
  <si>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</si>
  <si>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</si>
  <si>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</si>
  <si>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</si>
  <si>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</si>
  <si>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</si>
  <si>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</si>
  <si>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</si>
  <si>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</si>
  <si>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</si>
  <si>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</si>
  <si>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</si>
  <si>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</si>
  <si>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</si>
  <si>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</si>
  <si>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</si>
  <si>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</si>
  <si>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</si>
  <si>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</si>
  <si>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</si>
  <si>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</si>
  <si>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</si>
  <si>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</si>
  <si>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</si>
  <si>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</si>
  <si>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</si>
  <si>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</si>
  <si>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</si>
  <si>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</si>
  <si>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</si>
  <si>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</si>
  <si>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</si>
  <si>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</si>
  <si>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</si>
  <si>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</si>
  <si>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</si>
  <si>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</si>
  <si>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</si>
  <si>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</si>
  <si>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</si>
  <si>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</si>
  <si>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</si>
  <si>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</si>
  <si>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</si>
  <si>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</si>
  <si>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</si>
  <si>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</si>
  <si>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</si>
  <si>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</si>
  <si>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</si>
  <si>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</si>
  <si>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</si>
  <si>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</si>
  <si>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</si>
  <si>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</si>
  <si>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</si>
  <si>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</si>
  <si>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</si>
  <si>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</si>
  <si>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</si>
  <si>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</si>
  <si>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</si>
  <si>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</si>
  <si>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</si>
  <si>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Will Lincoln run? 815-478-3799</t>
  </si>
  <si>
    <t>YES</t>
  </si>
  <si>
    <t>NO</t>
  </si>
  <si>
    <t>Time on</t>
  </si>
  <si>
    <t>Will Elwood run? 815-423-9973</t>
  </si>
  <si>
    <t>N/A</t>
  </si>
  <si>
    <t>`</t>
  </si>
  <si>
    <t xml:space="preserve">  TODAY - MOSTLY CLOUDY; VERY WINDY AND COOL.</t>
  </si>
  <si>
    <t xml:space="preserve">  TONIGHT - COOL AND BREEZY WITH PATCHY CLOUDS.</t>
  </si>
  <si>
    <t xml:space="preserve">  PARTLY SUNNY AND BREEZY</t>
  </si>
  <si>
    <t xml:space="preserve">  SUNSHINE AND PATCHY CLOUDS</t>
  </si>
  <si>
    <t xml:space="preserve">  BRIGHT AND SUNNY</t>
  </si>
  <si>
    <t xml:space="preserve">  SEVERAL HOURS OF SUNSHINE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</si>
</sst>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76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5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  <xf numFmtId="0" fontId="34" fillId="6" borderId="0" xfId="0" applyFont="1" applyFill="1" applyBorder="1" applyAlignment="1">
      <alignment horizontal="left"/>
    </xf>
    <xf numFmtId="167" fontId="7" fillId="0" borderId="53" xfId="0" applyNumberFormat="1" applyFont="1" applyBorder="1"/>
    <xf numFmtId="0" fontId="28" fillId="5" borderId="8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6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2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1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C726F96A-B571-71BB-EBE4-98BA0D689E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4131C8CB-6126-229F-9179-5965E1379A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6744D991-DD9A-13C7-F1B3-D221941364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38B042C2-CA91-2CD7-1836-36D6AF69C6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79B772AF-A8D3-FD98-A69D-0917F9A4DB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136EDF8B-B464-4BEF-E6C5-1424E68645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4817B8B3-89A8-B0E1-A174-0A22BAA8FD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C5FE00E6-00EC-5A66-B653-E7C69299DA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B29B99E9-397E-37B5-DA9E-D321B5EE48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68ED1E2D-4724-F341-28E8-AD7BEFF7F2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2C354A22-DEBF-B2EC-77F8-B66289DEB0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A55BA4AD-B2CC-380E-B11C-5AC448E4D4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9C5E9ECD-392E-8757-272D-F3C4AFB8EF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AFA3404C-78F2-6759-32BD-1ED921455A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36A808D-E4E7-390D-1E25-22EE376075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38826396-0AA4-EF3C-FAAE-5DB87697DE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4673E397-EE01-8637-283E-64CD1D5CE4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EE8B95FE-AFC3-4E35-03C8-B432280583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DF123740-B2BB-2530-9134-B85D8AEC49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57233DB7-FD43-4EA1-14F3-C722E0C21B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5E2AA4F3-9DC0-7611-5712-5D79C1FAD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6D68DA9D-C506-A25A-7F5C-7E9BFF460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4E9CCF4D-0320-2F1B-C635-CA5F2D616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C1AFC1EE-01AB-B73C-41B4-9CA0435DD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0BCB2B90-E80C-6DDD-29F8-F611D7F7C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AB6778CC-9D04-A324-28BC-372036BA3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2C6311E3-2272-BFB2-5BB1-D8D770A2C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382E92EF-290B-88E3-7F7D-73ECD0CA7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1770C8BC-0D25-406C-7C94-48BD4963A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4ECD22A8-BF25-4ED8-92FB-CCB29C4CC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5C7E41EF-241A-E169-B18F-855BFBC22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209A1816-53D2-58D0-D2DC-6ADDB1FC9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44CE07B2-A8AC-B645-0442-E40066791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A0683697-DE8D-D361-B4A0-908C9220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F511020D-DE96-3C0B-8FA4-83C09B0BC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8E42A6F7-657F-0C36-AF06-D82A906E4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DE5DA34C-E42C-B029-E52E-213F60EEB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76272537-3E8C-AF3C-133B-08E249C4F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F051E506-01D5-AFD4-2ADE-47A7D5B82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D11BD10F-EDF1-D0DE-C260-50BD7C220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FA24887D-831E-0141-70B8-4EAE87256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E34D0673-B656-E5CD-6B1F-4EE0E5366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9DDCDD85-C987-D82E-2D5D-3F8B4C8BD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F4E4FC1A-CF20-8550-0487-829EE1046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943" name="Day_1">
          <a:extLst>
            <a:ext uri="{FF2B5EF4-FFF2-40B4-BE49-F238E27FC236}">
              <a16:creationId xmlns:a16="http://schemas.microsoft.com/office/drawing/2014/main" id="{6647D421-8C8C-04D9-F728-3ADEEB071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944" name="Day_2">
          <a:extLst>
            <a:ext uri="{FF2B5EF4-FFF2-40B4-BE49-F238E27FC236}">
              <a16:creationId xmlns:a16="http://schemas.microsoft.com/office/drawing/2014/main" id="{F6C4DC82-D27D-7382-64A6-2A87F1E0E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945" name="Day_3">
          <a:extLst>
            <a:ext uri="{FF2B5EF4-FFF2-40B4-BE49-F238E27FC236}">
              <a16:creationId xmlns:a16="http://schemas.microsoft.com/office/drawing/2014/main" id="{20669E4F-3BBC-2BC2-53A2-967BCEF43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946" name="Day_4">
          <a:extLst>
            <a:ext uri="{FF2B5EF4-FFF2-40B4-BE49-F238E27FC236}">
              <a16:creationId xmlns:a16="http://schemas.microsoft.com/office/drawing/2014/main" id="{D60E8DAE-3F68-D588-F08C-368DB9F93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947" name="Day_5">
          <a:extLst>
            <a:ext uri="{FF2B5EF4-FFF2-40B4-BE49-F238E27FC236}">
              <a16:creationId xmlns:a16="http://schemas.microsoft.com/office/drawing/2014/main" id="{7B1815EC-5724-D23E-B391-CA4E37689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948" name="Day_6">
          <a:extLst>
            <a:ext uri="{FF2B5EF4-FFF2-40B4-BE49-F238E27FC236}">
              <a16:creationId xmlns:a16="http://schemas.microsoft.com/office/drawing/2014/main" id="{75639550-8DF2-0E62-FDC9-067D530BA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97250F4E-2EFA-3617-5A41-1EBD1DCAE85D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6F076AB8-3E78-38FE-4AAF-545CD1A07EC2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1F4D5D6D-9F1A-40B0-88DF-41B0F3F35B4F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375D0826-34EE-3F5F-366E-B7C95544D935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E1E49261-86ED-5523-379E-B5BD8325C8D5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4A0C5A24-4616-C147-8473-87048B5FE354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5C8760EE-B92F-E72F-985A-CC505BB11B15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5C0BBB8F-C09B-48F8-D1DE-FD306055AB68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0DEEB5D6-549E-3166-FC98-DB646202497F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9B76F5ED-C685-BC01-3828-A9E0B4B6F5F2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8A19FAB3-1A20-A18E-5DBF-C584059ADA63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82F484A4-0157-1474-688B-9FF2935CBA2B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4F97A0D5-1C8E-9785-370E-430FB48A1F17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AA111395-124B-E0D5-CDAC-070382F43A05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67E72E2C-473A-479B-92BF-17F9C65B7CC8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86A2D3A7-6B5A-3764-B15B-9DF9A4E9BE31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8525CAF6-066A-5054-DF3E-881F0BB35217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DF87F876-C4FA-7553-55F0-6F3FB0F7D212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D9E24121-FE37-C290-BDD9-59675EC24A03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CD8D846C-3972-9E45-7BD0-496D66859F7B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73295C11-F2F4-58EF-6FAC-38BCB035BD8E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C6459364-2A18-5B6F-3AC2-4AA0B64BD456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9CB5BDCC-2F04-E81F-62B5-91B852437F26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08A247D1-3C80-3BC8-5B1F-74FA1BA351EF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0C7200C0-4168-6F83-E38A-DA583BFFED7F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E4AD1585-349B-43CB-BBDE-09E2D1E514E5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14AC88CC-00C1-849E-7E12-B6219D1CEE7D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919CBEF8-AAD0-A0E8-C005-7757222CDEA1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1C7B5299-296E-D7DB-5008-2538B21A3A66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12AC9B7D-6016-52BF-BB70-AA4D0568ED49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256D8B3C-56A6-4529-AD76-E799006938D2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60DF0708-F203-8EBC-C691-8FB30C0F9C6C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5948EF82-86CF-29F1-8090-CC46EBB2C86F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943B5AF4-607A-A771-B433-3B1C5A7B3802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F37F59C4-8CFA-2EBA-1EE6-EFB9428D428F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4C7EF00F-D943-46FA-F081-D086D54D4657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9A63FD5B-D209-7604-7F4F-ACB080F36627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6C14B6E6-9722-3CA9-983D-122911BB3553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25908C29-CD76-FE70-E596-3073DC9EEA69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A22E2696-8E84-742C-E087-04E9041613EF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8AA08CA5-3AC2-E3FA-D7A0-4E3FFE67E868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C25605FA-8AFC-A7C6-61A8-5F35B43B6387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39063343-CB32-C9AB-6E83-99A70C0BB576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02A42EAF-DFDD-64F8-B7FE-EF5C4AE66973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02B416AA-0E09-7EC6-EB56-A8C0170353D2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BD2E2469-7970-3A2B-B171-35594C66F76A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7E4B5BF4-8AFB-DCCE-CCD4-E1199EA4182E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70F165DF-C396-A5C2-96AB-D1383E7BE9A4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B379EEEB-0A85-5CFB-3098-0954881099D4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D503311A-F21A-06D7-7A09-48A57222086F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C7821091-D99E-6FDF-CED5-6F196CE06B34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8170DD38-69A3-9048-16BE-5E81FDFD4D59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FE88EF91-71B7-F2D0-BD88-A0AA55E3AFA2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2A1DCA60-D380-297D-1A0E-6EC9E4CB0201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1F0818AE-DB6E-F78E-FA2E-BED49C63B263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F973D164-CF2B-6F44-42E6-98F08F5AA238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7176A546-047F-0DCD-6483-27A6B5A4F625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B99896BB-C5F1-B179-820D-18EB7DC4AFFD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75DA06AF-5A29-C8CD-2D21-AC3A579CD577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22CFB5EB-CAD3-81FB-E8BC-253CD01E5420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EBF750CF-F16F-CC2C-113B-7E22BF635389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232BE89A-9AA0-A3F9-231D-53FB81A4C7CC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9226009D-7784-1E55-536A-2E14BF50F3DA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87B880C4-949E-03D9-6B30-5E55CC974ED8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510BAE89-FD1D-606A-C6FA-94622C638A45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74E87C16-D23C-3F7C-A4A0-D365DB1D0964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14309707-6034-0EC5-A8EA-72796E6BA38A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56E389D9-6235-4512-2A07-AC3BBFF0276D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9C15B392-416D-14B3-ACC8-13DE2F5D21A5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57A3B27A-0432-E28A-F486-146DBA98DEE0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9E8E5774-A791-F5B0-38CF-3AB6654480B7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4E1CE360-15E9-E276-2B3F-D157D2CAD047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E4B87032-0139-E573-2B25-4E9702F3FABB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FEF30868-0679-8667-1CA1-C1E283C3AF82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D149729B-B929-EABF-EAA9-171E2EFD3F97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F68A31FF-D067-D78A-9BBC-D6792E9D3F3B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5D5929BE-D2D2-5CA6-92EF-03C65F480CA9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63A6BC9D-FADE-7541-778E-E32B1A71B1BB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AC45AA97-E144-47C6-257A-7D9F9FB131B4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89DC12C1-A0FD-5A29-26CC-36B9927B8A76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3AC6333E-EB38-10B2-3524-91AC77F35C4C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7B966952-F16D-CE40-E33A-D101E8E4536E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D724EDBE-3F8D-1CD1-8E2D-F721F0EC750B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D1E508C9-44A8-B8FF-056B-018C41BC9A1B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1B2DF289-C1C1-1389-CFD7-D82789956FCA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2020DBAB-F27C-58B0-A248-AA0D9C7349C4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1004179E-72A9-8609-1D28-8029D399F6F8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5AA2014D-DB32-C97E-49B4-B0E316618C8F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C6AB6242-B748-36B0-EF0D-4253758E0AA9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5B0F0D1C-51D5-2CE6-B05B-1E7B82735459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CB443B74-2A3E-DBA8-74D1-870EAE0B12AF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C4E677C8-0886-682F-7880-CBD174677F97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3603F526-5810-DA14-748F-223B1C09CFDA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E59B1914-67F0-0964-AA31-6122D04E46DD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C341E16D-F085-03A7-4BBE-36B71DEA4814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7DB7B0EB-CD27-414B-BB74-222E568CD0E8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6A376553-EA02-252E-BBF0-06E19DB93A0B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497EEA63-DAAB-2BCE-54C9-3626849FC371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2364D425-9B14-4DA7-C35A-8DC7699E31AC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36A51543-AF44-E024-13FC-9504AEC68BBA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18F4EA03-3E62-3999-5719-3E63DF4ADF4E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FCAB921E-C413-0544-A49D-86394A2FCEBB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5459CBD6-310F-6808-3026-CF8D75826CB5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CD20E5E0-3363-DEE8-8589-7156CE200FB8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3C56B3FE-7411-CA4F-A551-A679D4B7BD55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0C9F5804-00B8-2EA8-380E-F4DD1376B540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3A754133-3D66-3136-FC05-61C9045347ED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16A5EE9C-17B3-20A2-2D93-3842D9910C97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E6513AA3-E5F1-BB5D-3F64-39B7B252DD6B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597B6123-3F91-E9B8-5FEE-D7FE990B1636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4E2EB33E-4C0E-D7A5-5C40-986B8899E5EA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C481E463-6F89-E389-EA3D-48AE93C55232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3DC5848E-E717-3D84-7936-F104338CBA28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80083B42-634B-A1D2-821A-02E22239EEA4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A4489C78-B7B2-B9A2-3D31-48781B2CD111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696FB867-2FB8-4B36-A446-5BA6ACDB300E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1D267FB1-EC33-8822-A8F3-3B4BBFB3271A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255D0DA4-7328-F1E6-A3D7-F41641822BB1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014B05D0-12FD-36D0-2FCA-B3DC2E50999D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8753B740-D299-E634-13BB-2E333E1D7A80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DC641826-A0C1-3C2B-21C4-DE62CA9AFFDB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ACC33804-3F1C-5EB8-B44A-5593268EE932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52EE255A-7214-8D2E-7047-91C76A8E323E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B76ECA3E-D66A-9A01-646D-DDBDC3355A30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57CE102D-1F5C-DC73-6BEA-70A77AA695F6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05F3F37D-795F-9B3C-C308-EAFF623F8D39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303A8DC5-F899-E4C2-C8ED-6DF6E0E58F85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585E2A3B-7637-C5A5-1A43-A8861B7F38FD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BF0F39D8-08DA-9EA1-9946-9C8E7A71FBB3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773A8C4A-13AC-6776-7EB2-87FB6C6BA98E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05"/>
      <c r="B1" s="777"/>
    </row>
    <row r="2" spans="1:88">
      <c r="A2" s="1005"/>
      <c r="B2" t="s">
        <v>9</v>
      </c>
    </row>
    <row r="3" spans="1:88" ht="15.75" thickBot="1">
      <c r="A3" s="107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38"/>
      <c r="B4" s="777" t="s">
        <v>157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157</v>
      </c>
      <c r="H6" t="s">
        <v>9</v>
      </c>
      <c r="J6" t="s">
        <v>157</v>
      </c>
      <c r="K6" t="s">
        <v>379</v>
      </c>
    </row>
    <row r="7" spans="1:88">
      <c r="A7" t="s">
        <v>9</v>
      </c>
      <c r="B7" t="s">
        <v>9</v>
      </c>
      <c r="H7" t="s">
        <v>157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4" t="s">
        <v>620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157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157</v>
      </c>
      <c r="I10" t="s">
        <v>9</v>
      </c>
      <c r="J10" t="s">
        <v>157</v>
      </c>
      <c r="K10" t="s">
        <v>9</v>
      </c>
      <c r="L10" t="s">
        <v>561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561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157</v>
      </c>
      <c r="L14" t="s">
        <v>9</v>
      </c>
    </row>
    <row r="15" spans="1:88">
      <c r="A15" s="442" t="s">
        <v>9</v>
      </c>
      <c r="B15" t="s">
        <v>157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157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682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128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559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559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157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561</v>
      </c>
    </row>
    <row r="26" spans="1:13">
      <c r="A26" t="s">
        <v>9</v>
      </c>
      <c r="B26" t="s">
        <v>9</v>
      </c>
      <c r="C26" t="s">
        <v>157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561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157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157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157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sqref="A1:I26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42" t="s">
        <v>575</v>
      </c>
      <c r="B1" s="801"/>
      <c r="C1" s="801"/>
      <c r="D1" s="801"/>
      <c r="E1" s="801"/>
      <c r="F1" s="801"/>
      <c r="G1" s="801" t="s">
        <v>129</v>
      </c>
      <c r="H1" s="843" t="str">
        <f>D3</f>
        <v>MON</v>
      </c>
      <c r="I1" s="844">
        <f>D4</f>
        <v>37158</v>
      </c>
      <c r="J1" s="110"/>
    </row>
    <row r="2" spans="1:10" ht="24.95" customHeight="1">
      <c r="A2" s="804" t="s">
        <v>151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5" customHeight="1" thickBot="1">
      <c r="A3" s="807"/>
      <c r="B3" s="805"/>
      <c r="C3" s="805"/>
      <c r="D3" s="808" t="str">
        <f t="shared" ref="D3:I3" si="0">CHOOSE(WEEKDAY(D4),"SUN","MON","TUE","WED","THU","FRI","SAT")</f>
        <v>MON</v>
      </c>
      <c r="E3" s="808" t="str">
        <f t="shared" si="0"/>
        <v>TUE</v>
      </c>
      <c r="F3" s="808" t="str">
        <f t="shared" si="0"/>
        <v>WED</v>
      </c>
      <c r="G3" s="808" t="str">
        <f t="shared" si="0"/>
        <v>THU</v>
      </c>
      <c r="H3" s="808" t="str">
        <f t="shared" si="0"/>
        <v>FRI</v>
      </c>
      <c r="I3" s="809" t="str">
        <f t="shared" si="0"/>
        <v>SAT</v>
      </c>
      <c r="J3" s="110"/>
    </row>
    <row r="4" spans="1:10" ht="24.95" customHeight="1" thickBot="1">
      <c r="A4" s="810" t="s">
        <v>152</v>
      </c>
      <c r="B4" s="811"/>
      <c r="C4" s="811"/>
      <c r="D4" s="812">
        <f>Weather_Input!A5</f>
        <v>37158</v>
      </c>
      <c r="E4" s="812">
        <f>Weather_Input!A6</f>
        <v>37159</v>
      </c>
      <c r="F4" s="812">
        <f>Weather_Input!A7</f>
        <v>37160</v>
      </c>
      <c r="G4" s="812">
        <f>Weather_Input!A8</f>
        <v>37161</v>
      </c>
      <c r="H4" s="812">
        <f>Weather_Input!A9</f>
        <v>37162</v>
      </c>
      <c r="I4" s="813">
        <f>Weather_Input!A10</f>
        <v>37163</v>
      </c>
      <c r="J4" s="110"/>
    </row>
    <row r="5" spans="1:10" s="111" customFormat="1" ht="24.95" customHeight="1" thickTop="1">
      <c r="A5" s="814" t="s">
        <v>131</v>
      </c>
      <c r="B5" s="805"/>
      <c r="C5" s="805" t="s">
        <v>132</v>
      </c>
      <c r="D5" s="845" t="str">
        <f>TEXT(Weather_Input!B5,"0")&amp;"/"&amp;TEXT(Weather_Input!C5,"0") &amp; "/" &amp; TEXT((Weather_Input!B5+Weather_Input!C5)/2,"0")</f>
        <v>54/42/48</v>
      </c>
      <c r="E5" s="845" t="str">
        <f>TEXT(Weather_Input!B6,"0")&amp;"/"&amp;TEXT(Weather_Input!C6,"0") &amp; "/" &amp; TEXT((Weather_Input!B6+Weather_Input!C6)/2,"0")</f>
        <v>58/42/50</v>
      </c>
      <c r="F5" s="845" t="str">
        <f>TEXT(Weather_Input!B7,"0")&amp;"/"&amp;TEXT(Weather_Input!C7,"0") &amp; "/" &amp; TEXT((Weather_Input!B7+Weather_Input!C7)/2,"0")</f>
        <v>62/43/53</v>
      </c>
      <c r="G5" s="845" t="str">
        <f>TEXT(Weather_Input!B8,"0")&amp;"/"&amp;TEXT(Weather_Input!C8,"0") &amp; "/" &amp; TEXT((Weather_Input!B8+Weather_Input!C8)/2,"0")</f>
        <v>63/45/54</v>
      </c>
      <c r="H5" s="845" t="str">
        <f>TEXT(Weather_Input!B9,"0")&amp;"/"&amp;TEXT(Weather_Input!C9,"0") &amp; "/" &amp; TEXT((Weather_Input!B9+Weather_Input!C9)/2,"0")</f>
        <v>66/46/56</v>
      </c>
      <c r="I5" s="846" t="str">
        <f>TEXT(Weather_Input!B10,"0")&amp;"/"&amp;TEXT(Weather_Input!C10,"0") &amp; "/" &amp; TEXT((Weather_Input!B10+Weather_Input!C10)/2,"0")</f>
        <v>66/46/56</v>
      </c>
      <c r="J5" s="110"/>
    </row>
    <row r="6" spans="1:10" ht="24.95" customHeight="1">
      <c r="A6" s="817" t="s">
        <v>133</v>
      </c>
      <c r="B6" s="805"/>
      <c r="C6" s="805"/>
      <c r="D6" s="815">
        <f ca="1">VLOOKUP(D4,NSG_Sendouts,CELL("Col",NSG_Deliveries!C5),FALSE)/1000</f>
        <v>56</v>
      </c>
      <c r="E6" s="815">
        <f ca="1">VLOOKUP(E4,NSG_Sendouts,CELL("Col",NSG_Deliveries!C6),FALSE)/1000</f>
        <v>60</v>
      </c>
      <c r="F6" s="815">
        <f ca="1">VLOOKUP(F4,NSG_Sendouts,CELL("Col",NSG_Deliveries!C7),FALSE)/1000</f>
        <v>56</v>
      </c>
      <c r="G6" s="815">
        <f ca="1">VLOOKUP(G4,NSG_Sendouts,CELL("Col",NSG_Deliveries!C8),FALSE)/1000</f>
        <v>53</v>
      </c>
      <c r="H6" s="815">
        <f ca="1">VLOOKUP(H4,NSG_Sendouts,CELL("Col",NSG_Deliveries!C9),FALSE)/1000</f>
        <v>49</v>
      </c>
      <c r="I6" s="820">
        <f ca="1">VLOOKUP(I4,NSG_Sendouts,CELL("Col",NSG_Deliveries!C10),FALSE)/1000</f>
        <v>46</v>
      </c>
      <c r="J6" s="111"/>
    </row>
    <row r="7" spans="1:10" ht="24.95" customHeight="1">
      <c r="A7" s="814" t="s">
        <v>137</v>
      </c>
      <c r="B7" s="805" t="s">
        <v>138</v>
      </c>
      <c r="C7" s="805" t="s">
        <v>57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5" customHeight="1">
      <c r="A8" s="814"/>
      <c r="B8" s="805" t="s">
        <v>136</v>
      </c>
      <c r="C8" s="819" t="s">
        <v>86</v>
      </c>
      <c r="D8" s="815">
        <f>NSG_Requirements!J7/1000</f>
        <v>0</v>
      </c>
      <c r="E8" s="815">
        <f>NSG_Requirements!J8/1000</f>
        <v>0</v>
      </c>
      <c r="F8" s="815">
        <f>NSG_Requirements!J9/1000</f>
        <v>0</v>
      </c>
      <c r="G8" s="815">
        <f>NSG_Requirements!J10/1000</f>
        <v>0</v>
      </c>
      <c r="H8" s="815">
        <f>NSG_Requirements!J11/1000</f>
        <v>0</v>
      </c>
      <c r="I8" s="816">
        <f>NSG_Requirements!J12/1000</f>
        <v>0</v>
      </c>
      <c r="J8" s="110"/>
    </row>
    <row r="9" spans="1:10" ht="24.95" customHeight="1">
      <c r="A9" s="814"/>
      <c r="B9" s="805" t="s">
        <v>134</v>
      </c>
      <c r="C9" s="819" t="s">
        <v>86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5" customHeight="1">
      <c r="A10" s="832" t="s">
        <v>153</v>
      </c>
      <c r="B10" s="833" t="s">
        <v>369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5" customHeight="1" thickBot="1">
      <c r="A11" s="849" t="s">
        <v>142</v>
      </c>
      <c r="B11" s="839"/>
      <c r="C11" s="839"/>
      <c r="D11" s="824">
        <f t="shared" ref="D11:I11" ca="1" si="1">SUM(D6:D10)</f>
        <v>56</v>
      </c>
      <c r="E11" s="824">
        <f t="shared" ca="1" si="1"/>
        <v>60</v>
      </c>
      <c r="F11" s="824">
        <f t="shared" ca="1" si="1"/>
        <v>56</v>
      </c>
      <c r="G11" s="824">
        <f t="shared" ca="1" si="1"/>
        <v>53</v>
      </c>
      <c r="H11" s="824">
        <f t="shared" ca="1" si="1"/>
        <v>49</v>
      </c>
      <c r="I11" s="825">
        <f t="shared" ca="1" si="1"/>
        <v>46</v>
      </c>
      <c r="J11" s="110"/>
    </row>
    <row r="12" spans="1:10" ht="24.95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5" customHeight="1" thickTop="1" thickBot="1">
      <c r="A13" s="853" t="s">
        <v>143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5" customHeight="1" thickTop="1">
      <c r="A14" s="814" t="s">
        <v>677</v>
      </c>
      <c r="B14" s="805" t="s">
        <v>138</v>
      </c>
      <c r="C14" s="805" t="s">
        <v>154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5" customHeight="1">
      <c r="A15" s="814"/>
      <c r="B15" s="805" t="s">
        <v>136</v>
      </c>
      <c r="C15" s="805" t="s">
        <v>145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5" customHeight="1">
      <c r="A16" s="814"/>
      <c r="B16" s="805"/>
      <c r="C16" s="819" t="s">
        <v>741</v>
      </c>
      <c r="D16" s="815">
        <f>NSG_Supplies!E7/1000</f>
        <v>8.5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5" customHeight="1">
      <c r="A17" s="814"/>
      <c r="B17" s="805" t="s">
        <v>134</v>
      </c>
      <c r="C17" s="819" t="s">
        <v>742</v>
      </c>
      <c r="D17" s="815">
        <f>NSG_Supplies!F7/1000</f>
        <v>0</v>
      </c>
      <c r="E17" s="815">
        <f>NSG_Supplies!F8/1000</f>
        <v>0</v>
      </c>
      <c r="F17" s="815">
        <f>NSG_Supplies!F9/1000</f>
        <v>0</v>
      </c>
      <c r="G17" s="815">
        <f>NSG_Supplies!F10/1000</f>
        <v>0</v>
      </c>
      <c r="H17" s="815">
        <f>NSG_Supplies!F11/1000</f>
        <v>0</v>
      </c>
      <c r="I17" s="820">
        <f>NSG_Supplies!F12/1000</f>
        <v>0</v>
      </c>
      <c r="J17" s="111"/>
    </row>
    <row r="18" spans="1:13" ht="24.95" customHeight="1">
      <c r="A18" s="814"/>
      <c r="B18" s="805" t="s">
        <v>80</v>
      </c>
      <c r="C18" s="805" t="s">
        <v>678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5" customHeight="1">
      <c r="A19" s="814" t="s">
        <v>155</v>
      </c>
      <c r="B19" s="805" t="s">
        <v>134</v>
      </c>
      <c r="C19" s="1055" t="s">
        <v>679</v>
      </c>
      <c r="D19" s="815">
        <f>NSG_Supplies!Q7/1000</f>
        <v>27.504000000000001</v>
      </c>
      <c r="E19" s="815">
        <f>NSG_Supplies!Q8/1000</f>
        <v>27.504000000000001</v>
      </c>
      <c r="F19" s="815">
        <f>NSG_Supplies!Q9/1000</f>
        <v>27.504000000000001</v>
      </c>
      <c r="G19" s="815">
        <f>NSG_Supplies!Q10/1000</f>
        <v>27.504000000000001</v>
      </c>
      <c r="H19" s="815">
        <f>NSG_Supplies!Q11/1000</f>
        <v>27.504000000000001</v>
      </c>
      <c r="I19" s="816">
        <f>NSG_Supplies!Q12/1000</f>
        <v>27.504000000000001</v>
      </c>
      <c r="J19" s="110"/>
    </row>
    <row r="20" spans="1:13" ht="24.95" customHeight="1">
      <c r="A20" s="814"/>
      <c r="B20" s="805" t="s">
        <v>136</v>
      </c>
      <c r="C20" s="805" t="s">
        <v>567</v>
      </c>
      <c r="D20" s="815">
        <f>NSG_Supplies!P7/1000</f>
        <v>20</v>
      </c>
      <c r="E20" s="815">
        <f>NSG_Supplies!P8/1000</f>
        <v>20</v>
      </c>
      <c r="F20" s="815">
        <f>NSG_Supplies!P9/1000</f>
        <v>20</v>
      </c>
      <c r="G20" s="815">
        <f>NSG_Supplies!P10/1000</f>
        <v>20</v>
      </c>
      <c r="H20" s="815">
        <f>NSG_Supplies!P11/1000</f>
        <v>20</v>
      </c>
      <c r="I20" s="816">
        <f>NSG_Supplies!P12/1000</f>
        <v>20</v>
      </c>
      <c r="J20" s="110"/>
    </row>
    <row r="21" spans="1:13" ht="24.95" customHeight="1" thickBot="1">
      <c r="A21" s="1198" t="s">
        <v>148</v>
      </c>
      <c r="B21" s="1199"/>
      <c r="C21" s="1199"/>
      <c r="D21" s="1200">
        <f t="shared" ref="D21:I21" si="2">SUM(D14:D20)</f>
        <v>56.004000000000005</v>
      </c>
      <c r="E21" s="1200">
        <f t="shared" si="2"/>
        <v>47.504000000000005</v>
      </c>
      <c r="F21" s="1200">
        <f t="shared" si="2"/>
        <v>47.504000000000005</v>
      </c>
      <c r="G21" s="1200">
        <f t="shared" si="2"/>
        <v>47.504000000000005</v>
      </c>
      <c r="H21" s="1200">
        <f t="shared" si="2"/>
        <v>47.504000000000005</v>
      </c>
      <c r="I21" s="1201">
        <f t="shared" si="2"/>
        <v>47.504000000000005</v>
      </c>
      <c r="J21" s="110"/>
      <c r="K21" s="111"/>
      <c r="L21" s="93"/>
      <c r="M21" s="111"/>
    </row>
    <row r="22" spans="1:13" ht="24.95" customHeight="1">
      <c r="A22" s="854" t="s">
        <v>149</v>
      </c>
      <c r="B22" s="855"/>
      <c r="C22" s="855"/>
      <c r="D22" s="856">
        <f t="shared" ref="D22:I22" ca="1" si="3">IF(D21-D11&lt;0,0,D21-D11)</f>
        <v>4.0000000000048885E-3</v>
      </c>
      <c r="E22" s="856">
        <f t="shared" ca="1" si="3"/>
        <v>0</v>
      </c>
      <c r="F22" s="856">
        <f t="shared" ca="1" si="3"/>
        <v>0</v>
      </c>
      <c r="G22" s="856">
        <f t="shared" ca="1" si="3"/>
        <v>0</v>
      </c>
      <c r="H22" s="856">
        <f t="shared" ca="1" si="3"/>
        <v>0</v>
      </c>
      <c r="I22" s="857">
        <f t="shared" ca="1" si="3"/>
        <v>1.5040000000000049</v>
      </c>
      <c r="J22" s="110"/>
      <c r="K22" s="111"/>
      <c r="L22" s="93"/>
      <c r="M22" s="111"/>
    </row>
    <row r="23" spans="1:13" ht="24.95" customHeight="1" thickBot="1">
      <c r="A23" s="858" t="s">
        <v>150</v>
      </c>
      <c r="B23" s="839"/>
      <c r="C23" s="839"/>
      <c r="D23" s="840">
        <f t="shared" ref="D23:I23" ca="1" si="4">IF(D11-D21&lt;0,0,D11-D21)</f>
        <v>0</v>
      </c>
      <c r="E23" s="840">
        <f t="shared" ca="1" si="4"/>
        <v>12.495999999999995</v>
      </c>
      <c r="F23" s="840">
        <f t="shared" ca="1" si="4"/>
        <v>8.4959999999999951</v>
      </c>
      <c r="G23" s="840">
        <f t="shared" ca="1" si="4"/>
        <v>5.4959999999999951</v>
      </c>
      <c r="H23" s="840">
        <f t="shared" ca="1" si="4"/>
        <v>1.4959999999999951</v>
      </c>
      <c r="I23" s="841">
        <f t="shared" ca="1" si="4"/>
        <v>0</v>
      </c>
      <c r="J23" s="110"/>
      <c r="K23" s="111"/>
      <c r="L23" s="111"/>
      <c r="M23" s="111"/>
    </row>
    <row r="24" spans="1:13" ht="24.95" customHeight="1" thickTop="1" thickBot="1">
      <c r="A24" s="1056" t="s">
        <v>680</v>
      </c>
      <c r="B24" s="1057"/>
      <c r="C24" s="1057"/>
      <c r="D24" s="1058">
        <f>NSG_Supplies!R7/1000</f>
        <v>17.646999999999998</v>
      </c>
      <c r="E24" s="1058">
        <f>NSG_Supplies!R8/1000</f>
        <v>17.646999999999998</v>
      </c>
      <c r="F24" s="1058">
        <f>NSG_Supplies!R9/1000</f>
        <v>17.646999999999998</v>
      </c>
      <c r="G24" s="1058">
        <f>NSG_Supplies!R10/1000</f>
        <v>17.646999999999998</v>
      </c>
      <c r="H24" s="1058">
        <f>NSG_Supplies!R11/1000</f>
        <v>17.646999999999998</v>
      </c>
      <c r="I24" s="1059">
        <f>NSG_Supplies!R12/1000</f>
        <v>17.646999999999998</v>
      </c>
    </row>
    <row r="25" spans="1:13" ht="24.95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5" customHeight="1" thickTop="1" thickBot="1">
      <c r="A26" s="861" t="s">
        <v>156</v>
      </c>
      <c r="B26" s="862"/>
      <c r="C26" s="862"/>
      <c r="D26" s="863">
        <f>Weather_Input!D5</f>
        <v>16</v>
      </c>
      <c r="E26" s="863">
        <f>Weather_Input!D6</f>
        <v>12</v>
      </c>
      <c r="F26" s="863">
        <f>Weather_Input!D7</f>
        <v>8</v>
      </c>
      <c r="G26" s="864"/>
      <c r="H26" s="859"/>
      <c r="I26" s="859"/>
    </row>
    <row r="27" spans="1:13" ht="15.75" thickTop="1">
      <c r="D27" s="112" t="s">
        <v>157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>
      <selection sqref="A1:O40"/>
    </sheetView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099" t="s">
        <v>9</v>
      </c>
      <c r="B1" s="1096" t="s">
        <v>9</v>
      </c>
      <c r="C1" s="1097" t="s">
        <v>656</v>
      </c>
      <c r="D1" s="1098"/>
      <c r="E1" s="1099" t="s">
        <v>9</v>
      </c>
      <c r="F1" s="1100" t="s">
        <v>695</v>
      </c>
      <c r="G1" s="1101" t="s">
        <v>9</v>
      </c>
      <c r="H1" s="1102"/>
      <c r="I1" s="1144" t="s">
        <v>9</v>
      </c>
      <c r="J1" s="571"/>
      <c r="K1" s="571"/>
      <c r="L1" s="572" t="s">
        <v>158</v>
      </c>
      <c r="M1" s="1174">
        <f>Weather_Input!A5</f>
        <v>37158</v>
      </c>
      <c r="N1" s="1175" t="str">
        <f>CHOOSE(WEEKDAY(M1),"SUN","MON","TUE","WED","THU","FRI","SAT")</f>
        <v>MON</v>
      </c>
      <c r="O1" s="576"/>
    </row>
    <row r="2" spans="1:17">
      <c r="A2" s="416" t="s">
        <v>659</v>
      </c>
      <c r="B2" s="315">
        <f>PGL_Supplies!W7/1000</f>
        <v>0</v>
      </c>
      <c r="C2" s="8"/>
      <c r="D2" s="596"/>
      <c r="E2" s="551" t="s">
        <v>394</v>
      </c>
      <c r="F2" s="1077"/>
      <c r="G2" s="546" t="s">
        <v>9</v>
      </c>
      <c r="H2" s="1091" t="s">
        <v>9</v>
      </c>
      <c r="I2" s="250" t="s">
        <v>497</v>
      </c>
      <c r="J2" s="1117" t="s">
        <v>377</v>
      </c>
      <c r="K2" s="1121" t="s">
        <v>161</v>
      </c>
      <c r="L2" s="1122" t="s">
        <v>21</v>
      </c>
      <c r="M2" s="1121" t="s">
        <v>161</v>
      </c>
      <c r="N2" s="1117" t="s">
        <v>21</v>
      </c>
      <c r="O2" s="1123" t="s">
        <v>161</v>
      </c>
      <c r="Q2" s="1274" t="s">
        <v>9</v>
      </c>
    </row>
    <row r="3" spans="1:17" ht="15.75">
      <c r="A3" s="416" t="s">
        <v>690</v>
      </c>
      <c r="B3" s="1136">
        <f>PGL_Requirements!I7/1000</f>
        <v>0</v>
      </c>
      <c r="C3" s="930" t="s">
        <v>9</v>
      </c>
      <c r="D3" s="304"/>
      <c r="E3" s="551" t="s">
        <v>443</v>
      </c>
      <c r="F3" s="315"/>
      <c r="G3" s="379" t="s">
        <v>9</v>
      </c>
      <c r="H3" s="1091" t="s">
        <v>9</v>
      </c>
      <c r="I3" s="1145" t="s">
        <v>9</v>
      </c>
      <c r="J3" s="917">
        <f>Weather_Input!B5</f>
        <v>54</v>
      </c>
      <c r="K3" s="918">
        <f>Weather_Input!C5</f>
        <v>42</v>
      </c>
      <c r="L3" s="587" t="s">
        <v>9</v>
      </c>
      <c r="M3" s="260" t="s">
        <v>9</v>
      </c>
      <c r="N3" s="260"/>
      <c r="O3" s="258"/>
    </row>
    <row r="4" spans="1:17" ht="15.75" thickBot="1">
      <c r="A4" s="240" t="s">
        <v>692</v>
      </c>
      <c r="B4" s="1137">
        <v>0</v>
      </c>
      <c r="C4" s="119"/>
      <c r="D4" s="942"/>
      <c r="E4" s="520" t="s">
        <v>444</v>
      </c>
      <c r="F4" s="315">
        <f>PGL_Supplies!H7/1000</f>
        <v>20</v>
      </c>
      <c r="G4" s="509" t="s">
        <v>9</v>
      </c>
      <c r="H4" s="1194"/>
      <c r="I4" t="s">
        <v>725</v>
      </c>
      <c r="J4" s="1009"/>
      <c r="K4" s="1213">
        <v>47.6</v>
      </c>
      <c r="L4" s="425"/>
      <c r="M4" s="1011"/>
      <c r="N4" s="425"/>
      <c r="O4" s="778"/>
    </row>
    <row r="5" spans="1:17" ht="16.5" thickBot="1">
      <c r="A5" s="1020" t="s">
        <v>3</v>
      </c>
      <c r="B5" s="315">
        <f>PGL_Supplies!X7/1000</f>
        <v>88.192999999999998</v>
      </c>
      <c r="C5" s="1012" t="s">
        <v>9</v>
      </c>
      <c r="D5" s="340"/>
      <c r="E5" s="1155" t="s">
        <v>420</v>
      </c>
      <c r="F5" s="936">
        <f>F3+F4</f>
        <v>20</v>
      </c>
      <c r="G5" s="549" t="s">
        <v>9</v>
      </c>
      <c r="H5" s="1183" t="s">
        <v>9</v>
      </c>
      <c r="I5" s="1146" t="s">
        <v>387</v>
      </c>
      <c r="J5" s="1048" t="s">
        <v>9</v>
      </c>
      <c r="K5" s="1214">
        <f>PGL_Deliveries!C5/1000</f>
        <v>285</v>
      </c>
      <c r="L5" s="585"/>
      <c r="M5" s="260"/>
      <c r="N5" s="585"/>
      <c r="O5" s="258"/>
    </row>
    <row r="6" spans="1:17" ht="16.5" thickBot="1">
      <c r="A6" s="542" t="s">
        <v>411</v>
      </c>
      <c r="B6" s="1015">
        <f>+B5-B3+B2-B4</f>
        <v>88.192999999999998</v>
      </c>
      <c r="C6" s="1016" t="s">
        <v>9</v>
      </c>
      <c r="D6" s="514"/>
      <c r="E6" s="618" t="s">
        <v>9</v>
      </c>
      <c r="F6" s="940" t="s">
        <v>35</v>
      </c>
      <c r="G6" s="941"/>
      <c r="H6" s="1092"/>
      <c r="I6" s="119" t="s">
        <v>674</v>
      </c>
      <c r="J6" s="1049"/>
      <c r="K6" s="1215">
        <f>PGL_Requirements!X7/1000</f>
        <v>0</v>
      </c>
      <c r="L6" s="1049"/>
      <c r="M6" s="1050"/>
      <c r="N6" s="119"/>
      <c r="O6" s="116"/>
    </row>
    <row r="7" spans="1:17" ht="16.5" thickBot="1">
      <c r="A7" s="317" t="s">
        <v>9</v>
      </c>
      <c r="B7" s="1013" t="s">
        <v>9</v>
      </c>
      <c r="C7" s="935" t="s">
        <v>65</v>
      </c>
      <c r="D7" s="1014"/>
      <c r="E7" s="416" t="s">
        <v>422</v>
      </c>
      <c r="F7" s="315">
        <f>PGL_Supplies!O7/1000</f>
        <v>0</v>
      </c>
      <c r="G7" s="372" t="s">
        <v>9</v>
      </c>
      <c r="H7" s="1085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562</v>
      </c>
      <c r="B8" s="315">
        <f>PGL_Requirements!T7/1000</f>
        <v>0</v>
      </c>
      <c r="C8" s="577"/>
      <c r="D8" s="304"/>
      <c r="E8" s="416" t="s">
        <v>423</v>
      </c>
      <c r="F8" s="379">
        <f>PGL_Requirements!E7/1000</f>
        <v>1.01</v>
      </c>
      <c r="G8" s="372" t="s">
        <v>9</v>
      </c>
      <c r="H8" s="1085"/>
      <c r="I8" s="1000" t="s">
        <v>688</v>
      </c>
      <c r="J8" s="284" t="s">
        <v>9</v>
      </c>
      <c r="K8" s="1216">
        <f>B4</f>
        <v>0</v>
      </c>
      <c r="L8" s="602"/>
      <c r="M8" s="260"/>
      <c r="N8" s="602"/>
      <c r="O8" s="258" t="s">
        <v>9</v>
      </c>
    </row>
    <row r="9" spans="1:17">
      <c r="A9" s="416" t="s">
        <v>632</v>
      </c>
      <c r="B9" s="315">
        <f>PGL_Supplies!P7/1000</f>
        <v>0</v>
      </c>
      <c r="C9" s="304"/>
      <c r="D9" s="304"/>
      <c r="E9" s="416" t="s">
        <v>424</v>
      </c>
      <c r="F9" s="315">
        <f>PGL_Supplies!F7/1000</f>
        <v>0</v>
      </c>
      <c r="G9" s="315"/>
      <c r="H9" s="1085"/>
      <c r="I9" s="119" t="s">
        <v>656</v>
      </c>
      <c r="J9" s="1009"/>
      <c r="K9" s="1217">
        <f>+B6</f>
        <v>88.192999999999998</v>
      </c>
      <c r="L9" s="1009"/>
      <c r="M9" s="1011"/>
      <c r="N9" s="425"/>
      <c r="O9" s="276" t="s">
        <v>9</v>
      </c>
    </row>
    <row r="10" spans="1:17" ht="15.75" thickBot="1">
      <c r="A10" s="617" t="s">
        <v>618</v>
      </c>
      <c r="B10" s="315">
        <f>PGL_Supplies!Y7/1000</f>
        <v>25.425000000000001</v>
      </c>
      <c r="C10" s="119"/>
      <c r="D10" s="1008"/>
      <c r="E10" s="416" t="s">
        <v>714</v>
      </c>
      <c r="F10" s="944">
        <f>PGL_Supplies!AC7/1000</f>
        <v>1.01</v>
      </c>
      <c r="G10" s="510"/>
      <c r="H10" s="1086"/>
      <c r="I10" s="1147" t="s">
        <v>707</v>
      </c>
      <c r="J10" s="273" t="s">
        <v>9</v>
      </c>
      <c r="K10" s="1216">
        <f>B11</f>
        <v>25.425000000000001</v>
      </c>
      <c r="L10" s="585"/>
      <c r="M10" s="597" t="s">
        <v>9</v>
      </c>
      <c r="N10" s="585"/>
      <c r="O10" s="276" t="s">
        <v>9</v>
      </c>
    </row>
    <row r="11" spans="1:17" ht="16.5" thickBot="1">
      <c r="A11" s="542" t="s">
        <v>411</v>
      </c>
      <c r="B11" s="549">
        <f>B10+B9-B8</f>
        <v>25.425000000000001</v>
      </c>
      <c r="C11" s="514"/>
      <c r="D11" s="514"/>
      <c r="E11" s="771" t="s">
        <v>512</v>
      </c>
      <c r="F11" s="945">
        <f>+F10+F9-F8+F7</f>
        <v>0</v>
      </c>
      <c r="G11" s="936" t="s">
        <v>9</v>
      </c>
      <c r="H11" s="515"/>
      <c r="I11" s="1147" t="s">
        <v>57</v>
      </c>
      <c r="J11" s="273" t="s">
        <v>9</v>
      </c>
      <c r="K11" s="1216">
        <f>B19</f>
        <v>-109.62</v>
      </c>
      <c r="L11" s="585"/>
      <c r="M11" s="260" t="s">
        <v>9</v>
      </c>
      <c r="N11" s="585"/>
      <c r="O11" s="258"/>
    </row>
    <row r="12" spans="1:17" ht="16.5" thickBot="1">
      <c r="A12" s="538" t="s">
        <v>9</v>
      </c>
      <c r="B12" s="543" t="s">
        <v>9</v>
      </c>
      <c r="C12" s="935" t="s">
        <v>57</v>
      </c>
      <c r="D12" s="541"/>
      <c r="E12" s="1139" t="s">
        <v>9</v>
      </c>
      <c r="F12" s="1138" t="s">
        <v>726</v>
      </c>
      <c r="G12" s="350"/>
      <c r="H12" s="1090"/>
      <c r="I12" s="1147" t="s">
        <v>708</v>
      </c>
      <c r="J12" s="273" t="s">
        <v>9</v>
      </c>
      <c r="K12" s="1216">
        <f>B28</f>
        <v>0</v>
      </c>
      <c r="L12" s="585"/>
      <c r="M12" s="260" t="s">
        <v>9</v>
      </c>
      <c r="N12" s="585"/>
      <c r="O12" s="258"/>
    </row>
    <row r="13" spans="1:17">
      <c r="A13" s="416" t="s">
        <v>69</v>
      </c>
      <c r="B13" s="315">
        <f>PGL_Requirements!O7/1000</f>
        <v>110</v>
      </c>
      <c r="C13" s="304"/>
      <c r="D13" s="532"/>
      <c r="E13" s="564" t="s">
        <v>452</v>
      </c>
      <c r="F13" s="1077" t="s">
        <v>9</v>
      </c>
      <c r="G13" s="557" t="s">
        <v>9</v>
      </c>
      <c r="H13" s="1093" t="s">
        <v>9</v>
      </c>
      <c r="I13" s="1147" t="s">
        <v>709</v>
      </c>
      <c r="J13" s="277" t="s">
        <v>9</v>
      </c>
      <c r="K13" s="1216">
        <f>B34</f>
        <v>201.429</v>
      </c>
      <c r="L13" s="585"/>
      <c r="M13" s="260" t="s">
        <v>9</v>
      </c>
      <c r="N13" s="585"/>
      <c r="O13" s="258"/>
    </row>
    <row r="14" spans="1:17">
      <c r="A14" s="416" t="s">
        <v>416</v>
      </c>
      <c r="B14" s="315">
        <f>PGL_Supplies!L7/1000</f>
        <v>0</v>
      </c>
      <c r="C14" s="304"/>
      <c r="D14" s="532"/>
      <c r="E14" s="352" t="s">
        <v>453</v>
      </c>
      <c r="F14" s="304"/>
      <c r="G14" s="523"/>
      <c r="H14" s="1094"/>
      <c r="I14" s="1147" t="s">
        <v>390</v>
      </c>
      <c r="J14" s="273" t="s">
        <v>9</v>
      </c>
      <c r="K14" s="1218">
        <f>F5</f>
        <v>20</v>
      </c>
      <c r="L14" s="585"/>
      <c r="M14" s="260" t="s">
        <v>9</v>
      </c>
      <c r="N14" s="585"/>
      <c r="O14" s="258"/>
    </row>
    <row r="15" spans="1:17" ht="16.5" thickBot="1">
      <c r="A15" s="416" t="s">
        <v>417</v>
      </c>
      <c r="B15" s="315">
        <f>SUM(PGL_Requirements!B7/1000)</f>
        <v>0</v>
      </c>
      <c r="C15" s="304"/>
      <c r="D15" s="1085"/>
      <c r="E15" s="1141" t="s">
        <v>619</v>
      </c>
      <c r="F15" s="943"/>
      <c r="G15" s="1049"/>
      <c r="H15" s="1108"/>
      <c r="I15" s="1147" t="s">
        <v>710</v>
      </c>
      <c r="J15" s="273" t="s">
        <v>157</v>
      </c>
      <c r="K15" s="1216">
        <f>F11</f>
        <v>0</v>
      </c>
      <c r="L15" s="585"/>
      <c r="M15" s="260" t="s">
        <v>9</v>
      </c>
      <c r="N15" s="585"/>
      <c r="O15" s="258"/>
    </row>
    <row r="16" spans="1:17" ht="16.5" thickBot="1">
      <c r="A16" s="416" t="s">
        <v>418</v>
      </c>
      <c r="B16" s="315">
        <f>PGL_Supplies!G7/1000</f>
        <v>1</v>
      </c>
      <c r="C16" s="304"/>
      <c r="D16" s="1085"/>
      <c r="E16" s="1142" t="s">
        <v>9</v>
      </c>
      <c r="F16" s="1103" t="s">
        <v>445</v>
      </c>
      <c r="G16" s="1184"/>
      <c r="H16" s="1143"/>
      <c r="I16" s="1147" t="s">
        <v>513</v>
      </c>
      <c r="J16" s="273" t="s">
        <v>157</v>
      </c>
      <c r="K16" s="1218">
        <f>PGL_Supplies!B7/1000</f>
        <v>36.07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652</v>
      </c>
      <c r="B17" s="315">
        <f>PGL_Requirements!Q7/1000</f>
        <v>0.62</v>
      </c>
      <c r="C17" s="304"/>
      <c r="D17" s="1085"/>
      <c r="E17" s="525" t="s">
        <v>446</v>
      </c>
      <c r="F17" s="545">
        <f>+PGL_Supplies!J7/1000</f>
        <v>0</v>
      </c>
      <c r="G17" s="1168" t="s">
        <v>9</v>
      </c>
      <c r="H17" s="1095" t="s">
        <v>9</v>
      </c>
      <c r="I17" s="1140" t="s">
        <v>514</v>
      </c>
      <c r="J17" s="298" t="s">
        <v>9</v>
      </c>
      <c r="K17" s="1219">
        <f>-PGL_Requirements!F7/1000</f>
        <v>0</v>
      </c>
      <c r="L17" s="585"/>
      <c r="M17" s="260"/>
      <c r="N17" s="585"/>
      <c r="O17" s="258"/>
    </row>
    <row r="18" spans="1:15" ht="16.5" thickBot="1">
      <c r="A18" s="416" t="s">
        <v>653</v>
      </c>
      <c r="B18" s="315">
        <f>PGL_Requirements!P7/1000</f>
        <v>1.65</v>
      </c>
      <c r="C18" s="340"/>
      <c r="D18" s="1086"/>
      <c r="E18" s="618" t="s">
        <v>9</v>
      </c>
      <c r="F18" s="1103" t="s">
        <v>696</v>
      </c>
      <c r="G18" s="941"/>
      <c r="H18" s="1092"/>
      <c r="I18" t="s">
        <v>724</v>
      </c>
      <c r="J18" s="1009"/>
      <c r="K18" s="1220">
        <f>-F19</f>
        <v>0</v>
      </c>
      <c r="L18" s="1009"/>
      <c r="M18" s="217"/>
      <c r="N18" s="1009"/>
      <c r="O18" s="778"/>
    </row>
    <row r="19" spans="1:15" ht="16.5" thickBot="1">
      <c r="A19" s="501" t="s">
        <v>420</v>
      </c>
      <c r="B19" s="1166">
        <f>-B13+B14+B16-B17-B15+B20+B21</f>
        <v>-109.62</v>
      </c>
      <c r="C19" s="503"/>
      <c r="D19" s="515"/>
      <c r="E19" s="1104" t="s">
        <v>697</v>
      </c>
      <c r="F19" s="1169">
        <f>PGL_Requirements!J7/1000</f>
        <v>0</v>
      </c>
      <c r="G19" s="998" t="s">
        <v>9</v>
      </c>
      <c r="H19" s="1105" t="s">
        <v>9</v>
      </c>
      <c r="I19" t="s">
        <v>515</v>
      </c>
      <c r="J19" s="1171"/>
      <c r="K19" s="1221">
        <f>-F24</f>
        <v>0</v>
      </c>
      <c r="L19" s="1171"/>
      <c r="M19" s="157"/>
      <c r="N19" s="1171"/>
      <c r="O19" s="1170"/>
    </row>
    <row r="20" spans="1:15" ht="16.5" thickBot="1">
      <c r="A20" s="323" t="s">
        <v>203</v>
      </c>
      <c r="B20" s="315">
        <v>0</v>
      </c>
      <c r="C20" s="506"/>
      <c r="D20" s="1087"/>
      <c r="E20" s="119"/>
      <c r="F20" s="119"/>
      <c r="G20" s="119"/>
      <c r="H20" s="1116"/>
      <c r="I20" s="1148" t="s">
        <v>619</v>
      </c>
      <c r="J20" s="600" t="s">
        <v>9</v>
      </c>
      <c r="K20" s="1222">
        <f>SUM(K8:K19)</f>
        <v>261.49700000000001</v>
      </c>
      <c r="L20" s="604" t="s">
        <v>9</v>
      </c>
      <c r="M20" s="494" t="s">
        <v>9</v>
      </c>
      <c r="N20" s="604" t="s">
        <v>9</v>
      </c>
      <c r="O20" s="605"/>
    </row>
    <row r="21" spans="1:15" ht="16.5" thickBot="1">
      <c r="A21" s="416" t="s">
        <v>201</v>
      </c>
      <c r="B21" s="1081">
        <v>0</v>
      </c>
      <c r="C21" s="533"/>
      <c r="D21" s="1088"/>
      <c r="E21" s="1106" t="s">
        <v>698</v>
      </c>
      <c r="F21" s="1137">
        <v>0</v>
      </c>
      <c r="G21" s="1010"/>
      <c r="H21" s="426"/>
      <c r="I21" s="480" t="s">
        <v>36</v>
      </c>
      <c r="J21" s="488" t="s">
        <v>9</v>
      </c>
      <c r="K21" s="920"/>
      <c r="L21" s="490"/>
      <c r="M21" s="490"/>
      <c r="N21" s="490"/>
      <c r="O21" s="1276"/>
    </row>
    <row r="22" spans="1:15" ht="15.75" thickBot="1">
      <c r="A22" s="1082" t="s">
        <v>689</v>
      </c>
      <c r="B22" s="1069">
        <f>SUM(B4)</f>
        <v>0</v>
      </c>
      <c r="C22" s="1083"/>
      <c r="D22" s="1084"/>
      <c r="E22" s="1106" t="s">
        <v>699</v>
      </c>
      <c r="F22" s="1137">
        <v>0</v>
      </c>
      <c r="G22" s="1010"/>
      <c r="H22" s="426"/>
      <c r="I22" s="1147" t="s">
        <v>560</v>
      </c>
      <c r="J22" s="273" t="s">
        <v>9</v>
      </c>
      <c r="K22" s="1223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5" t="s">
        <v>66</v>
      </c>
      <c r="D23" s="1092"/>
      <c r="E23" s="1107" t="s">
        <v>700</v>
      </c>
      <c r="F23" s="1157">
        <v>0</v>
      </c>
      <c r="G23" s="943"/>
      <c r="H23" s="1108"/>
      <c r="I23" s="1147" t="s">
        <v>393</v>
      </c>
      <c r="J23" s="273" t="s">
        <v>9</v>
      </c>
      <c r="K23" s="1216">
        <f>K5+K6-K20</f>
        <v>23.502999999999986</v>
      </c>
      <c r="L23" s="257"/>
      <c r="M23" s="597" t="s">
        <v>9</v>
      </c>
      <c r="N23" s="257"/>
      <c r="O23" s="287"/>
    </row>
    <row r="24" spans="1:15" ht="16.5" thickBot="1">
      <c r="A24" s="416" t="s">
        <v>414</v>
      </c>
      <c r="B24" s="379">
        <f>PGL_Requirements!C7/1000</f>
        <v>0</v>
      </c>
      <c r="C24" s="343"/>
      <c r="D24" s="1085"/>
      <c r="E24" s="534" t="s">
        <v>701</v>
      </c>
      <c r="F24" s="1169">
        <f>PGL_Requirements!G7/1000*0.5</f>
        <v>0</v>
      </c>
      <c r="G24" s="998"/>
      <c r="H24" s="984"/>
      <c r="I24" s="1149" t="s">
        <v>394</v>
      </c>
      <c r="J24" s="273" t="s">
        <v>9</v>
      </c>
      <c r="K24" s="1216"/>
      <c r="L24" s="288" t="s">
        <v>9</v>
      </c>
      <c r="M24" s="921"/>
      <c r="N24" s="288" t="s">
        <v>9</v>
      </c>
      <c r="O24" s="287"/>
    </row>
    <row r="25" spans="1:15" ht="16.5" thickBot="1">
      <c r="A25" s="416" t="s">
        <v>693</v>
      </c>
      <c r="B25" s="938">
        <f>PGL_Supplies!C7/1000</f>
        <v>0</v>
      </c>
      <c r="C25" s="1165"/>
      <c r="D25" s="1085"/>
      <c r="E25" s="1109" t="s">
        <v>702</v>
      </c>
      <c r="F25" s="1158">
        <v>0</v>
      </c>
      <c r="G25" s="1110"/>
      <c r="H25" s="1111"/>
      <c r="I25" s="1147" t="s">
        <v>395</v>
      </c>
      <c r="J25" s="922" t="s">
        <v>9</v>
      </c>
      <c r="K25" s="1224">
        <f>SUM(B18+B20+B21)</f>
        <v>1.65</v>
      </c>
      <c r="L25" s="923"/>
      <c r="M25" s="1182"/>
      <c r="N25" s="924" t="s">
        <v>9</v>
      </c>
      <c r="O25" s="251"/>
    </row>
    <row r="26" spans="1:15" ht="17.25" thickTop="1" thickBot="1">
      <c r="A26" s="416" t="s">
        <v>103</v>
      </c>
      <c r="B26" s="938">
        <f>PGL_Supplies!Z7/1000</f>
        <v>0</v>
      </c>
      <c r="C26" s="304"/>
      <c r="D26" s="1085"/>
      <c r="E26" s="119"/>
      <c r="F26" s="1024"/>
      <c r="G26" s="119"/>
      <c r="H26" s="158"/>
      <c r="I26" s="1150" t="s">
        <v>396</v>
      </c>
      <c r="J26" s="925" t="s">
        <v>9</v>
      </c>
      <c r="K26" s="1225">
        <f>SUM(K23:K25)</f>
        <v>25.152999999999984</v>
      </c>
      <c r="L26" s="925" t="s">
        <v>9</v>
      </c>
      <c r="M26" s="597"/>
      <c r="N26" s="926" t="s">
        <v>9</v>
      </c>
      <c r="O26" s="927" t="s">
        <v>9</v>
      </c>
    </row>
    <row r="27" spans="1:15" ht="15.75" customHeight="1" thickTop="1" thickBot="1">
      <c r="A27" s="416" t="s">
        <v>694</v>
      </c>
      <c r="B27" s="315">
        <f>PGL_Supplies!Q7/1000</f>
        <v>0</v>
      </c>
      <c r="C27" s="343"/>
      <c r="D27" s="1085"/>
      <c r="E27" s="1104" t="s">
        <v>703</v>
      </c>
      <c r="F27" s="1156"/>
      <c r="G27" s="998"/>
      <c r="H27" s="1105"/>
      <c r="I27" s="1151" t="s">
        <v>647</v>
      </c>
      <c r="J27" s="928"/>
      <c r="K27" s="1223">
        <f>SUM(-PGL_Supplies!L7/1000)</f>
        <v>0</v>
      </c>
      <c r="L27" s="1001"/>
      <c r="M27" s="1002"/>
      <c r="N27" s="497"/>
      <c r="O27" s="931"/>
    </row>
    <row r="28" spans="1:15" ht="16.5" thickBot="1">
      <c r="A28" s="542" t="s">
        <v>411</v>
      </c>
      <c r="B28" s="936">
        <f>-B24+B25+B26+B27</f>
        <v>0</v>
      </c>
      <c r="C28" s="937"/>
      <c r="D28" s="515"/>
      <c r="E28" s="119"/>
      <c r="F28" s="1024"/>
      <c r="G28" s="119"/>
      <c r="H28" s="158"/>
      <c r="I28" s="1147" t="s">
        <v>404</v>
      </c>
      <c r="J28" s="932"/>
      <c r="K28" s="1219">
        <f>PGL_Requirements!N7/1000</f>
        <v>30</v>
      </c>
      <c r="L28" s="298"/>
      <c r="M28" s="919" t="s">
        <v>9</v>
      </c>
      <c r="N28" s="497"/>
      <c r="O28" s="929" t="s">
        <v>9</v>
      </c>
    </row>
    <row r="29" spans="1:15" ht="16.5" thickBot="1">
      <c r="A29" s="349" t="s">
        <v>9</v>
      </c>
      <c r="B29" s="1180" t="s">
        <v>389</v>
      </c>
      <c r="C29" s="350"/>
      <c r="D29" s="351"/>
      <c r="E29" s="1112" t="s">
        <v>437</v>
      </c>
      <c r="F29" s="1157"/>
      <c r="G29" s="943"/>
      <c r="H29" s="1113"/>
      <c r="I29" s="1147" t="s">
        <v>405</v>
      </c>
      <c r="J29" s="933"/>
      <c r="K29" s="1226">
        <f>-PGL_Supplies!K7/1000</f>
        <v>0</v>
      </c>
      <c r="L29" s="298"/>
      <c r="M29" s="930" t="s">
        <v>9</v>
      </c>
      <c r="N29" s="497"/>
      <c r="O29" s="934" t="s">
        <v>9</v>
      </c>
    </row>
    <row r="30" spans="1:15" ht="15.75" thickBot="1">
      <c r="A30" s="361" t="s">
        <v>448</v>
      </c>
      <c r="B30" s="379">
        <f>PGL_Requirements!D7/1000</f>
        <v>0</v>
      </c>
      <c r="C30" s="523"/>
      <c r="D30" s="379" t="s">
        <v>9</v>
      </c>
      <c r="E30" s="1115" t="s">
        <v>704</v>
      </c>
      <c r="F30" s="1137"/>
      <c r="G30" s="1010"/>
      <c r="H30" s="1089"/>
      <c r="I30" s="1152" t="s">
        <v>182</v>
      </c>
      <c r="J30" s="1118"/>
      <c r="K30" s="1215">
        <f>-PGL_Supplies!AB7/1000</f>
        <v>-55.155000000000001</v>
      </c>
      <c r="L30" s="1119"/>
      <c r="M30" s="1023">
        <f>-PGL_Supplies!AB7/1000</f>
        <v>-55.155000000000001</v>
      </c>
      <c r="N30" s="1120"/>
      <c r="O30" s="1179">
        <f>-PGL_Supplies!AB7/1000</f>
        <v>-55.155000000000001</v>
      </c>
    </row>
    <row r="31" spans="1:15" ht="16.5" thickBot="1">
      <c r="A31" s="361" t="s">
        <v>449</v>
      </c>
      <c r="B31" s="938">
        <f>PGL_Supplies!D7/1000</f>
        <v>0</v>
      </c>
      <c r="C31" s="938" t="s">
        <v>9</v>
      </c>
      <c r="D31" s="939" t="s">
        <v>9</v>
      </c>
      <c r="E31" s="157" t="s">
        <v>705</v>
      </c>
      <c r="F31" s="1159"/>
      <c r="G31" s="1008"/>
      <c r="H31" s="1114"/>
      <c r="I31" s="320" t="s">
        <v>187</v>
      </c>
      <c r="J31" s="319"/>
      <c r="K31" s="1126"/>
      <c r="L31" s="1127"/>
      <c r="M31" s="322"/>
      <c r="N31" s="322"/>
      <c r="O31" s="322"/>
    </row>
    <row r="32" spans="1:15" ht="16.5" thickBot="1">
      <c r="A32" s="416" t="s">
        <v>103</v>
      </c>
      <c r="B32" s="938">
        <f>PGL_Supplies!AA7/1000+NSG_Supplies!M7/1000</f>
        <v>196.429</v>
      </c>
      <c r="C32" s="938" t="s">
        <v>9</v>
      </c>
      <c r="D32" s="939" t="s">
        <v>9</v>
      </c>
      <c r="E32" s="534" t="s">
        <v>706</v>
      </c>
      <c r="F32" s="1160"/>
      <c r="G32" s="421"/>
      <c r="H32" s="984"/>
      <c r="I32" s="1151" t="s">
        <v>428</v>
      </c>
      <c r="J32" s="506"/>
      <c r="K32" s="1186"/>
      <c r="L32" s="1167" t="s">
        <v>711</v>
      </c>
      <c r="M32" s="119"/>
      <c r="N32" s="1193"/>
      <c r="O32" s="1191"/>
    </row>
    <row r="33" spans="1:15" ht="15.75" thickBot="1">
      <c r="A33" s="1076" t="s">
        <v>557</v>
      </c>
      <c r="B33" s="938">
        <f>PGL_Supplies!R7/1000</f>
        <v>10</v>
      </c>
      <c r="C33" s="938" t="s">
        <v>9</v>
      </c>
      <c r="D33" s="942"/>
      <c r="E33" s="119"/>
      <c r="F33" s="119"/>
      <c r="G33" s="119"/>
      <c r="H33" s="158"/>
      <c r="I33" s="1153" t="s">
        <v>429</v>
      </c>
      <c r="J33" s="1190"/>
      <c r="K33" s="1187"/>
      <c r="L33" s="1128" t="s">
        <v>437</v>
      </c>
      <c r="M33" s="1011"/>
      <c r="N33" s="1009"/>
      <c r="O33" s="778"/>
    </row>
    <row r="34" spans="1:15" ht="16.5" thickBot="1">
      <c r="A34" s="1131" t="s">
        <v>615</v>
      </c>
      <c r="B34" s="1156">
        <f>-B30+B31+B32+B33*0.5</f>
        <v>201.429</v>
      </c>
      <c r="C34" s="998"/>
      <c r="D34" s="986" t="s">
        <v>9</v>
      </c>
      <c r="E34" s="1205" t="s">
        <v>713</v>
      </c>
      <c r="F34" s="119"/>
      <c r="G34" s="119"/>
      <c r="H34" s="158"/>
      <c r="I34" s="1154" t="s">
        <v>430</v>
      </c>
      <c r="J34" s="532"/>
      <c r="K34" s="1188"/>
      <c r="L34" s="1128" t="s">
        <v>438</v>
      </c>
      <c r="M34" s="1011"/>
      <c r="N34" s="1009"/>
      <c r="O34" s="778"/>
    </row>
    <row r="35" spans="1:15">
      <c r="A35" s="1071" t="s">
        <v>721</v>
      </c>
      <c r="B35" s="989"/>
      <c r="C35" s="989"/>
      <c r="D35" s="987" t="s">
        <v>9</v>
      </c>
      <c r="E35" s="1205" t="s">
        <v>760</v>
      </c>
      <c r="F35" s="119"/>
      <c r="G35" s="1273" t="str">
        <f>G3</f>
        <v xml:space="preserve"> </v>
      </c>
      <c r="H35" s="158"/>
      <c r="I35" s="1154" t="s">
        <v>431</v>
      </c>
      <c r="J35" s="532"/>
      <c r="K35" s="1187"/>
      <c r="L35" s="1129" t="s">
        <v>439</v>
      </c>
      <c r="M35" s="1011"/>
      <c r="N35" s="1009"/>
      <c r="O35" s="778"/>
    </row>
    <row r="36" spans="1:15">
      <c r="A36" s="1072" t="s">
        <v>722</v>
      </c>
      <c r="B36" s="315">
        <f>B34-B35-B37</f>
        <v>201.429</v>
      </c>
      <c r="C36" s="990" t="s">
        <v>9</v>
      </c>
      <c r="D36" s="988" t="s">
        <v>9</v>
      </c>
      <c r="E36" s="1205" t="s">
        <v>712</v>
      </c>
      <c r="F36" s="119"/>
      <c r="G36" s="119"/>
      <c r="H36" s="158"/>
      <c r="I36" s="1154" t="s">
        <v>432</v>
      </c>
      <c r="J36" s="532"/>
      <c r="K36" s="1187"/>
      <c r="L36" s="1129" t="s">
        <v>371</v>
      </c>
      <c r="M36" s="1011"/>
      <c r="N36" s="1009"/>
      <c r="O36" s="778"/>
    </row>
    <row r="37" spans="1:15">
      <c r="A37" s="1073" t="s">
        <v>723</v>
      </c>
      <c r="B37" s="1177">
        <f>F24</f>
        <v>0</v>
      </c>
      <c r="C37" s="1009"/>
      <c r="D37" s="1065" t="s">
        <v>9</v>
      </c>
      <c r="E37" s="119"/>
      <c r="F37" s="119"/>
      <c r="G37" s="119"/>
      <c r="H37" s="119"/>
      <c r="I37" s="1176" t="s">
        <v>433</v>
      </c>
      <c r="J37" s="532"/>
      <c r="K37" s="1187"/>
      <c r="L37" s="1130" t="s">
        <v>440</v>
      </c>
      <c r="M37" s="1011"/>
      <c r="N37" s="1009"/>
      <c r="O37" s="778"/>
    </row>
    <row r="38" spans="1:15">
      <c r="A38" s="1203" t="s">
        <v>759</v>
      </c>
      <c r="B38" s="1137" t="s">
        <v>9</v>
      </c>
      <c r="C38" s="1010"/>
      <c r="D38" s="942"/>
      <c r="E38" s="119"/>
      <c r="F38" s="119"/>
      <c r="G38" s="119"/>
      <c r="H38" s="119"/>
      <c r="I38" s="1172" t="s">
        <v>434</v>
      </c>
      <c r="J38" s="532"/>
      <c r="K38" s="1187"/>
      <c r="L38" s="577" t="s">
        <v>441</v>
      </c>
      <c r="M38" s="119"/>
      <c r="N38" s="1207"/>
      <c r="O38" s="1208"/>
    </row>
    <row r="39" spans="1:15" ht="16.5" thickBot="1">
      <c r="A39" s="1078" t="s">
        <v>2</v>
      </c>
      <c r="B39" s="1178">
        <f>B35+B36+B37</f>
        <v>201.429</v>
      </c>
      <c r="C39" s="1079"/>
      <c r="D39" s="1080" t="s">
        <v>9</v>
      </c>
      <c r="E39" s="119"/>
      <c r="F39" s="119"/>
      <c r="G39" s="119"/>
      <c r="H39" s="119"/>
      <c r="I39" s="1173" t="s">
        <v>435</v>
      </c>
      <c r="J39" s="567"/>
      <c r="K39" s="1189"/>
      <c r="L39" s="1209" t="s">
        <v>761</v>
      </c>
      <c r="M39" s="1050"/>
      <c r="N39" s="1210"/>
      <c r="O39" s="1192"/>
    </row>
    <row r="40" spans="1:15" ht="17.25" thickTop="1" thickBot="1">
      <c r="A40" s="1204" t="s">
        <v>9</v>
      </c>
      <c r="B40" s="427"/>
      <c r="C40" s="427"/>
      <c r="D40" s="427"/>
      <c r="E40" s="117"/>
      <c r="F40" s="117"/>
      <c r="G40" s="117"/>
      <c r="H40" s="117"/>
      <c r="I40" s="117"/>
      <c r="J40" s="946" t="s">
        <v>9</v>
      </c>
      <c r="K40" s="1132"/>
      <c r="L40" s="1206" t="s">
        <v>209</v>
      </c>
      <c r="M40" s="1211"/>
      <c r="N40" s="117" t="s">
        <v>9</v>
      </c>
      <c r="O40" s="1133"/>
    </row>
    <row r="41" spans="1:15" ht="15.75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4"/>
      <c r="K41" s="1134"/>
      <c r="L41" s="1135"/>
      <c r="M41" s="764"/>
      <c r="N41" s="764"/>
      <c r="O41" s="764"/>
    </row>
    <row r="42" spans="1:15">
      <c r="A42" s="1074"/>
      <c r="B42" s="119"/>
      <c r="C42" s="119"/>
      <c r="D42" s="1075"/>
      <c r="I42" s="119"/>
      <c r="J42" s="1124"/>
      <c r="K42" s="577"/>
      <c r="L42" s="1125"/>
    </row>
    <row r="43" spans="1:15">
      <c r="I43" s="119"/>
      <c r="J43" s="1124"/>
      <c r="K43" s="577"/>
      <c r="L43" s="1125"/>
    </row>
    <row r="44" spans="1:15">
      <c r="I44" s="119"/>
      <c r="J44" s="8"/>
      <c r="K44" s="8"/>
      <c r="L44" s="112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>
      <selection sqref="A1:I54"/>
    </sheetView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999" t="s">
        <v>9</v>
      </c>
      <c r="B1" s="619"/>
      <c r="C1" s="619" t="s">
        <v>9</v>
      </c>
      <c r="D1" s="620"/>
      <c r="E1" s="572" t="s">
        <v>158</v>
      </c>
      <c r="F1" s="572" t="str">
        <f>CHOOSE(WEEKDAY(G1),"SUN","MON","TUE","WED","THU","FRI","SAT")</f>
        <v>MON</v>
      </c>
      <c r="G1" s="1181">
        <f>Weather_Input!A5</f>
        <v>37158</v>
      </c>
      <c r="H1" s="572" t="s">
        <v>243</v>
      </c>
      <c r="I1" s="576"/>
    </row>
    <row r="2" spans="1:9" ht="20.25">
      <c r="A2" s="621" t="s">
        <v>9</v>
      </c>
      <c r="B2" s="765" t="s">
        <v>509</v>
      </c>
      <c r="C2" s="908">
        <v>47.6</v>
      </c>
      <c r="D2" s="767" t="s">
        <v>510</v>
      </c>
      <c r="E2" s="766"/>
      <c r="F2" s="767" t="s">
        <v>511</v>
      </c>
      <c r="G2" s="766"/>
      <c r="H2" s="768" t="s">
        <v>463</v>
      </c>
      <c r="I2" s="624"/>
    </row>
    <row r="3" spans="1:9" ht="20.25">
      <c r="A3" s="991" t="s">
        <v>464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54</v>
      </c>
      <c r="C4" s="737">
        <f>Weather_Input!C5</f>
        <v>42</v>
      </c>
      <c r="D4" s="631"/>
      <c r="E4" s="632"/>
      <c r="F4" s="631"/>
      <c r="G4" s="632"/>
      <c r="H4" s="633"/>
      <c r="I4" s="634"/>
    </row>
    <row r="5" spans="1:9" ht="24" thickBot="1">
      <c r="A5" s="635" t="s">
        <v>133</v>
      </c>
      <c r="B5" s="636"/>
      <c r="C5" s="637">
        <f>NSG_Deliveries!C5/1000</f>
        <v>56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4" thickBot="1">
      <c r="A7" s="645" t="s">
        <v>83</v>
      </c>
      <c r="B7" s="636"/>
      <c r="C7" s="742">
        <f>C5-C9-C11-C12</f>
        <v>27.5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568</v>
      </c>
      <c r="B9" s="654"/>
      <c r="C9" s="1007">
        <f>B45</f>
        <v>28.5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3.25">
      <c r="A11" s="649" t="s">
        <v>465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3.25">
      <c r="A12" s="656" t="s">
        <v>466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94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104</v>
      </c>
      <c r="B14" s="665"/>
      <c r="C14" s="666"/>
      <c r="D14" s="665"/>
      <c r="E14" s="666"/>
      <c r="F14" s="665"/>
      <c r="G14" s="665"/>
      <c r="H14" s="667"/>
      <c r="I14" s="668"/>
    </row>
    <row r="15" spans="1:9" ht="24" thickBot="1">
      <c r="A15" s="669" t="s">
        <v>467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4" thickBot="1">
      <c r="A17" s="675" t="s">
        <v>468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" thickBot="1">
      <c r="A18" s="681" t="s">
        <v>469</v>
      </c>
      <c r="B18" s="641"/>
      <c r="C18" s="642" t="s">
        <v>9</v>
      </c>
      <c r="D18" s="643"/>
      <c r="E18" s="642"/>
      <c r="F18" s="643"/>
      <c r="G18" s="490" t="s">
        <v>572</v>
      </c>
      <c r="H18" s="641"/>
      <c r="I18" s="795"/>
    </row>
    <row r="19" spans="1:9" ht="24" thickBot="1">
      <c r="A19" s="682" t="s">
        <v>396</v>
      </c>
      <c r="B19" s="683"/>
      <c r="C19" s="684">
        <f>C7+C12</f>
        <v>27.5</v>
      </c>
      <c r="D19" s="685"/>
      <c r="E19" s="686"/>
      <c r="F19" s="685"/>
      <c r="G19" s="685" t="s">
        <v>9</v>
      </c>
      <c r="H19" s="683"/>
      <c r="I19" s="687"/>
    </row>
    <row r="20" spans="1:9" ht="20.25">
      <c r="A20" s="688" t="s">
        <v>398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25">
      <c r="A21" s="692" t="s">
        <v>401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25">
      <c r="A22" s="692" t="s">
        <v>470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25">
      <c r="A23" s="688" t="s">
        <v>404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25">
      <c r="A24" s="688" t="s">
        <v>405</v>
      </c>
      <c r="B24" s="693"/>
      <c r="C24" s="690">
        <f>-NSG_Supplies!F7/1000</f>
        <v>0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25">
      <c r="A25" s="688" t="s">
        <v>182</v>
      </c>
      <c r="B25" s="696"/>
      <c r="C25" s="690">
        <f>-NSG_Supplies!Q7/1000</f>
        <v>-27.504000000000001</v>
      </c>
      <c r="D25" s="697"/>
      <c r="E25" s="690">
        <f>-NSG_Supplies!Q7/1000</f>
        <v>-27.504000000000001</v>
      </c>
      <c r="F25" s="697"/>
      <c r="G25" s="690">
        <f>-NSG_Supplies!Q7/1000</f>
        <v>-27.504000000000001</v>
      </c>
      <c r="H25" s="696"/>
      <c r="I25" s="753">
        <f>-NSG_Supplies!Q7/1000</f>
        <v>-27.504000000000001</v>
      </c>
    </row>
    <row r="26" spans="1:9" ht="20.25">
      <c r="A26" s="688" t="s">
        <v>403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494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4" thickBot="1">
      <c r="A28" s="701"/>
      <c r="B28" s="702"/>
      <c r="C28" s="703" t="s">
        <v>465</v>
      </c>
      <c r="D28" s="702"/>
      <c r="E28" s="704"/>
      <c r="F28" s="702"/>
      <c r="G28" s="705" t="s">
        <v>9</v>
      </c>
      <c r="H28" s="702"/>
      <c r="I28" s="706"/>
    </row>
    <row r="29" spans="1:9" ht="20.25">
      <c r="A29" s="759" t="s">
        <v>408</v>
      </c>
      <c r="B29" s="739">
        <f>NSG_Requirements!O7/1000</f>
        <v>0</v>
      </c>
      <c r="C29" s="708" t="s">
        <v>9</v>
      </c>
      <c r="D29" s="709"/>
      <c r="E29" s="710"/>
      <c r="F29" s="711" t="s">
        <v>268</v>
      </c>
      <c r="G29" s="712"/>
      <c r="H29" s="712"/>
      <c r="I29" s="713"/>
    </row>
    <row r="30" spans="1:9" ht="20.25">
      <c r="A30" s="760" t="s">
        <v>495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25">
      <c r="A31" s="760" t="s">
        <v>496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25">
      <c r="A32" s="759" t="s">
        <v>471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25">
      <c r="A33" s="759" t="s">
        <v>85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25">
      <c r="A34" s="760" t="s">
        <v>483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25">
      <c r="A35" s="760" t="s">
        <v>484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103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" thickBot="1">
      <c r="A37" s="720" t="s">
        <v>472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4" thickBot="1">
      <c r="A38" s="701"/>
      <c r="B38" s="702"/>
      <c r="C38" s="796" t="s">
        <v>573</v>
      </c>
      <c r="D38" s="702"/>
      <c r="E38" s="704"/>
      <c r="F38" s="622"/>
      <c r="G38" s="694"/>
      <c r="H38" s="694"/>
      <c r="I38" s="713"/>
    </row>
    <row r="39" spans="1:9" ht="20.25">
      <c r="A39" s="688" t="s">
        <v>473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25">
      <c r="A40" s="688" t="s">
        <v>474</v>
      </c>
      <c r="B40" s="787">
        <f>NSG_Requirements!J7/1000</f>
        <v>0</v>
      </c>
      <c r="C40" s="697"/>
      <c r="D40" s="715"/>
      <c r="E40" s="698"/>
      <c r="F40" s="622"/>
      <c r="G40" s="694"/>
      <c r="H40" s="694"/>
      <c r="I40" s="713"/>
    </row>
    <row r="41" spans="1:9" ht="20.25">
      <c r="A41" s="688" t="s">
        <v>475</v>
      </c>
      <c r="B41" s="788">
        <f>NSG_Supplies!E7/1000</f>
        <v>8.5</v>
      </c>
      <c r="C41" s="622"/>
      <c r="D41" s="725"/>
      <c r="E41" s="726"/>
      <c r="F41" s="622"/>
      <c r="G41" s="694"/>
      <c r="H41" s="694"/>
      <c r="I41" s="713"/>
    </row>
    <row r="42" spans="1:9" ht="20.25">
      <c r="A42" s="688" t="s">
        <v>476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25">
      <c r="A43" s="688" t="s">
        <v>477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569</v>
      </c>
      <c r="B44" s="788">
        <f>NSG_Supplies!P7/1000</f>
        <v>20</v>
      </c>
      <c r="C44" s="622"/>
      <c r="D44" s="725"/>
      <c r="E44" s="726"/>
      <c r="F44" s="622"/>
      <c r="G44" s="694"/>
      <c r="H44" s="694"/>
      <c r="I44" s="713"/>
    </row>
    <row r="45" spans="1:9" ht="21" thickBot="1">
      <c r="A45" s="720" t="s">
        <v>472</v>
      </c>
      <c r="B45" s="789">
        <f>B44+B41-B40</f>
        <v>28.5</v>
      </c>
      <c r="C45" s="728"/>
      <c r="D45" s="727"/>
      <c r="E45" s="729"/>
      <c r="F45" s="622"/>
      <c r="G45" s="694"/>
      <c r="H45" s="694"/>
      <c r="I45" s="713"/>
    </row>
    <row r="46" spans="1:9" ht="24" thickBot="1">
      <c r="A46" s="701"/>
      <c r="B46" s="702"/>
      <c r="C46" s="703" t="s">
        <v>66</v>
      </c>
      <c r="D46" s="702"/>
      <c r="E46" s="704"/>
      <c r="F46" s="622"/>
      <c r="G46" s="694"/>
      <c r="H46" s="694"/>
      <c r="I46" s="713"/>
    </row>
    <row r="47" spans="1:9" ht="20.25">
      <c r="A47" s="688" t="s">
        <v>478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25">
      <c r="A48" s="688" t="s">
        <v>479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25">
      <c r="A49" s="688" t="s">
        <v>85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103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4" thickBot="1">
      <c r="A51" s="701"/>
      <c r="B51" s="702"/>
      <c r="C51" s="703" t="s">
        <v>480</v>
      </c>
      <c r="D51" s="702"/>
      <c r="E51" s="704"/>
      <c r="F51" s="622"/>
      <c r="G51" s="694"/>
      <c r="H51" s="694"/>
      <c r="I51" s="713"/>
    </row>
    <row r="52" spans="1:9" ht="20.25">
      <c r="A52" s="732" t="s">
        <v>481</v>
      </c>
      <c r="B52" s="733"/>
      <c r="C52" s="622"/>
      <c r="D52" s="723"/>
      <c r="E52" s="724"/>
      <c r="F52" s="622"/>
      <c r="G52" s="694"/>
      <c r="H52" s="694"/>
      <c r="I52" s="713"/>
    </row>
    <row r="53" spans="1:9" ht="21" thickBot="1">
      <c r="A53" s="735" t="s">
        <v>482</v>
      </c>
      <c r="B53" s="744"/>
      <c r="C53" s="745"/>
      <c r="D53" s="746"/>
      <c r="E53" s="747"/>
      <c r="F53" s="736"/>
      <c r="G53" s="748"/>
      <c r="H53" s="993"/>
      <c r="I53" s="992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158</v>
      </c>
      <c r="F1" s="445">
        <f>Weather_Input!A5</f>
        <v>37158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498</v>
      </c>
      <c r="C3" s="436">
        <v>44</v>
      </c>
      <c r="D3" s="250"/>
      <c r="E3" s="250"/>
      <c r="F3" s="436" t="s">
        <v>364</v>
      </c>
      <c r="G3" s="436"/>
      <c r="H3" s="252" t="s">
        <v>159</v>
      </c>
      <c r="I3" s="251"/>
    </row>
    <row r="4" spans="1:9" ht="17.100000000000001" customHeight="1">
      <c r="A4" s="253" t="s">
        <v>160</v>
      </c>
      <c r="B4" s="253" t="s">
        <v>160</v>
      </c>
      <c r="C4" s="254" t="s">
        <v>161</v>
      </c>
      <c r="D4" s="254" t="s">
        <v>21</v>
      </c>
      <c r="E4" s="254" t="s">
        <v>161</v>
      </c>
      <c r="F4" s="254" t="s">
        <v>21</v>
      </c>
      <c r="G4" s="254" t="s">
        <v>161</v>
      </c>
      <c r="H4" s="254" t="s">
        <v>21</v>
      </c>
      <c r="I4" s="255" t="s">
        <v>161</v>
      </c>
    </row>
    <row r="5" spans="1:9" ht="17.100000000000001" customHeight="1">
      <c r="A5" s="256" t="s">
        <v>162</v>
      </c>
      <c r="B5" s="257">
        <f>Weather_Input!B5</f>
        <v>54</v>
      </c>
      <c r="C5" s="257">
        <f>Weather_Input!C5</f>
        <v>42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163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164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165</v>
      </c>
      <c r="B8" s="264">
        <f>PGL_Deliveries!C5/1000</f>
        <v>285</v>
      </c>
      <c r="C8" s="265">
        <f>NSG_Deliveries!C5/1000</f>
        <v>56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80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65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166</v>
      </c>
      <c r="B11" s="273">
        <f>+B54</f>
        <v>152.06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167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71</v>
      </c>
      <c r="B13" s="273">
        <f>PGL_Supplies!H7/1000</f>
        <v>20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168</v>
      </c>
      <c r="B14" s="277">
        <f>+B72</f>
        <v>-21.807000000000002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169</v>
      </c>
      <c r="B15" s="273">
        <f>+B46</f>
        <v>1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170</v>
      </c>
      <c r="B16" s="273">
        <f>PGL_Requirements!F7/1000</f>
        <v>0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171</v>
      </c>
      <c r="B17" s="273">
        <f>PGL_Supplies!B7/1000</f>
        <v>36.07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367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58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172</v>
      </c>
      <c r="B20" s="273" t="e">
        <f>B8+B18+B19</f>
        <v>#REF!</v>
      </c>
      <c r="C20" s="286">
        <f>C8+C18+C19</f>
        <v>56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173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174</v>
      </c>
      <c r="B22" s="273">
        <f>+B44</f>
        <v>1.65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175</v>
      </c>
      <c r="B23" s="291" t="e">
        <f>B20+B21+B22</f>
        <v>#REF!</v>
      </c>
      <c r="C23" s="292">
        <f>C20</f>
        <v>56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176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177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178</v>
      </c>
      <c r="B27" s="301">
        <f>PGL_Requirements!Q7/1000</f>
        <v>0.62</v>
      </c>
      <c r="C27" s="301">
        <f>NSG_Requirements!P7/1000</f>
        <v>0</v>
      </c>
      <c r="D27" s="301">
        <f>PGL_Requirements!Q7/1000</f>
        <v>0.62</v>
      </c>
      <c r="E27" s="301">
        <f>NSG_Requirements!P7/1000</f>
        <v>0</v>
      </c>
      <c r="F27" s="301">
        <f>PGL_Requirements!Q7/1000</f>
        <v>0.62</v>
      </c>
      <c r="G27" s="301">
        <f>NSG_Requirements!P7/1000</f>
        <v>0</v>
      </c>
      <c r="H27" s="302">
        <f>+B27</f>
        <v>0.62</v>
      </c>
      <c r="I27" s="303">
        <f>+C27</f>
        <v>0</v>
      </c>
    </row>
    <row r="28" spans="1:9" ht="17.100000000000001" customHeight="1">
      <c r="A28" s="313" t="s">
        <v>179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180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373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181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182</v>
      </c>
      <c r="B32" s="306">
        <f>-PGL_Supplies!AB7/1000</f>
        <v>-55.155000000000001</v>
      </c>
      <c r="C32" s="306">
        <f>-NSG_Supplies!Q7/1000</f>
        <v>-27.504000000000001</v>
      </c>
      <c r="D32" s="306">
        <f>B32</f>
        <v>-55.155000000000001</v>
      </c>
      <c r="E32" s="306">
        <f>C32</f>
        <v>-27.504000000000001</v>
      </c>
      <c r="F32" s="306">
        <f>B32</f>
        <v>-55.155000000000001</v>
      </c>
      <c r="G32" s="306">
        <f>C32</f>
        <v>-27.504000000000001</v>
      </c>
      <c r="H32" s="311">
        <f>B32</f>
        <v>-55.155000000000001</v>
      </c>
      <c r="I32" s="312">
        <f>C32</f>
        <v>-27.504000000000001</v>
      </c>
    </row>
    <row r="33" spans="1:9" ht="17.100000000000001" customHeight="1">
      <c r="A33" s="310" t="s">
        <v>361</v>
      </c>
      <c r="B33" s="306">
        <f>-PGL_Supplies!W7/1000</f>
        <v>0</v>
      </c>
      <c r="C33" s="306">
        <f>-NSG_Supplies!R7/1000</f>
        <v>-17.646999999999998</v>
      </c>
      <c r="D33" s="306">
        <f>B33</f>
        <v>0</v>
      </c>
      <c r="E33" s="306">
        <f>C33</f>
        <v>-17.646999999999998</v>
      </c>
      <c r="F33" s="306">
        <f>B33</f>
        <v>0</v>
      </c>
      <c r="G33" s="306">
        <f>C33</f>
        <v>-17.646999999999998</v>
      </c>
      <c r="H33" s="311">
        <f>B33</f>
        <v>0</v>
      </c>
      <c r="I33" s="312">
        <f>C33</f>
        <v>-17.646999999999998</v>
      </c>
    </row>
    <row r="34" spans="1:9" ht="17.100000000000001" customHeight="1">
      <c r="A34" s="300" t="s">
        <v>183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184</v>
      </c>
      <c r="B35" s="301">
        <f>PGL_Requirements!N7/1000</f>
        <v>30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185</v>
      </c>
      <c r="B36" s="306">
        <f>-PGL_Supplies!K7/1000</f>
        <v>0</v>
      </c>
      <c r="C36" s="306">
        <f>-NSG_Supplies!F7/1000</f>
        <v>0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374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186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381</v>
      </c>
      <c r="C39" s="468"/>
      <c r="D39" s="469"/>
      <c r="E39" s="319"/>
      <c r="F39" s="320" t="s">
        <v>187</v>
      </c>
      <c r="G39" s="319"/>
      <c r="H39" s="321"/>
      <c r="I39" s="322"/>
    </row>
    <row r="40" spans="1:9" ht="17.100000000000001" customHeight="1">
      <c r="A40" s="323" t="s">
        <v>188</v>
      </c>
      <c r="B40" s="306">
        <f>PGL_Requirements!O7/1000</f>
        <v>110</v>
      </c>
      <c r="C40" s="306" t="s">
        <v>9</v>
      </c>
      <c r="D40" s="387"/>
      <c r="E40" s="324"/>
      <c r="F40" s="325" t="s">
        <v>189</v>
      </c>
      <c r="G40" s="304"/>
      <c r="H40" s="326"/>
      <c r="I40" s="327"/>
    </row>
    <row r="41" spans="1:9" ht="17.100000000000001" customHeight="1">
      <c r="A41" s="323" t="s">
        <v>190</v>
      </c>
      <c r="B41" s="315">
        <f>PGL_Supplies!L7/1000</f>
        <v>0</v>
      </c>
      <c r="C41" s="306" t="s">
        <v>9</v>
      </c>
      <c r="D41" s="304"/>
      <c r="E41" s="324"/>
      <c r="F41" s="328" t="s">
        <v>191</v>
      </c>
      <c r="G41" s="304"/>
      <c r="H41" s="308"/>
      <c r="I41" s="327"/>
    </row>
    <row r="42" spans="1:9" ht="17.100000000000001" customHeight="1">
      <c r="A42" s="323" t="s">
        <v>192</v>
      </c>
      <c r="B42" s="306">
        <f>PGL_Requirements!B7/1000</f>
        <v>0</v>
      </c>
      <c r="C42" s="306" t="s">
        <v>9</v>
      </c>
      <c r="D42" s="304"/>
      <c r="E42" s="324"/>
      <c r="F42" s="328" t="s">
        <v>193</v>
      </c>
      <c r="G42" s="304"/>
      <c r="H42" s="308"/>
      <c r="I42" s="327"/>
    </row>
    <row r="43" spans="1:9" ht="17.100000000000001" customHeight="1">
      <c r="A43" s="323" t="s">
        <v>194</v>
      </c>
      <c r="B43" s="306">
        <f>PGL_Supplies!G7/1000</f>
        <v>1</v>
      </c>
      <c r="C43" s="304"/>
      <c r="D43" s="304"/>
      <c r="E43" s="324"/>
      <c r="F43" s="329" t="s">
        <v>195</v>
      </c>
      <c r="G43" s="304"/>
      <c r="H43" s="308"/>
      <c r="I43" s="327"/>
    </row>
    <row r="44" spans="1:9" ht="17.100000000000001" customHeight="1">
      <c r="A44" s="323" t="s">
        <v>174</v>
      </c>
      <c r="B44" s="330">
        <f>+B48+B47+B45</f>
        <v>1.65</v>
      </c>
      <c r="C44" s="331"/>
      <c r="D44" s="304"/>
      <c r="E44" s="324"/>
      <c r="F44" s="328" t="s">
        <v>196</v>
      </c>
      <c r="G44" s="304"/>
      <c r="H44" s="308"/>
      <c r="I44" s="327"/>
    </row>
    <row r="45" spans="1:9" ht="17.100000000000001" customHeight="1">
      <c r="A45" s="323" t="s">
        <v>197</v>
      </c>
      <c r="B45" s="306">
        <f>PGL_Requirements!P7/1000</f>
        <v>1.65</v>
      </c>
      <c r="C45" s="304"/>
      <c r="D45" s="304"/>
      <c r="E45" s="324"/>
      <c r="F45" s="333" t="s">
        <v>198</v>
      </c>
      <c r="G45" s="304"/>
      <c r="H45" s="308"/>
      <c r="I45" s="327"/>
    </row>
    <row r="46" spans="1:9" ht="17.100000000000001" customHeight="1">
      <c r="A46" s="313" t="s">
        <v>199</v>
      </c>
      <c r="B46" s="306">
        <f>+B47+B43+B41</f>
        <v>1</v>
      </c>
      <c r="C46" s="304"/>
      <c r="D46" s="304"/>
      <c r="E46" s="324"/>
      <c r="F46" s="328" t="s">
        <v>200</v>
      </c>
      <c r="G46" s="304"/>
      <c r="H46" s="308"/>
      <c r="I46" s="327"/>
    </row>
    <row r="47" spans="1:9" ht="17.100000000000001" customHeight="1">
      <c r="A47" s="323" t="s">
        <v>201</v>
      </c>
      <c r="B47" s="332">
        <v>0</v>
      </c>
      <c r="C47" s="304"/>
      <c r="D47" s="304"/>
      <c r="E47" s="324"/>
      <c r="F47" s="328" t="s">
        <v>202</v>
      </c>
      <c r="G47" s="304"/>
      <c r="H47" s="308"/>
      <c r="I47" s="327"/>
    </row>
    <row r="48" spans="1:9" ht="17.100000000000001" customHeight="1" thickBot="1">
      <c r="A48" s="416" t="s">
        <v>203</v>
      </c>
      <c r="B48" s="334">
        <v>0</v>
      </c>
      <c r="C48" s="335"/>
      <c r="D48" s="335"/>
      <c r="E48" s="336"/>
      <c r="F48" s="329" t="s">
        <v>204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349</v>
      </c>
      <c r="C49" s="338"/>
      <c r="D49" s="338"/>
      <c r="E49" s="338" t="s">
        <v>9</v>
      </c>
      <c r="F49" s="339" t="s">
        <v>205</v>
      </c>
      <c r="G49" s="340"/>
      <c r="H49" s="341"/>
      <c r="I49" s="327"/>
    </row>
    <row r="50" spans="1:9" ht="17.100000000000001" customHeight="1">
      <c r="A50" s="323" t="s">
        <v>378</v>
      </c>
      <c r="B50" s="315">
        <f>PGL_Supplies!U7/1000+PGL_Supplies!C7/1000</f>
        <v>152.06</v>
      </c>
      <c r="C50" s="304"/>
      <c r="D50" s="304"/>
      <c r="E50" s="304"/>
      <c r="F50" s="310" t="s">
        <v>370</v>
      </c>
      <c r="G50" s="342"/>
      <c r="H50" s="343"/>
      <c r="I50" s="327"/>
    </row>
    <row r="51" spans="1:9" ht="17.100000000000001" customHeight="1">
      <c r="A51" s="323" t="s">
        <v>206</v>
      </c>
      <c r="B51" s="315">
        <f>PGL_Supplies!Z7/1000</f>
        <v>0</v>
      </c>
      <c r="C51" s="331"/>
      <c r="D51" s="304"/>
      <c r="E51" s="304"/>
      <c r="F51" s="344" t="s">
        <v>207</v>
      </c>
      <c r="G51" s="342"/>
      <c r="H51" s="308"/>
      <c r="I51" s="327"/>
    </row>
    <row r="52" spans="1:9" ht="17.100000000000001" customHeight="1" thickBot="1">
      <c r="A52" s="323" t="s">
        <v>350</v>
      </c>
      <c r="B52" s="315">
        <f>NSG_Supplies!N7/1000+PGL_Supplies!O7/1000</f>
        <v>0</v>
      </c>
      <c r="C52" s="304"/>
      <c r="D52" s="304"/>
      <c r="E52" s="304"/>
      <c r="F52" s="345" t="s">
        <v>208</v>
      </c>
      <c r="G52" s="346"/>
      <c r="H52" s="347"/>
      <c r="I52" s="327"/>
    </row>
    <row r="53" spans="1:9" ht="17.100000000000001" customHeight="1">
      <c r="A53" s="361" t="s">
        <v>218</v>
      </c>
      <c r="B53" s="315">
        <f>PGL_Requirements!I7/1000+NSG_Requirements!E7/1000</f>
        <v>0</v>
      </c>
      <c r="C53" s="304"/>
      <c r="D53" s="304"/>
      <c r="E53" s="304"/>
      <c r="F53" s="339" t="s">
        <v>209</v>
      </c>
      <c r="G53" s="348"/>
      <c r="H53" s="331"/>
      <c r="I53" s="327"/>
    </row>
    <row r="54" spans="1:9" ht="17.100000000000001" customHeight="1" thickBot="1">
      <c r="A54" s="313" t="s">
        <v>210</v>
      </c>
      <c r="B54" s="367">
        <f>SUM(B50+B51+B52-B53)</f>
        <v>152.06</v>
      </c>
      <c r="C54" s="315"/>
      <c r="D54" s="304"/>
      <c r="E54" s="304"/>
      <c r="F54" s="349" t="s">
        <v>211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65</v>
      </c>
      <c r="C55" s="338"/>
      <c r="D55" s="338"/>
      <c r="E55" s="338"/>
      <c r="F55" s="352" t="s">
        <v>212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361</v>
      </c>
      <c r="B56" s="315">
        <f>PGL_Supplies!T7/1000</f>
        <v>0</v>
      </c>
      <c r="C56" s="304"/>
      <c r="D56" s="304"/>
      <c r="E56" s="304"/>
      <c r="F56" s="352" t="s">
        <v>213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462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214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215</v>
      </c>
      <c r="B58" s="315">
        <f>PGL_Requirements!T7/1000</f>
        <v>0</v>
      </c>
      <c r="C58" s="304"/>
      <c r="D58" s="304"/>
      <c r="E58" s="304"/>
      <c r="F58" s="352" t="s">
        <v>216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217</v>
      </c>
      <c r="B59" s="315">
        <f>PGL_Supplies!P7/1000</f>
        <v>0</v>
      </c>
      <c r="C59" s="304"/>
      <c r="D59" s="304"/>
      <c r="E59" s="304"/>
      <c r="F59" s="358" t="s">
        <v>218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218</v>
      </c>
      <c r="B60" s="315">
        <f>PGL_Requirements!H7/1000</f>
        <v>0</v>
      </c>
      <c r="C60" s="304"/>
      <c r="D60" s="304"/>
      <c r="E60" s="304"/>
      <c r="F60" s="362" t="s">
        <v>219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383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220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210</v>
      </c>
      <c r="B62" s="367" t="e">
        <f>B56+B57-B58+B59-B60+B61</f>
        <v>#REF!</v>
      </c>
      <c r="C62" s="368"/>
      <c r="D62" s="368"/>
      <c r="E62" s="368"/>
      <c r="F62" s="369" t="s">
        <v>221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380</v>
      </c>
      <c r="D63" s="338"/>
      <c r="E63" s="466" t="s">
        <v>9</v>
      </c>
      <c r="F63" s="339" t="s">
        <v>222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361</v>
      </c>
      <c r="B64" s="315">
        <f>PGL_Supplies!X7/1000</f>
        <v>88.192999999999998</v>
      </c>
      <c r="C64" s="304"/>
      <c r="D64" s="304"/>
      <c r="E64" s="371"/>
      <c r="F64" s="349" t="s">
        <v>223</v>
      </c>
      <c r="G64" s="350"/>
      <c r="H64" s="350"/>
      <c r="I64" s="351"/>
    </row>
    <row r="65" spans="1:10" ht="17.100000000000001" customHeight="1">
      <c r="A65" s="323" t="s">
        <v>461</v>
      </c>
      <c r="B65" s="315">
        <f>PGL_Supplies!AC7/1000+PGL_Supplies!F7/1000-PGL_Requirements!E7/1000</f>
        <v>0</v>
      </c>
      <c r="C65" s="372" t="s">
        <v>9</v>
      </c>
      <c r="D65" s="304"/>
      <c r="E65" s="373"/>
      <c r="F65" s="374" t="s">
        <v>224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225</v>
      </c>
      <c r="B66" s="315">
        <f>PGL_Supplies!AD7/1000</f>
        <v>0</v>
      </c>
      <c r="C66" s="372" t="s">
        <v>9</v>
      </c>
      <c r="D66" s="304"/>
      <c r="E66" s="373"/>
      <c r="F66" s="375" t="s">
        <v>226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227</v>
      </c>
      <c r="B67" s="379">
        <f>PGL_Requirements!S7/1000</f>
        <v>0</v>
      </c>
      <c r="C67" s="380" t="s">
        <v>9</v>
      </c>
      <c r="D67" s="304"/>
      <c r="E67" s="373"/>
      <c r="F67" s="375" t="s">
        <v>228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229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218</v>
      </c>
      <c r="B69" s="379">
        <f>PGL_Requirements!M7/1000</f>
        <v>0</v>
      </c>
      <c r="C69" s="380" t="s">
        <v>9</v>
      </c>
      <c r="D69" s="304"/>
      <c r="E69" s="474"/>
      <c r="F69" s="386" t="s">
        <v>230</v>
      </c>
      <c r="G69" s="376" t="s">
        <v>9</v>
      </c>
      <c r="H69" s="387" t="s">
        <v>366</v>
      </c>
      <c r="I69" s="373"/>
    </row>
    <row r="70" spans="1:10" ht="17.100000000000001" customHeight="1">
      <c r="A70" s="323" t="s">
        <v>231</v>
      </c>
      <c r="B70" s="379">
        <f>PGL_Requirements!O7/1000</f>
        <v>110</v>
      </c>
      <c r="C70" s="380" t="s">
        <v>9</v>
      </c>
      <c r="D70" s="304"/>
      <c r="E70" s="373"/>
      <c r="F70" s="386" t="s">
        <v>232</v>
      </c>
      <c r="G70" s="376" t="s">
        <v>9</v>
      </c>
      <c r="H70" s="415" t="s">
        <v>233</v>
      </c>
      <c r="I70" s="414"/>
    </row>
    <row r="71" spans="1:10" ht="17.100000000000001" customHeight="1">
      <c r="A71" s="323" t="s">
        <v>234</v>
      </c>
      <c r="B71" s="379">
        <f>PGL_Requirements!E7/1000</f>
        <v>1.01</v>
      </c>
      <c r="C71" s="372" t="s">
        <v>9</v>
      </c>
      <c r="D71" s="304"/>
      <c r="E71" s="373"/>
      <c r="F71" s="375" t="s">
        <v>235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210</v>
      </c>
      <c r="B72" s="391">
        <f>+B65+B64+B66+B68-B67-B69-B70</f>
        <v>-21.807000000000002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236</v>
      </c>
      <c r="B73" s="350"/>
      <c r="C73" s="351"/>
      <c r="D73" s="331"/>
      <c r="E73" s="331"/>
      <c r="F73" s="413" t="s">
        <v>237</v>
      </c>
      <c r="G73" s="396" t="str">
        <f>CHOOSE(WEEKDAY(H73),"SUN","MON","TUE","WED","THU","FRI","SAT")</f>
        <v>MON</v>
      </c>
      <c r="H73" s="397">
        <f>Weather_Input!A5</f>
        <v>37158</v>
      </c>
      <c r="I73" s="398"/>
    </row>
    <row r="74" spans="1:10" ht="17.100000000000001" customHeight="1">
      <c r="A74" s="374" t="s">
        <v>238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239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240</v>
      </c>
      <c r="B76" s="335"/>
      <c r="C76" s="336"/>
      <c r="D76" s="402" t="s">
        <v>241</v>
      </c>
      <c r="E76" s="403"/>
      <c r="F76" s="404" t="s">
        <v>242</v>
      </c>
      <c r="G76" s="405"/>
      <c r="H76" s="406" t="s">
        <v>243</v>
      </c>
      <c r="I76" s="407" t="s">
        <v>243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70" t="s">
        <v>388</v>
      </c>
      <c r="B90" s="571"/>
      <c r="C90" s="571"/>
      <c r="D90" s="571"/>
      <c r="E90" s="572" t="s">
        <v>158</v>
      </c>
      <c r="F90" s="573">
        <f>Weather_Input!L5</f>
        <v>1</v>
      </c>
      <c r="G90" s="574" t="s">
        <v>9</v>
      </c>
      <c r="H90" s="575"/>
      <c r="I90" s="576"/>
    </row>
    <row r="91" spans="1:9" ht="15.75">
      <c r="A91" s="249"/>
      <c r="B91" s="592" t="s">
        <v>385</v>
      </c>
      <c r="C91" s="260" t="s">
        <v>9</v>
      </c>
      <c r="D91" s="584" t="s">
        <v>456</v>
      </c>
      <c r="E91" s="591"/>
      <c r="F91" s="589" t="s">
        <v>457</v>
      </c>
      <c r="G91" s="590"/>
      <c r="H91" s="588" t="s">
        <v>159</v>
      </c>
      <c r="I91" s="251"/>
    </row>
    <row r="92" spans="1:9" ht="15">
      <c r="A92" s="476" t="s">
        <v>386</v>
      </c>
      <c r="B92" s="583" t="s">
        <v>377</v>
      </c>
      <c r="C92" s="252" t="s">
        <v>161</v>
      </c>
      <c r="D92" s="583" t="s">
        <v>21</v>
      </c>
      <c r="E92" s="252" t="s">
        <v>161</v>
      </c>
      <c r="F92" s="586" t="s">
        <v>21</v>
      </c>
      <c r="G92" s="252" t="s">
        <v>161</v>
      </c>
      <c r="H92" s="583" t="s">
        <v>21</v>
      </c>
      <c r="I92" s="477" t="s">
        <v>161</v>
      </c>
    </row>
    <row r="93" spans="1:9" ht="15.75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5" thickBot="1">
      <c r="A94" s="249" t="s">
        <v>387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5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167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65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57</v>
      </c>
      <c r="B98" s="273" t="s">
        <v>9</v>
      </c>
      <c r="C98" s="606">
        <f>B149</f>
        <v>1</v>
      </c>
      <c r="D98" s="585"/>
      <c r="E98" s="260"/>
      <c r="F98" s="585"/>
      <c r="G98" s="260"/>
      <c r="H98" s="585"/>
      <c r="I98" s="258"/>
    </row>
    <row r="99" spans="1:9" ht="15">
      <c r="A99" s="476" t="s">
        <v>66</v>
      </c>
      <c r="B99" s="273" t="s">
        <v>9</v>
      </c>
      <c r="C99" s="606">
        <f>B141</f>
        <v>152.06</v>
      </c>
      <c r="D99" s="603"/>
      <c r="E99" s="260"/>
      <c r="F99" s="585"/>
      <c r="G99" s="260"/>
      <c r="H99" s="585"/>
      <c r="I99" s="258"/>
    </row>
    <row r="100" spans="1:9" ht="15">
      <c r="A100" s="476" t="s">
        <v>389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390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157</v>
      </c>
      <c r="C102" s="606">
        <f>B162</f>
        <v>88.192999999999998</v>
      </c>
      <c r="D102" s="585"/>
      <c r="E102" s="260"/>
      <c r="F102" s="585"/>
      <c r="G102" s="260"/>
      <c r="H102" s="585"/>
      <c r="I102" s="258"/>
    </row>
    <row r="103" spans="1:9" ht="15">
      <c r="A103" s="476" t="s">
        <v>94</v>
      </c>
      <c r="B103" s="273" t="s">
        <v>9</v>
      </c>
      <c r="C103" s="606">
        <f>PGL_Requirements!F7/1000</f>
        <v>0</v>
      </c>
      <c r="D103" s="603"/>
      <c r="E103" s="260"/>
      <c r="F103" s="585"/>
      <c r="G103" s="260"/>
      <c r="H103" s="585"/>
      <c r="I103" s="258"/>
    </row>
    <row r="104" spans="1:9" ht="15.75" thickBot="1">
      <c r="A104" s="283" t="s">
        <v>104</v>
      </c>
      <c r="B104" s="598" t="s">
        <v>9</v>
      </c>
      <c r="C104" s="606">
        <f>PGL_Supplies!B7/1000</f>
        <v>36.07</v>
      </c>
      <c r="D104" s="584"/>
      <c r="E104" s="260"/>
      <c r="F104" s="585"/>
      <c r="G104" s="260"/>
      <c r="H104" s="585"/>
      <c r="I104" s="258"/>
    </row>
    <row r="105" spans="1:9" ht="16.5" thickBot="1">
      <c r="A105" s="599" t="s">
        <v>391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5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392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393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394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75">
      <c r="A110" s="495" t="s">
        <v>395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5" thickBot="1">
      <c r="A111" s="496" t="s">
        <v>396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397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75">
      <c r="A113" s="416" t="s">
        <v>398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75">
      <c r="A114" s="323" t="s">
        <v>399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400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401</v>
      </c>
      <c r="B116" s="410">
        <f>-PGL_Supplies!Y7/1000</f>
        <v>-25.425000000000001</v>
      </c>
      <c r="C116" s="410">
        <f>-NSG_Supplies!V7/1000</f>
        <v>0</v>
      </c>
      <c r="D116" s="306">
        <f>-PGL_Supplies!Y7/1000</f>
        <v>-25.425000000000001</v>
      </c>
      <c r="E116" s="306">
        <f>-NSG_Supplies!V7/1000</f>
        <v>0</v>
      </c>
      <c r="F116" s="306">
        <f>-PGL_Supplies!Y7/1000</f>
        <v>-25.425000000000001</v>
      </c>
      <c r="G116" s="306">
        <f>-NSG_Supplies!V7/1000</f>
        <v>0</v>
      </c>
      <c r="H116" s="311">
        <f>-PGL_Supplies!Y7/1000</f>
        <v>-25.425000000000001</v>
      </c>
      <c r="I116" s="312">
        <f>-NSG_Supplies!V7/1000</f>
        <v>0</v>
      </c>
    </row>
    <row r="117" spans="1:9" ht="15">
      <c r="A117" s="416" t="s">
        <v>402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75">
      <c r="A118" s="416" t="s">
        <v>404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405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182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75">
      <c r="A121" s="416" t="s">
        <v>403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75">
      <c r="A122" s="416" t="s">
        <v>406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407</v>
      </c>
      <c r="B123" s="306">
        <f>-PGL_Supplies!W7/1000</f>
        <v>0</v>
      </c>
      <c r="C123" s="306">
        <f>-NSG_Supplies!R7/1000</f>
        <v>-17.646999999999998</v>
      </c>
      <c r="D123" s="304"/>
      <c r="E123" s="304"/>
      <c r="F123" s="304"/>
      <c r="G123" s="304"/>
      <c r="H123" s="308"/>
      <c r="I123" s="309"/>
    </row>
    <row r="124" spans="1:9" ht="16.5" thickBot="1">
      <c r="A124" s="317" t="s">
        <v>9</v>
      </c>
      <c r="B124" s="470" t="s">
        <v>9</v>
      </c>
      <c r="C124" s="499" t="s">
        <v>65</v>
      </c>
      <c r="D124" s="469"/>
      <c r="E124" s="319"/>
      <c r="F124" s="320" t="s">
        <v>187</v>
      </c>
      <c r="G124" s="319"/>
      <c r="H124" s="321"/>
      <c r="I124" s="322"/>
    </row>
    <row r="125" spans="1:9" ht="15">
      <c r="A125" s="416" t="s">
        <v>408</v>
      </c>
      <c r="B125" s="306">
        <f>PGL_Requirements!T7/1000</f>
        <v>0</v>
      </c>
      <c r="F125" s="525" t="s">
        <v>9</v>
      </c>
      <c r="G125" s="526"/>
      <c r="H125" s="593"/>
      <c r="I125" s="327"/>
    </row>
    <row r="126" spans="1:9" ht="15">
      <c r="A126" s="416" t="s">
        <v>365</v>
      </c>
      <c r="B126" s="315">
        <f>PGL_Supplies!P7/1000</f>
        <v>0</v>
      </c>
      <c r="C126" s="306" t="s">
        <v>9</v>
      </c>
      <c r="D126" s="304"/>
      <c r="E126" s="324"/>
      <c r="F126" s="416" t="s">
        <v>428</v>
      </c>
      <c r="G126" s="527"/>
      <c r="H126" s="532"/>
      <c r="I126" s="327"/>
    </row>
    <row r="127" spans="1:9" ht="15">
      <c r="A127" s="416" t="s">
        <v>458</v>
      </c>
      <c r="B127" s="306">
        <f>PGL_Requirements!N7/1000</f>
        <v>30</v>
      </c>
      <c r="C127" s="306" t="s">
        <v>9</v>
      </c>
      <c r="D127" s="304"/>
      <c r="E127" s="324"/>
      <c r="F127" s="416" t="s">
        <v>429</v>
      </c>
      <c r="G127" s="527"/>
      <c r="H127" s="308"/>
      <c r="I127" s="327"/>
    </row>
    <row r="128" spans="1:9" ht="15">
      <c r="A128" s="416" t="s">
        <v>398</v>
      </c>
      <c r="B128" s="306">
        <f>PGL_Requirements!H7/1000</f>
        <v>0</v>
      </c>
      <c r="C128" s="306" t="s">
        <v>9</v>
      </c>
      <c r="D128" s="304"/>
      <c r="E128" s="324"/>
      <c r="F128" s="416" t="s">
        <v>430</v>
      </c>
      <c r="G128" s="527"/>
      <c r="H128" s="308"/>
      <c r="I128" s="327"/>
    </row>
    <row r="129" spans="1:9" ht="15">
      <c r="A129" s="416" t="s">
        <v>409</v>
      </c>
      <c r="B129" s="306" t="e">
        <f>PGL_Requirements!#REF!/1000</f>
        <v>#REF!</v>
      </c>
      <c r="C129" s="304"/>
      <c r="D129" s="304"/>
      <c r="E129" s="324"/>
      <c r="F129" s="416" t="s">
        <v>431</v>
      </c>
      <c r="G129" s="527"/>
      <c r="H129" s="308"/>
      <c r="I129" s="327"/>
    </row>
    <row r="130" spans="1:9" ht="15">
      <c r="A130" s="416" t="s">
        <v>410</v>
      </c>
      <c r="B130" s="306">
        <f>PGL_Requirements!Z7/1000</f>
        <v>0</v>
      </c>
      <c r="C130" s="577"/>
      <c r="D130" s="304"/>
      <c r="E130" s="324"/>
      <c r="F130" s="416" t="s">
        <v>432</v>
      </c>
      <c r="G130" s="527"/>
      <c r="H130" s="308"/>
      <c r="I130" s="327"/>
    </row>
    <row r="131" spans="1:9" ht="15">
      <c r="A131" s="408" t="s">
        <v>103</v>
      </c>
      <c r="B131" s="315">
        <f>PGL_Supplies!Y7/1000</f>
        <v>25.425000000000001</v>
      </c>
      <c r="C131" s="304"/>
      <c r="D131" s="304"/>
      <c r="E131" s="324"/>
      <c r="F131" s="361" t="s">
        <v>433</v>
      </c>
      <c r="G131" s="527"/>
      <c r="H131" s="308"/>
      <c r="I131" s="327"/>
    </row>
    <row r="132" spans="1:9" ht="15.75" thickBot="1">
      <c r="A132" s="416" t="s">
        <v>361</v>
      </c>
      <c r="B132" s="315">
        <f>PGL_Supplies!T7/1000</f>
        <v>0</v>
      </c>
      <c r="C132" s="340"/>
      <c r="D132" s="340"/>
      <c r="E132" s="537"/>
      <c r="F132" s="416" t="s">
        <v>434</v>
      </c>
      <c r="G132" s="527"/>
      <c r="H132" s="308"/>
      <c r="I132" s="327"/>
    </row>
    <row r="133" spans="1:9" ht="16.5" thickBot="1">
      <c r="A133" s="542" t="s">
        <v>411</v>
      </c>
      <c r="B133" s="549" t="e">
        <f>B126+B127+B130+B131+B132-B125-B128-B129</f>
        <v>#REF!</v>
      </c>
      <c r="C133" s="514"/>
      <c r="D133" s="514"/>
      <c r="E133" s="504"/>
      <c r="F133" s="416" t="s">
        <v>435</v>
      </c>
      <c r="G133" s="527"/>
      <c r="H133" s="308"/>
      <c r="I133" s="327"/>
    </row>
    <row r="134" spans="1:9" ht="15.75" thickBot="1">
      <c r="A134" s="538" t="s">
        <v>9</v>
      </c>
      <c r="B134" s="539" t="s">
        <v>9</v>
      </c>
      <c r="C134" s="540" t="s">
        <v>66</v>
      </c>
      <c r="D134" s="541"/>
      <c r="E134" s="541" t="s">
        <v>9</v>
      </c>
      <c r="F134" s="529" t="s">
        <v>436</v>
      </c>
      <c r="G134" s="528"/>
      <c r="H134" s="308"/>
      <c r="I134" s="327"/>
    </row>
    <row r="135" spans="1:9" ht="15">
      <c r="A135" s="416" t="s">
        <v>398</v>
      </c>
      <c r="B135" s="132">
        <f>PGL_Requirements!I7</f>
        <v>0</v>
      </c>
      <c r="C135" s="8"/>
      <c r="D135" s="8"/>
      <c r="E135" s="8"/>
      <c r="F135" s="530" t="s">
        <v>437</v>
      </c>
      <c r="G135" s="528"/>
      <c r="H135" s="341"/>
      <c r="I135" s="327"/>
    </row>
    <row r="136" spans="1:9" ht="15">
      <c r="A136" s="416" t="s">
        <v>412</v>
      </c>
      <c r="B136" s="315">
        <f>NSG_Supplies!N7/1011</f>
        <v>0</v>
      </c>
      <c r="C136" s="304"/>
      <c r="D136" s="304"/>
      <c r="E136" s="304"/>
      <c r="F136" s="416" t="s">
        <v>438</v>
      </c>
      <c r="G136" s="527"/>
      <c r="H136" s="343"/>
      <c r="I136" s="327"/>
    </row>
    <row r="137" spans="1:9" ht="15">
      <c r="A137" s="416" t="s">
        <v>413</v>
      </c>
      <c r="B137" s="315">
        <f>PGL_Supplies!Z7/1000</f>
        <v>0</v>
      </c>
      <c r="C137" s="577"/>
      <c r="D137" s="304"/>
      <c r="E137" s="304"/>
      <c r="F137" s="416" t="s">
        <v>439</v>
      </c>
      <c r="G137" s="527"/>
      <c r="H137" s="308"/>
      <c r="I137" s="327"/>
    </row>
    <row r="138" spans="1:9" ht="15">
      <c r="A138" s="416" t="s">
        <v>414</v>
      </c>
      <c r="B138" s="132">
        <f>PGL_Requirements!C7</f>
        <v>0</v>
      </c>
      <c r="C138" s="304"/>
      <c r="D138" s="304"/>
      <c r="E138" s="304"/>
      <c r="F138" s="416" t="s">
        <v>371</v>
      </c>
      <c r="G138" s="527"/>
      <c r="H138" s="343"/>
      <c r="I138" s="327"/>
    </row>
    <row r="139" spans="1:9" ht="15">
      <c r="A139" s="416" t="s">
        <v>415</v>
      </c>
      <c r="B139" s="315">
        <f>PGL_Supplies!C7/1000</f>
        <v>0</v>
      </c>
      <c r="C139" s="304"/>
      <c r="D139" s="304"/>
      <c r="E139" s="304"/>
      <c r="F139" s="361" t="s">
        <v>440</v>
      </c>
      <c r="G139" s="531"/>
      <c r="H139" s="522"/>
      <c r="I139" s="327"/>
    </row>
    <row r="140" spans="1:9" ht="15.75" thickBot="1">
      <c r="A140" s="416" t="s">
        <v>361</v>
      </c>
      <c r="B140" s="315">
        <f>PGL_Supplies!U7/1000</f>
        <v>152.06</v>
      </c>
      <c r="C140" s="340"/>
      <c r="D140" s="340"/>
      <c r="E140" s="340"/>
      <c r="F140" s="361" t="s">
        <v>441</v>
      </c>
      <c r="G140" s="531"/>
      <c r="H140" s="533"/>
      <c r="I140" s="327"/>
    </row>
    <row r="141" spans="1:9" ht="16.5" thickBot="1">
      <c r="A141" s="542" t="s">
        <v>411</v>
      </c>
      <c r="B141" s="544">
        <f>-B135+B136+B137-B138+B139+B140</f>
        <v>152.06</v>
      </c>
      <c r="C141" s="545"/>
      <c r="D141" s="514"/>
      <c r="E141" s="515"/>
      <c r="F141" s="534" t="s">
        <v>209</v>
      </c>
      <c r="G141" s="535"/>
      <c r="H141" s="536"/>
      <c r="I141" s="327"/>
    </row>
    <row r="142" spans="1:9" ht="16.5" thickBot="1">
      <c r="A142" s="538" t="s">
        <v>9</v>
      </c>
      <c r="B142" s="543" t="s">
        <v>9</v>
      </c>
      <c r="C142" s="540" t="s">
        <v>57</v>
      </c>
      <c r="D142" s="541"/>
      <c r="E142" s="541"/>
      <c r="F142" s="511" t="s">
        <v>9</v>
      </c>
      <c r="G142" s="512" t="s">
        <v>442</v>
      </c>
      <c r="H142" s="512" t="s">
        <v>9</v>
      </c>
      <c r="I142" s="351"/>
    </row>
    <row r="143" spans="1:9" ht="15">
      <c r="A143" s="416" t="s">
        <v>69</v>
      </c>
      <c r="B143" s="315">
        <f>PGL_Requirements!O7/1000</f>
        <v>110</v>
      </c>
      <c r="C143" s="304"/>
      <c r="D143" s="304"/>
      <c r="E143" s="304"/>
      <c r="F143" s="551" t="s">
        <v>394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416</v>
      </c>
      <c r="B144" s="315">
        <f>PGL_Supplies!L7/1000</f>
        <v>0</v>
      </c>
      <c r="C144" s="304"/>
      <c r="D144" s="304"/>
      <c r="E144" s="304"/>
      <c r="F144" s="352" t="s">
        <v>443</v>
      </c>
      <c r="G144" s="304"/>
      <c r="H144" s="379" t="s">
        <v>9</v>
      </c>
      <c r="I144" s="357">
        <f>NSG_Supplies!N7/1000</f>
        <v>0</v>
      </c>
    </row>
    <row r="145" spans="1:9" ht="15.75" thickBot="1">
      <c r="A145" s="416" t="s">
        <v>417</v>
      </c>
      <c r="B145" s="315">
        <f>PGL_Requirements!B7/1000</f>
        <v>0</v>
      </c>
      <c r="C145" s="304"/>
      <c r="D145" s="304"/>
      <c r="E145" s="304"/>
      <c r="F145" s="520" t="s">
        <v>444</v>
      </c>
      <c r="G145" s="346"/>
      <c r="H145" s="509" t="s">
        <v>9</v>
      </c>
      <c r="I145" s="398"/>
    </row>
    <row r="146" spans="1:9" ht="15.75" thickBot="1">
      <c r="A146" s="416" t="s">
        <v>418</v>
      </c>
      <c r="B146" s="315">
        <f>PGL_Supplies!G7/1000</f>
        <v>1</v>
      </c>
      <c r="C146" s="304"/>
      <c r="D146" s="304"/>
      <c r="E146" s="304"/>
      <c r="F146" s="548" t="s">
        <v>420</v>
      </c>
      <c r="G146" s="514"/>
      <c r="H146" s="549" t="s">
        <v>9</v>
      </c>
      <c r="I146" s="550" t="e">
        <f>PGL_Requirements!#REF!/1000</f>
        <v>#REF!</v>
      </c>
    </row>
    <row r="147" spans="1:9" ht="16.5" thickBot="1">
      <c r="A147" s="361" t="s">
        <v>395</v>
      </c>
      <c r="B147" s="315" t="s">
        <v>9</v>
      </c>
      <c r="C147" s="304"/>
      <c r="D147" s="304"/>
      <c r="E147" s="304"/>
      <c r="F147" s="349" t="s">
        <v>445</v>
      </c>
      <c r="G147" s="350"/>
      <c r="H147" s="350"/>
      <c r="I147" s="351"/>
    </row>
    <row r="148" spans="1:9" ht="15.75" thickBot="1">
      <c r="A148" s="416" t="s">
        <v>419</v>
      </c>
      <c r="B148" s="315">
        <f>PGL_Requirements!P7/1000</f>
        <v>1.65</v>
      </c>
      <c r="C148" s="340"/>
      <c r="D148" s="340"/>
      <c r="E148" s="340"/>
      <c r="F148" s="525" t="s">
        <v>446</v>
      </c>
      <c r="G148" s="526"/>
      <c r="H148" s="552" t="s">
        <v>9</v>
      </c>
      <c r="I148" s="553">
        <f>+NSG_Supplies!Y7/1000</f>
        <v>0</v>
      </c>
    </row>
    <row r="149" spans="1:9" ht="16.5" thickBot="1">
      <c r="A149" s="501" t="s">
        <v>420</v>
      </c>
      <c r="B149" s="502">
        <f>B144+B146</f>
        <v>1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75" thickBot="1">
      <c r="A150" s="416" t="s">
        <v>203</v>
      </c>
      <c r="B150" s="505">
        <f>PGL_Deliveries!AG5</f>
        <v>0</v>
      </c>
      <c r="C150" s="506"/>
      <c r="D150" s="506"/>
      <c r="E150" s="507"/>
      <c r="F150" s="548" t="s">
        <v>420</v>
      </c>
      <c r="G150" s="514"/>
      <c r="H150" s="549" t="s">
        <v>9</v>
      </c>
      <c r="I150" s="550" t="e">
        <f>PGL_Requirements!#REF!/1000</f>
        <v>#REF!</v>
      </c>
    </row>
    <row r="151" spans="1:9" ht="16.5" thickBot="1">
      <c r="A151" s="416" t="s">
        <v>201</v>
      </c>
      <c r="B151" s="505">
        <f>PGL_Deliveries!AI5</f>
        <v>0</v>
      </c>
      <c r="C151" s="368"/>
      <c r="D151" s="368"/>
      <c r="E151" s="368"/>
      <c r="F151" s="349" t="s">
        <v>389</v>
      </c>
      <c r="G151" s="350"/>
      <c r="H151" s="350"/>
      <c r="I151" s="351"/>
    </row>
    <row r="152" spans="1:9" ht="15.75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447</v>
      </c>
      <c r="G152" s="526"/>
      <c r="H152" s="557"/>
      <c r="I152" s="379">
        <f>PGL_Requirements!S7/1000</f>
        <v>0</v>
      </c>
    </row>
    <row r="153" spans="1:9" ht="15">
      <c r="A153" s="416" t="s">
        <v>421</v>
      </c>
      <c r="B153" s="379">
        <f>PGL_Requirements!M7/1000</f>
        <v>0</v>
      </c>
      <c r="C153" s="304"/>
      <c r="D153" s="304"/>
      <c r="E153" s="371"/>
      <c r="F153" s="521" t="s">
        <v>448</v>
      </c>
      <c r="G153" s="528"/>
      <c r="H153" s="523"/>
      <c r="I153" s="379">
        <f>PGL_Requirements!S7/1000</f>
        <v>0</v>
      </c>
    </row>
    <row r="154" spans="1:9" ht="15">
      <c r="A154" s="416" t="s">
        <v>422</v>
      </c>
      <c r="B154" s="315">
        <f>PGL_Supplies!AD7/1000</f>
        <v>0</v>
      </c>
      <c r="C154" s="372" t="s">
        <v>9</v>
      </c>
      <c r="D154" s="304"/>
      <c r="E154" s="373"/>
      <c r="F154" s="520" t="s">
        <v>449</v>
      </c>
      <c r="G154" s="527"/>
      <c r="H154" s="523"/>
      <c r="I154" s="315">
        <f>PGL_Supplies!AK7/1000</f>
        <v>0</v>
      </c>
    </row>
    <row r="155" spans="1:9" ht="15">
      <c r="A155" s="416" t="s">
        <v>423</v>
      </c>
      <c r="B155" s="379">
        <f>PGL_Requirements!E7/1000</f>
        <v>1.01</v>
      </c>
      <c r="C155" s="372" t="s">
        <v>9</v>
      </c>
      <c r="D155" s="304"/>
      <c r="E155" s="373"/>
      <c r="F155" s="416" t="s">
        <v>103</v>
      </c>
      <c r="G155" s="556"/>
      <c r="H155" s="523"/>
      <c r="I155" s="315">
        <f>PGL_Supplies!AK8/1000</f>
        <v>0</v>
      </c>
    </row>
    <row r="156" spans="1:9" ht="15.75" thickBot="1">
      <c r="A156" s="416" t="s">
        <v>424</v>
      </c>
      <c r="B156" s="315">
        <f>PGL_Supplies!F7/1000</f>
        <v>0</v>
      </c>
      <c r="C156" s="380" t="s">
        <v>9</v>
      </c>
      <c r="D156" s="304"/>
      <c r="E156" s="373"/>
      <c r="F156" s="361" t="s">
        <v>361</v>
      </c>
      <c r="G156" s="556"/>
      <c r="H156" s="533"/>
      <c r="I156" s="315">
        <f>PGL_Supplies!AK9/1000</f>
        <v>0</v>
      </c>
    </row>
    <row r="157" spans="1:9" ht="15.75">
      <c r="A157" s="416" t="s">
        <v>425</v>
      </c>
      <c r="B157" s="379">
        <f>PGL_Requirements!S7/1000</f>
        <v>0</v>
      </c>
      <c r="C157" s="372" t="s">
        <v>9</v>
      </c>
      <c r="D157" s="304"/>
      <c r="E157" s="373"/>
      <c r="F157" s="558" t="s">
        <v>450</v>
      </c>
      <c r="G157" s="559"/>
      <c r="H157" s="557"/>
      <c r="I157" s="560">
        <v>0</v>
      </c>
    </row>
    <row r="158" spans="1:9" ht="15.75" thickBot="1">
      <c r="A158" s="416" t="s">
        <v>426</v>
      </c>
      <c r="B158" s="315">
        <f>PGL_Supplies!N7/1000</f>
        <v>0</v>
      </c>
      <c r="C158" s="380" t="s">
        <v>9</v>
      </c>
      <c r="D158" s="304"/>
      <c r="E158" s="474"/>
      <c r="F158" s="561" t="s">
        <v>451</v>
      </c>
      <c r="G158" s="383"/>
      <c r="H158" s="562"/>
      <c r="I158" s="563">
        <v>0</v>
      </c>
    </row>
    <row r="159" spans="1:9" ht="16.5" thickBot="1">
      <c r="A159" s="416" t="s">
        <v>103</v>
      </c>
      <c r="B159" s="315">
        <f>PGL_Supplies!AC7/1000</f>
        <v>1.01</v>
      </c>
      <c r="C159" s="380" t="s">
        <v>9</v>
      </c>
      <c r="D159" s="304"/>
      <c r="E159" s="373"/>
      <c r="F159" s="511" t="s">
        <v>236</v>
      </c>
      <c r="G159" s="512"/>
      <c r="H159" s="513"/>
      <c r="I159" s="351"/>
    </row>
    <row r="160" spans="1:9" ht="15.75" thickBot="1">
      <c r="A160" s="416" t="s">
        <v>361</v>
      </c>
      <c r="B160" s="594">
        <f>PGL_Supplies!X7/1000</f>
        <v>88.192999999999998</v>
      </c>
      <c r="C160" s="510" t="s">
        <v>9</v>
      </c>
      <c r="D160" s="340"/>
      <c r="E160" s="508"/>
      <c r="F160" s="564" t="s">
        <v>452</v>
      </c>
      <c r="G160" s="524" t="s">
        <v>9</v>
      </c>
      <c r="H160" s="506"/>
      <c r="I160" s="569"/>
    </row>
    <row r="161" spans="1:9" ht="16.5" thickBot="1">
      <c r="A161" s="578" t="s">
        <v>427</v>
      </c>
      <c r="B161" s="596"/>
      <c r="C161" s="516" t="s">
        <v>9</v>
      </c>
      <c r="D161" s="517"/>
      <c r="E161" s="518"/>
      <c r="F161" s="547" t="s">
        <v>453</v>
      </c>
      <c r="G161" s="340"/>
      <c r="H161" s="567"/>
      <c r="I161" s="568" t="s">
        <v>9</v>
      </c>
    </row>
    <row r="162" spans="1:9" ht="16.5" thickBot="1">
      <c r="A162" s="390" t="s">
        <v>420</v>
      </c>
      <c r="B162" s="595">
        <f>B154+B156+B158+B159+B160-B153-B155-B157-B161</f>
        <v>88.192999999999998</v>
      </c>
      <c r="C162" s="391"/>
      <c r="D162" s="392"/>
      <c r="E162" s="519"/>
      <c r="F162" s="565" t="s">
        <v>240</v>
      </c>
      <c r="G162" s="514"/>
      <c r="H162" s="503"/>
      <c r="I162" s="566"/>
    </row>
    <row r="163" spans="1:9" ht="12.75" thickBot="1">
      <c r="A163" s="579"/>
      <c r="B163" s="580" t="s">
        <v>454</v>
      </c>
      <c r="C163" s="580"/>
      <c r="D163" s="580" t="s">
        <v>455</v>
      </c>
      <c r="E163" s="580"/>
      <c r="F163" s="580"/>
      <c r="G163" s="580"/>
      <c r="H163" s="581" t="s">
        <v>243</v>
      </c>
      <c r="I163" s="582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1" t="s">
        <v>244</v>
      </c>
      <c r="B2" s="191" t="s">
        <v>244</v>
      </c>
      <c r="C2" s="191" t="s">
        <v>244</v>
      </c>
      <c r="D2" s="191" t="s">
        <v>244</v>
      </c>
      <c r="E2" s="191" t="s">
        <v>244</v>
      </c>
      <c r="F2" s="191" t="s">
        <v>244</v>
      </c>
      <c r="G2" s="191" t="s">
        <v>244</v>
      </c>
      <c r="H2" s="191" t="s">
        <v>244</v>
      </c>
      <c r="I2" s="191" t="s">
        <v>244</v>
      </c>
      <c r="J2" s="6"/>
    </row>
    <row r="14" spans="1:10" ht="30">
      <c r="A14" s="191" t="s">
        <v>251</v>
      </c>
      <c r="B14" s="191" t="s">
        <v>251</v>
      </c>
      <c r="C14" s="191" t="s">
        <v>251</v>
      </c>
      <c r="D14" s="191" t="s">
        <v>251</v>
      </c>
      <c r="E14" s="191" t="s">
        <v>251</v>
      </c>
      <c r="F14" s="191" t="s">
        <v>251</v>
      </c>
      <c r="G14" s="191" t="s">
        <v>251</v>
      </c>
      <c r="H14" s="191" t="s">
        <v>251</v>
      </c>
      <c r="I14" s="191" t="s">
        <v>251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1" t="s">
        <v>244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2" t="s">
        <v>245</v>
      </c>
      <c r="D5" s="122" t="s">
        <v>351</v>
      </c>
      <c r="F5" s="192" t="s">
        <v>246</v>
      </c>
      <c r="G5" s="122" t="s">
        <v>352</v>
      </c>
    </row>
    <row r="6" spans="1:10">
      <c r="D6" s="161" t="s">
        <v>247</v>
      </c>
      <c r="G6" s="161" t="s">
        <v>248</v>
      </c>
    </row>
    <row r="7" spans="1:10">
      <c r="D7" s="161" t="s">
        <v>248</v>
      </c>
    </row>
    <row r="8" spans="1:10">
      <c r="G8" s="122" t="s">
        <v>353</v>
      </c>
    </row>
    <row r="9" spans="1:10">
      <c r="D9" s="122" t="s">
        <v>355</v>
      </c>
      <c r="G9" s="122" t="s">
        <v>354</v>
      </c>
    </row>
    <row r="10" spans="1:10">
      <c r="D10" s="122" t="s">
        <v>356</v>
      </c>
    </row>
    <row r="11" spans="1:10" ht="15.75">
      <c r="D11" s="192" t="s">
        <v>249</v>
      </c>
    </row>
    <row r="12" spans="1:10" ht="15.75">
      <c r="D12" s="192" t="s">
        <v>250</v>
      </c>
    </row>
    <row r="14" spans="1:10" ht="30">
      <c r="A14" s="191" t="s">
        <v>251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252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253</v>
      </c>
      <c r="C17" s="190"/>
      <c r="D17" s="6"/>
      <c r="E17" s="6"/>
      <c r="F17" s="6"/>
      <c r="G17" s="6"/>
      <c r="H17" s="6"/>
      <c r="I17" s="6"/>
    </row>
    <row r="18" spans="2:9" ht="15.75">
      <c r="B18" s="190" t="s">
        <v>254</v>
      </c>
      <c r="C18" s="190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89" t="s">
        <v>360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255</v>
      </c>
      <c r="D22" s="163">
        <f ca="1">NOW()</f>
        <v>37159.123530324076</v>
      </c>
      <c r="F22" s="161" t="s">
        <v>256</v>
      </c>
      <c r="G22" s="186">
        <f ca="1">NOW()</f>
        <v>37159.123530324076</v>
      </c>
    </row>
    <row r="24" spans="2:9">
      <c r="B24" s="161" t="s">
        <v>257</v>
      </c>
      <c r="D24" s="221" t="s">
        <v>375</v>
      </c>
      <c r="E24" t="s">
        <v>9</v>
      </c>
      <c r="F24" s="161" t="s">
        <v>258</v>
      </c>
      <c r="G24" s="162" t="s">
        <v>259</v>
      </c>
    </row>
    <row r="25" spans="2:9" ht="15.75" thickBot="1"/>
    <row r="26" spans="2:9" ht="15.75" thickBot="1">
      <c r="B26" s="204" t="s">
        <v>9</v>
      </c>
      <c r="C26" s="161" t="s">
        <v>260</v>
      </c>
    </row>
    <row r="27" spans="2:9" ht="15.75" thickBot="1">
      <c r="B27" s="204" t="s">
        <v>9</v>
      </c>
      <c r="C27" s="161" t="s">
        <v>261</v>
      </c>
    </row>
    <row r="28" spans="2:9" ht="15.75" thickBot="1">
      <c r="B28" s="204" t="s">
        <v>376</v>
      </c>
      <c r="C28" s="122" t="s">
        <v>357</v>
      </c>
    </row>
    <row r="29" spans="2:9">
      <c r="B29" t="s">
        <v>9</v>
      </c>
      <c r="C29" s="161" t="s">
        <v>358</v>
      </c>
    </row>
    <row r="30" spans="2:9">
      <c r="C30" s="161" t="s">
        <v>9</v>
      </c>
    </row>
    <row r="32" spans="2:9">
      <c r="B32" s="161" t="s">
        <v>262</v>
      </c>
      <c r="E32" s="433">
        <v>35915</v>
      </c>
    </row>
    <row r="34" spans="2:8" ht="15.75">
      <c r="B34" s="161" t="s">
        <v>263</v>
      </c>
      <c r="E34" s="185">
        <v>0</v>
      </c>
      <c r="F34" t="s">
        <v>264</v>
      </c>
    </row>
    <row r="36" spans="2:8" ht="15.75">
      <c r="B36" s="161" t="s">
        <v>265</v>
      </c>
      <c r="E36" s="185">
        <v>0</v>
      </c>
      <c r="F36" t="s">
        <v>264</v>
      </c>
    </row>
    <row r="38" spans="2:8" ht="15.75">
      <c r="B38" t="s">
        <v>266</v>
      </c>
      <c r="E38" s="163">
        <f>+E32+1</f>
        <v>35916</v>
      </c>
      <c r="F38" s="185">
        <v>0</v>
      </c>
      <c r="G38" t="s">
        <v>264</v>
      </c>
    </row>
    <row r="39" spans="2:8" ht="15.75">
      <c r="E39" s="163">
        <f>+E38+1</f>
        <v>35917</v>
      </c>
      <c r="F39" s="185">
        <v>0</v>
      </c>
      <c r="G39" t="s">
        <v>264</v>
      </c>
    </row>
    <row r="40" spans="2:8" ht="15.75">
      <c r="E40" s="163">
        <f>+E39+1</f>
        <v>35918</v>
      </c>
      <c r="F40" s="185">
        <v>0</v>
      </c>
      <c r="G40" t="s">
        <v>264</v>
      </c>
    </row>
    <row r="41" spans="2:8" ht="15.75">
      <c r="E41" s="163">
        <f>+E40+1</f>
        <v>35919</v>
      </c>
      <c r="F41" s="185">
        <v>0</v>
      </c>
      <c r="G41" t="s">
        <v>264</v>
      </c>
    </row>
    <row r="42" spans="2:8" ht="15.75">
      <c r="E42" s="163">
        <f>+E41+1</f>
        <v>35920</v>
      </c>
      <c r="F42" s="185">
        <v>0</v>
      </c>
      <c r="G42" t="s">
        <v>264</v>
      </c>
    </row>
    <row r="44" spans="2:8">
      <c r="B44" s="161" t="s">
        <v>267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268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359</v>
      </c>
      <c r="D49" s="184"/>
    </row>
    <row r="50" spans="2:4">
      <c r="B50" s="183"/>
      <c r="C50" s="182" t="s">
        <v>269</v>
      </c>
    </row>
    <row r="51" spans="2:4">
      <c r="B51" s="183"/>
      <c r="C51" s="182" t="s">
        <v>270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>
      <selection sqref="A1:I60"/>
    </sheetView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271</v>
      </c>
      <c r="E4" s="88"/>
      <c r="F4" s="88" t="s">
        <v>272</v>
      </c>
      <c r="G4" s="88"/>
      <c r="H4" s="91"/>
      <c r="I4" s="90" t="s">
        <v>273</v>
      </c>
    </row>
    <row r="5" spans="1:109" ht="15">
      <c r="A5" s="18" t="str">
        <f>CHOOSE(WEEKDAY(B5),"Sunday","Monday","Tuesday","Wednesday","Thursday","Friday","Saturday")</f>
        <v>Monday</v>
      </c>
      <c r="B5" s="21">
        <f>Weather_Input!A5</f>
        <v>37158</v>
      </c>
      <c r="C5" s="15"/>
      <c r="D5" s="22" t="s">
        <v>274</v>
      </c>
      <c r="E5" s="23">
        <f>Weather_Input!B5</f>
        <v>54</v>
      </c>
      <c r="F5" s="24" t="s">
        <v>275</v>
      </c>
      <c r="G5" s="25">
        <f>Weather_Input!H5</f>
        <v>15</v>
      </c>
      <c r="H5" s="26" t="s">
        <v>276</v>
      </c>
      <c r="I5" s="27">
        <f ca="1">G5-(VLOOKUP(B5,DD_Normal_Data,CELL("Col",B6),FALSE))</f>
        <v>10</v>
      </c>
    </row>
    <row r="6" spans="1:109" ht="15">
      <c r="A6" s="18"/>
      <c r="B6" s="21"/>
      <c r="C6" s="15"/>
      <c r="D6" s="22" t="s">
        <v>161</v>
      </c>
      <c r="E6" s="23">
        <f>Weather_Input!C5</f>
        <v>42</v>
      </c>
      <c r="F6" s="24" t="s">
        <v>277</v>
      </c>
      <c r="G6" s="25">
        <f>Weather_Input!F5</f>
        <v>69</v>
      </c>
      <c r="H6" s="26" t="s">
        <v>278</v>
      </c>
      <c r="I6" s="27">
        <f ca="1">G6-(VLOOKUP(B5,DD_Normal_Data,CELL("Col",C7),FALSE))</f>
        <v>1</v>
      </c>
      <c r="J6" s="28"/>
      <c r="DE6" s="14" t="s">
        <v>14</v>
      </c>
    </row>
    <row r="7" spans="1:109" ht="15">
      <c r="A7" s="18"/>
      <c r="B7" s="21"/>
      <c r="C7" s="15"/>
      <c r="D7" s="22" t="s">
        <v>279</v>
      </c>
      <c r="E7" s="29">
        <f>IF(Weather_Input!E5="N/A",(Weather_Input!C5+Weather_Input!B5)/2,Weather_Input!E5)</f>
        <v>48</v>
      </c>
      <c r="F7" s="24" t="s">
        <v>280</v>
      </c>
      <c r="G7" s="25">
        <f>Weather_Input!G5</f>
        <v>69</v>
      </c>
      <c r="H7" s="26" t="s">
        <v>280</v>
      </c>
      <c r="I7" s="120">
        <f ca="1">G7-(VLOOKUP(B5,DD_Normal_Data,CELL("Col",D4),FALSE))</f>
        <v>-7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TODAY - MOSTLY CLOUDY; VERY WINDY AND COOL.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TONIGHT - COOL AND BREEZY WITH PATCHY CLOUDS.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Tuesday</v>
      </c>
      <c r="B10" s="21">
        <f>Weather_Input!A6</f>
        <v>37159</v>
      </c>
      <c r="C10" s="15"/>
      <c r="D10" s="150" t="s">
        <v>274</v>
      </c>
      <c r="E10" s="23">
        <f>Weather_Input!B6</f>
        <v>58</v>
      </c>
      <c r="F10" s="24" t="s">
        <v>275</v>
      </c>
      <c r="G10" s="25">
        <f>IF(E12&lt;65,65-(Weather_Input!B6+Weather_Input!C6)/2,0)</f>
        <v>15</v>
      </c>
      <c r="H10" s="26" t="s">
        <v>276</v>
      </c>
      <c r="I10" s="27">
        <f ca="1">G10-(VLOOKUP(B10,DD_Normal_Data,CELL("Col",B11),FALSE))</f>
        <v>9</v>
      </c>
    </row>
    <row r="11" spans="1:109" ht="15">
      <c r="A11" s="18"/>
      <c r="B11" s="21"/>
      <c r="C11" s="15"/>
      <c r="D11" s="22" t="s">
        <v>161</v>
      </c>
      <c r="E11" s="23">
        <f>Weather_Input!C6</f>
        <v>42</v>
      </c>
      <c r="F11" s="24" t="s">
        <v>277</v>
      </c>
      <c r="G11" s="25">
        <f>IF(DAY(B10)=1,G10,G6+G10)</f>
        <v>84</v>
      </c>
      <c r="H11" s="30" t="s">
        <v>278</v>
      </c>
      <c r="I11" s="27">
        <f ca="1">G11-(VLOOKUP(B10,DD_Normal_Data,CELL("Col",C12),FALSE))</f>
        <v>10</v>
      </c>
      <c r="DE11" s="14" t="s">
        <v>281</v>
      </c>
    </row>
    <row r="12" spans="1:109" ht="15">
      <c r="A12" s="18"/>
      <c r="B12" s="20"/>
      <c r="C12" s="15"/>
      <c r="D12" s="22" t="s">
        <v>279</v>
      </c>
      <c r="E12" s="23">
        <f>(Weather_Input!C6+Weather_Input!B6)/2</f>
        <v>50</v>
      </c>
      <c r="F12" s="24" t="s">
        <v>280</v>
      </c>
      <c r="G12" s="25">
        <f>IF(AND(DAY(B10)=1,MONTH(B10)=8),G10,G7+G10)</f>
        <v>84</v>
      </c>
      <c r="H12" s="26" t="s">
        <v>280</v>
      </c>
      <c r="I12" s="27">
        <f ca="1">G12-(VLOOKUP(B10,DD_Normal_Data,CELL("Col",D9),FALSE))</f>
        <v>2</v>
      </c>
    </row>
    <row r="13" spans="1:109" ht="15">
      <c r="A13" s="18"/>
      <c r="B13" s="21"/>
      <c r="C13" s="15"/>
      <c r="D13" s="32" t="str">
        <f>IF(Weather_Input!I6=""," ",Weather_Input!I6)</f>
        <v xml:space="preserve">  PARTLY SUNNY AND BREEZY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Wednesday</v>
      </c>
      <c r="B15" s="21">
        <f>Weather_Input!A7</f>
        <v>37160</v>
      </c>
      <c r="C15" s="15"/>
      <c r="D15" s="22" t="s">
        <v>274</v>
      </c>
      <c r="E15" s="23">
        <f>Weather_Input!B7</f>
        <v>62</v>
      </c>
      <c r="F15" s="24" t="s">
        <v>275</v>
      </c>
      <c r="G15" s="25">
        <f>IF(E17&lt;65,65-(Weather_Input!B7+Weather_Input!C7)/2,0)</f>
        <v>12.5</v>
      </c>
      <c r="H15" s="26" t="s">
        <v>276</v>
      </c>
      <c r="I15" s="27">
        <f ca="1">G15-(VLOOKUP(B15,DD_Normal_Data,CELL("Col",B16),FALSE))</f>
        <v>6.5</v>
      </c>
    </row>
    <row r="16" spans="1:109" ht="15">
      <c r="A16" s="18"/>
      <c r="B16" s="20"/>
      <c r="C16" s="15"/>
      <c r="D16" s="22" t="s">
        <v>161</v>
      </c>
      <c r="E16" s="23">
        <f>Weather_Input!C7</f>
        <v>43</v>
      </c>
      <c r="F16" s="24" t="s">
        <v>277</v>
      </c>
      <c r="G16" s="25">
        <f>IF(DAY(B15)=1,G15,G11+G15)</f>
        <v>96.5</v>
      </c>
      <c r="H16" s="30" t="s">
        <v>278</v>
      </c>
      <c r="I16" s="27">
        <f ca="1">G16-(VLOOKUP(B15,DD_Normal_Data,CELL("Col",C17),FALSE))</f>
        <v>16.5</v>
      </c>
      <c r="DE16" s="14" t="s">
        <v>32</v>
      </c>
    </row>
    <row r="17" spans="1:109" ht="15">
      <c r="A17" s="18"/>
      <c r="B17" s="21"/>
      <c r="C17" s="15"/>
      <c r="D17" s="22" t="s">
        <v>279</v>
      </c>
      <c r="E17" s="23">
        <f>(Weather_Input!C7+Weather_Input!B7)/2</f>
        <v>52.5</v>
      </c>
      <c r="F17" s="24" t="s">
        <v>280</v>
      </c>
      <c r="G17" s="25">
        <f>IF(AND(DAY(B15)=1,MONTH(B15)=8),G15,G12+G15)</f>
        <v>96.5</v>
      </c>
      <c r="H17" s="26" t="s">
        <v>280</v>
      </c>
      <c r="I17" s="27">
        <f ca="1">G17-(VLOOKUP(B15,DD_Normal_Data,CELL("Col",D14),FALSE))</f>
        <v>8.5</v>
      </c>
    </row>
    <row r="18" spans="1:109" ht="15">
      <c r="A18" s="18"/>
      <c r="B18" s="20"/>
      <c r="C18" s="15"/>
      <c r="D18" s="32" t="str">
        <f>IF(Weather_Input!I7=""," ",Weather_Input!I7)</f>
        <v xml:space="preserve">  SUNSHINE AND PATCHY CLOUDS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Thursday</v>
      </c>
      <c r="B20" s="21">
        <f>Weather_Input!A8</f>
        <v>37161</v>
      </c>
      <c r="C20" s="15"/>
      <c r="D20" s="22" t="s">
        <v>274</v>
      </c>
      <c r="E20" s="23">
        <f>Weather_Input!B8</f>
        <v>63</v>
      </c>
      <c r="F20" s="24" t="s">
        <v>275</v>
      </c>
      <c r="G20" s="25">
        <f>IF(E22&lt;65,65-(Weather_Input!B8+Weather_Input!C8)/2,0)</f>
        <v>11</v>
      </c>
      <c r="H20" s="26" t="s">
        <v>276</v>
      </c>
      <c r="I20" s="27">
        <f ca="1">G20-(VLOOKUP(B20,DD_Normal_Data,CELL("Col",B21),FALSE))</f>
        <v>5</v>
      </c>
    </row>
    <row r="21" spans="1:109" ht="15">
      <c r="A21" s="18"/>
      <c r="B21" s="21"/>
      <c r="C21" s="15"/>
      <c r="D21" s="22" t="s">
        <v>161</v>
      </c>
      <c r="E21" s="23">
        <f>Weather_Input!C8</f>
        <v>45</v>
      </c>
      <c r="F21" s="24" t="s">
        <v>277</v>
      </c>
      <c r="G21" s="25">
        <f>IF(DAY(B20)=1,G20,G16+G20)</f>
        <v>107.5</v>
      </c>
      <c r="H21" s="30" t="s">
        <v>278</v>
      </c>
      <c r="I21" s="27">
        <f ca="1">G21-(VLOOKUP(B20,DD_Normal_Data,CELL("Col",C22),FALSE))</f>
        <v>21.5</v>
      </c>
      <c r="DE21" s="14" t="s">
        <v>282</v>
      </c>
    </row>
    <row r="22" spans="1:109" ht="15">
      <c r="A22" s="18"/>
      <c r="B22" s="21"/>
      <c r="C22" s="15"/>
      <c r="D22" s="22" t="s">
        <v>279</v>
      </c>
      <c r="E22" s="23">
        <f>(Weather_Input!C8+Weather_Input!B8)/2</f>
        <v>54</v>
      </c>
      <c r="F22" s="24" t="s">
        <v>280</v>
      </c>
      <c r="G22" s="25">
        <f>IF(AND(DAY(B20)=1,MONTH(B20)=8),G20,G17+G20)</f>
        <v>107.5</v>
      </c>
      <c r="H22" s="26" t="s">
        <v>280</v>
      </c>
      <c r="I22" s="27">
        <f ca="1">G22-(VLOOKUP(B20,DD_Normal_Data,CELL("Col",D19),FALSE))</f>
        <v>13.5</v>
      </c>
    </row>
    <row r="23" spans="1:109" ht="15">
      <c r="A23" s="18"/>
      <c r="B23" s="21"/>
      <c r="C23" s="15"/>
      <c r="D23" s="32" t="str">
        <f>IF(Weather_Input!I8=""," ",Weather_Input!I8)</f>
        <v xml:space="preserve">  BRIGHT AND SUNNY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Friday</v>
      </c>
      <c r="B25" s="21">
        <f>Weather_Input!A9</f>
        <v>37162</v>
      </c>
      <c r="C25" s="15"/>
      <c r="D25" s="22" t="s">
        <v>274</v>
      </c>
      <c r="E25" s="23">
        <f>Weather_Input!B9</f>
        <v>66</v>
      </c>
      <c r="F25" s="24" t="s">
        <v>275</v>
      </c>
      <c r="G25" s="25">
        <f>IF(E27&lt;65,65-(Weather_Input!B9+Weather_Input!C9)/2,0)</f>
        <v>9</v>
      </c>
      <c r="H25" s="26" t="s">
        <v>276</v>
      </c>
      <c r="I25" s="27">
        <f ca="1">G25-(VLOOKUP(B25,DD_Normal_Data,CELL("Col",B26),FALSE))</f>
        <v>2</v>
      </c>
    </row>
    <row r="26" spans="1:109" ht="15">
      <c r="A26" s="18"/>
      <c r="B26" s="21"/>
      <c r="C26" s="15"/>
      <c r="D26" s="22" t="s">
        <v>161</v>
      </c>
      <c r="E26" s="23">
        <f>Weather_Input!C9</f>
        <v>46</v>
      </c>
      <c r="F26" s="24" t="s">
        <v>277</v>
      </c>
      <c r="G26" s="25">
        <f>IF(DAY(B25)=1,G25,G21+G25)</f>
        <v>116.5</v>
      </c>
      <c r="H26" s="30" t="s">
        <v>278</v>
      </c>
      <c r="I26" s="27">
        <f ca="1">G26-(VLOOKUP(B25,DD_Normal_Data,CELL("Col",C27),FALSE))</f>
        <v>23.5</v>
      </c>
      <c r="DE26" s="14" t="s">
        <v>283</v>
      </c>
    </row>
    <row r="27" spans="1:109" ht="15">
      <c r="A27" s="18"/>
      <c r="B27" s="20"/>
      <c r="C27" s="15"/>
      <c r="D27" s="22" t="s">
        <v>279</v>
      </c>
      <c r="E27" s="23">
        <f>(Weather_Input!C9+Weather_Input!B9)/2</f>
        <v>56</v>
      </c>
      <c r="F27" s="24" t="s">
        <v>280</v>
      </c>
      <c r="G27" s="25">
        <f>IF(AND(DAY(B25)=1,MONTH(B25)=8),G25,G22+G25)</f>
        <v>116.5</v>
      </c>
      <c r="H27" s="26" t="s">
        <v>280</v>
      </c>
      <c r="I27" s="27">
        <f ca="1">G27-(VLOOKUP(B25,DD_Normal_Data,CELL("Col",D24),FALSE))</f>
        <v>15.5</v>
      </c>
    </row>
    <row r="28" spans="1:109" ht="15">
      <c r="A28" s="18"/>
      <c r="B28" s="20"/>
      <c r="C28" s="15"/>
      <c r="D28" s="32" t="str">
        <f>IF(Weather_Input!I9=""," ",Weather_Input!I9)</f>
        <v xml:space="preserve">  SEVERAL HOURS OF SUNSHINE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Saturday</v>
      </c>
      <c r="B30" s="21">
        <f>Weather_Input!A10</f>
        <v>37163</v>
      </c>
      <c r="C30" s="15"/>
      <c r="D30" s="22" t="s">
        <v>274</v>
      </c>
      <c r="E30" s="23">
        <f>Weather_Input!B10</f>
        <v>66</v>
      </c>
      <c r="F30" s="24" t="s">
        <v>275</v>
      </c>
      <c r="G30" s="25">
        <f>IF(E32&lt;65,65-(Weather_Input!B10+Weather_Input!C10)/2,0)</f>
        <v>9</v>
      </c>
      <c r="H30" s="26" t="s">
        <v>276</v>
      </c>
      <c r="I30" s="27">
        <f ca="1">G30-(VLOOKUP(B30,DD_Normal_Data,CELL("Col",B31),FALSE))</f>
        <v>2</v>
      </c>
    </row>
    <row r="31" spans="1:109" ht="15">
      <c r="A31" s="15"/>
      <c r="B31" s="15"/>
      <c r="C31" s="15"/>
      <c r="D31" s="22" t="s">
        <v>161</v>
      </c>
      <c r="E31" s="23">
        <f>Weather_Input!C10</f>
        <v>46</v>
      </c>
      <c r="F31" s="24" t="s">
        <v>277</v>
      </c>
      <c r="G31" s="25">
        <f>IF(DAY(B30)=1,G30,G26+G30)</f>
        <v>125.5</v>
      </c>
      <c r="H31" s="30" t="s">
        <v>278</v>
      </c>
      <c r="I31" s="27">
        <f ca="1">G31-(VLOOKUP(B30,DD_Normal_Data,CELL("Col",C32),FALSE))</f>
        <v>25.5</v>
      </c>
      <c r="DE31" s="14" t="s">
        <v>31</v>
      </c>
    </row>
    <row r="32" spans="1:109" ht="15">
      <c r="A32" s="15"/>
      <c r="B32" s="15"/>
      <c r="C32" s="15"/>
      <c r="D32" s="22" t="s">
        <v>279</v>
      </c>
      <c r="E32" s="23">
        <f>(Weather_Input!C10+Weather_Input!B10)/2</f>
        <v>56</v>
      </c>
      <c r="F32" s="24" t="s">
        <v>280</v>
      </c>
      <c r="G32" s="25">
        <f>IF(AND(DAY(B30)=1,MONTH(B30)=8),G30,G27+G30)</f>
        <v>125.5</v>
      </c>
      <c r="H32" s="26" t="s">
        <v>280</v>
      </c>
      <c r="I32" s="27">
        <f ca="1">G32-(VLOOKUP(B30,DD_Normal_Data,CELL("Col",D29),FALSE))</f>
        <v>17.5</v>
      </c>
    </row>
    <row r="33" spans="1:9" ht="15">
      <c r="A33" s="15"/>
      <c r="B33" s="34"/>
      <c r="C33" s="15"/>
      <c r="D33" s="32" t="str">
        <f>IF(Weather_Input!I10=""," ",Weather_Input!I10)</f>
        <v xml:space="preserve">  SEVERAL HOURS OF SUNSHINE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284</v>
      </c>
      <c r="B35" s="18" t="s">
        <v>151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37158</v>
      </c>
      <c r="C36" s="89">
        <f>B10</f>
        <v>37159</v>
      </c>
      <c r="D36" s="89">
        <f>B15</f>
        <v>37160</v>
      </c>
      <c r="E36" s="89">
        <f xml:space="preserve">       B20</f>
        <v>37161</v>
      </c>
      <c r="F36" s="89">
        <f>B25</f>
        <v>37162</v>
      </c>
      <c r="G36" s="89">
        <f>B30</f>
        <v>37163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285</v>
      </c>
      <c r="C37" s="41">
        <f ca="1">(VLOOKUP(C36,PGL_Sendouts,(CELL("COL",PGL_Deliveries!C7))))/1000</f>
        <v>300</v>
      </c>
      <c r="D37" s="41">
        <f ca="1">(VLOOKUP(D36,PGL_Sendouts,(CELL("COL",PGL_Deliveries!C8))))/1000</f>
        <v>285</v>
      </c>
      <c r="E37" s="41">
        <f ca="1">(VLOOKUP(E36,PGL_Sendouts,(CELL("COL",PGL_Deliveries!C9))))/1000</f>
        <v>260</v>
      </c>
      <c r="F37" s="41">
        <f ca="1">(VLOOKUP(F36,PGL_Sendouts,(CELL("COL",PGL_Deliveries!C10))))/1000</f>
        <v>240</v>
      </c>
      <c r="G37" s="41">
        <f ca="1">(VLOOKUP(G36,PGL_Sendouts,(CELL("COL",PGL_Deliveries!C10))))/1000</f>
        <v>225</v>
      </c>
      <c r="H37" s="14"/>
      <c r="I37" s="15"/>
    </row>
    <row r="38" spans="1:9" ht="15">
      <c r="A38" s="15" t="s">
        <v>285</v>
      </c>
      <c r="B38" s="41">
        <f>PGL_6_Day_Report!D25</f>
        <v>428.28</v>
      </c>
      <c r="C38" s="41">
        <f>PGL_6_Day_Report!E25</f>
        <v>443.28</v>
      </c>
      <c r="D38" s="41">
        <f>PGL_6_Day_Report!F25</f>
        <v>428.28</v>
      </c>
      <c r="E38" s="41">
        <f>PGL_6_Day_Report!G25</f>
        <v>403.28</v>
      </c>
      <c r="F38" s="41">
        <f>PGL_6_Day_Report!H25</f>
        <v>383.28</v>
      </c>
      <c r="G38" s="41">
        <f>PGL_6_Day_Report!I25</f>
        <v>368.28</v>
      </c>
      <c r="H38" s="14"/>
      <c r="I38" s="15"/>
    </row>
    <row r="39" spans="1:9" ht="15">
      <c r="A39" s="42" t="s">
        <v>103</v>
      </c>
      <c r="B39" s="41">
        <f>SUM(PGL_Supplies!Y7:AD7)/1000</f>
        <v>278.01900000000001</v>
      </c>
      <c r="C39" s="41">
        <f>SUM(PGL_Supplies!Y8:AD8)/1000</f>
        <v>308.92899999999997</v>
      </c>
      <c r="D39" s="41">
        <f>SUM(PGL_Supplies!Y9:AD9)/1000</f>
        <v>308.92899999999997</v>
      </c>
      <c r="E39" s="41">
        <f>SUM(PGL_Supplies!Y10:AD10)/1000</f>
        <v>308.92899999999997</v>
      </c>
      <c r="F39" s="41">
        <f>SUM(PGL_Supplies!Y11:AD11)/1000</f>
        <v>308.92899999999997</v>
      </c>
      <c r="G39" s="41">
        <f>SUM(PGL_Supplies!Y12:AD12)/1000</f>
        <v>308.92899999999997</v>
      </c>
      <c r="H39" s="14"/>
      <c r="I39" s="15"/>
    </row>
    <row r="40" spans="1:9" ht="15">
      <c r="A40" s="42" t="s">
        <v>286</v>
      </c>
      <c r="B40" s="41">
        <f>(PGL_Supplies!M7+PGL_Supplies!N7+PGL_Supplies!O7+PGL_Supplies!P7+PGL_Supplies!Q7)/1000</f>
        <v>0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14"/>
      <c r="I40" s="15"/>
    </row>
    <row r="41" spans="1:9" ht="15">
      <c r="A41" s="45" t="s">
        <v>287</v>
      </c>
      <c r="B41" s="41">
        <f>SUM(PGL_Requirements!Q7:T7)/1000</f>
        <v>0.62</v>
      </c>
      <c r="C41" s="41">
        <f>SUM(PGL_Requirements!Q7:T7)/1000</f>
        <v>0.62</v>
      </c>
      <c r="D41" s="41">
        <f>SUM(PGL_Requirements!Q7:T7)/1000</f>
        <v>0.62</v>
      </c>
      <c r="E41" s="41">
        <f>SUM(PGL_Requirements!Q7:T7)/1000</f>
        <v>0.62</v>
      </c>
      <c r="F41" s="41">
        <f>SUM(PGL_Requirements!Q7:T7)/1000</f>
        <v>0.62</v>
      </c>
      <c r="G41" s="41">
        <f>SUM(PGL_Requirements!Q7:T7)/1000</f>
        <v>0.62</v>
      </c>
      <c r="H41" s="14"/>
      <c r="I41" s="15"/>
    </row>
    <row r="42" spans="1:9" ht="15">
      <c r="A42" s="15" t="s">
        <v>126</v>
      </c>
      <c r="B42" s="41">
        <f>PGL_Supplies!U7/1000</f>
        <v>152.06</v>
      </c>
      <c r="C42" s="41">
        <f>PGL_Supplies!U8/1000</f>
        <v>142.40299999999999</v>
      </c>
      <c r="D42" s="41">
        <f>PGL_Supplies!U9/1000</f>
        <v>142.40299999999999</v>
      </c>
      <c r="E42" s="41">
        <f>PGL_Supplies!U10/1000</f>
        <v>142.40299999999999</v>
      </c>
      <c r="F42" s="41">
        <f>PGL_Supplies!U11/1000</f>
        <v>142.40299999999999</v>
      </c>
      <c r="G42" s="41">
        <f>PGL_Supplies!U12/1000</f>
        <v>142.40299999999999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80</v>
      </c>
      <c r="B44" s="89">
        <f t="shared" ref="B44:G44" si="0">B36</f>
        <v>37158</v>
      </c>
      <c r="C44" s="89">
        <f t="shared" si="0"/>
        <v>37159</v>
      </c>
      <c r="D44" s="89">
        <f t="shared" si="0"/>
        <v>37160</v>
      </c>
      <c r="E44" s="89">
        <f t="shared" si="0"/>
        <v>37161</v>
      </c>
      <c r="F44" s="89">
        <f t="shared" si="0"/>
        <v>37162</v>
      </c>
      <c r="G44" s="89">
        <f t="shared" si="0"/>
        <v>37163</v>
      </c>
      <c r="H44" s="14"/>
      <c r="I44" s="15"/>
    </row>
    <row r="45" spans="1:9" ht="15">
      <c r="A45" s="15" t="s">
        <v>54</v>
      </c>
      <c r="B45" s="41">
        <f ca="1">NSG_6_Day_Report!D6</f>
        <v>56</v>
      </c>
      <c r="C45" s="41">
        <f ca="1">NSG_6_Day_Report!E6</f>
        <v>60</v>
      </c>
      <c r="D45" s="41">
        <f ca="1">NSG_6_Day_Report!F6</f>
        <v>56</v>
      </c>
      <c r="E45" s="41">
        <f ca="1">NSG_6_Day_Report!G6</f>
        <v>53</v>
      </c>
      <c r="F45" s="41">
        <f ca="1">NSG_6_Day_Report!H6</f>
        <v>49</v>
      </c>
      <c r="G45" s="41">
        <f ca="1">NSG_6_Day_Report!I6</f>
        <v>46</v>
      </c>
      <c r="H45" s="14"/>
      <c r="I45" s="15"/>
    </row>
    <row r="46" spans="1:9" ht="15">
      <c r="A46" s="42" t="s">
        <v>285</v>
      </c>
      <c r="B46" s="41">
        <f ca="1">NSG_6_Day_Report!D11</f>
        <v>56</v>
      </c>
      <c r="C46" s="41">
        <f ca="1">NSG_6_Day_Report!E11</f>
        <v>60</v>
      </c>
      <c r="D46" s="41">
        <f ca="1">NSG_6_Day_Report!F11</f>
        <v>56</v>
      </c>
      <c r="E46" s="41">
        <f ca="1">NSG_6_Day_Report!G11</f>
        <v>53</v>
      </c>
      <c r="F46" s="41">
        <f ca="1">NSG_6_Day_Report!H11</f>
        <v>49</v>
      </c>
      <c r="G46" s="41">
        <f ca="1">NSG_6_Day_Report!I11</f>
        <v>46</v>
      </c>
      <c r="H46" s="14"/>
      <c r="I46" s="15"/>
    </row>
    <row r="47" spans="1:9" ht="15">
      <c r="A47" s="42" t="s">
        <v>103</v>
      </c>
      <c r="B47" s="41">
        <f>SUM(NSG_Supplies!O7:Q7)/1000</f>
        <v>47.503999999999998</v>
      </c>
      <c r="C47" s="41">
        <f>SUM(NSG_Supplies!O8:Q8)/1000</f>
        <v>47.503999999999998</v>
      </c>
      <c r="D47" s="41">
        <f>SUM(NSG_Supplies!O9:Q9)/1000</f>
        <v>47.503999999999998</v>
      </c>
      <c r="E47" s="41">
        <f>SUM(NSG_Supplies!O10:Q10)/1000</f>
        <v>47.503999999999998</v>
      </c>
      <c r="F47" s="41">
        <f>SUM(NSG_Supplies!O11:Q11)/1000</f>
        <v>47.503999999999998</v>
      </c>
      <c r="G47" s="41">
        <f>SUM(NSG_Supplies!O12:Q12)/1000</f>
        <v>47.503999999999998</v>
      </c>
      <c r="H47" s="14"/>
      <c r="I47" s="15"/>
    </row>
    <row r="48" spans="1:9" ht="15">
      <c r="A48" s="42" t="s">
        <v>286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287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126</v>
      </c>
      <c r="B50" s="41">
        <f>NSG_Supplies!R7/1000</f>
        <v>17.646999999999998</v>
      </c>
      <c r="C50" s="41">
        <f>NSG_Supplies!R8/1000</f>
        <v>17.646999999999998</v>
      </c>
      <c r="D50" s="41">
        <f>NSG_Supplies!R9/1000</f>
        <v>17.646999999999998</v>
      </c>
      <c r="E50" s="41">
        <f>NSG_Supplies!R10/1000</f>
        <v>17.646999999999998</v>
      </c>
      <c r="F50" s="41">
        <f>NSG_Supplies!R11/1000</f>
        <v>17.646999999999998</v>
      </c>
      <c r="G50" s="41">
        <f>NSG_Supplies!R12/1000</f>
        <v>17.646999999999998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288</v>
      </c>
      <c r="B52" s="89">
        <f t="shared" ref="B52:G52" si="1">B36</f>
        <v>37158</v>
      </c>
      <c r="C52" s="89">
        <f t="shared" si="1"/>
        <v>37159</v>
      </c>
      <c r="D52" s="89">
        <f t="shared" si="1"/>
        <v>37160</v>
      </c>
      <c r="E52" s="89">
        <f t="shared" si="1"/>
        <v>37161</v>
      </c>
      <c r="F52" s="89">
        <f t="shared" si="1"/>
        <v>37162</v>
      </c>
      <c r="G52" s="89">
        <f t="shared" si="1"/>
        <v>37163</v>
      </c>
      <c r="H52" s="14"/>
      <c r="I52" s="15"/>
    </row>
    <row r="53" spans="1:9" ht="15">
      <c r="A53" s="92" t="s">
        <v>289</v>
      </c>
      <c r="B53" s="41">
        <f>PGL_Requirements!O7/1000</f>
        <v>110</v>
      </c>
      <c r="C53" s="41">
        <f>PGL_Requirements!O8/1000</f>
        <v>110</v>
      </c>
      <c r="D53" s="41">
        <f>PGL_Requirements!O9/1000</f>
        <v>110</v>
      </c>
      <c r="E53" s="41">
        <f>PGL_Requirements!O10/1000</f>
        <v>110</v>
      </c>
      <c r="F53" s="41">
        <f>PGL_Requirements!O11/1000</f>
        <v>110</v>
      </c>
      <c r="G53" s="41">
        <f>PGL_Requirements!O12/1000</f>
        <v>110</v>
      </c>
      <c r="H53" s="14"/>
      <c r="I53" s="15"/>
    </row>
    <row r="54" spans="1:9" ht="15">
      <c r="A54" s="15" t="s">
        <v>290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3" t="s">
        <v>648</v>
      </c>
    </row>
    <row r="57" spans="1:9">
      <c r="A57" s="155" t="s">
        <v>291</v>
      </c>
    </row>
    <row r="58" spans="1:9">
      <c r="A58" s="155" t="s">
        <v>292</v>
      </c>
      <c r="G58" s="156"/>
    </row>
    <row r="59" spans="1:9">
      <c r="A59" s="155" t="s">
        <v>293</v>
      </c>
    </row>
    <row r="60" spans="1:9">
      <c r="A60" s="155" t="s">
        <v>294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43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26"/>
    </row>
    <row r="3" spans="1:8" ht="15.75" thickBot="1">
      <c r="A3" s="96" t="s">
        <v>295</v>
      </c>
    </row>
    <row r="4" spans="1:8">
      <c r="A4" s="97"/>
      <c r="B4" s="1027" t="str">
        <f>Six_Day_Summary!A10</f>
        <v>Tuesday</v>
      </c>
      <c r="C4" s="1028" t="str">
        <f>Six_Day_Summary!A15</f>
        <v>Wednesday</v>
      </c>
      <c r="D4" s="1028" t="str">
        <f>Six_Day_Summary!A20</f>
        <v>Thursday</v>
      </c>
      <c r="E4" s="1028" t="str">
        <f>Six_Day_Summary!A25</f>
        <v>Friday</v>
      </c>
      <c r="F4" s="1029" t="str">
        <f>Six_Day_Summary!A30</f>
        <v>Saturday</v>
      </c>
      <c r="G4" s="98"/>
    </row>
    <row r="5" spans="1:8">
      <c r="A5" s="101" t="s">
        <v>296</v>
      </c>
      <c r="B5" s="1030">
        <f>Weather_Input!A6</f>
        <v>37159</v>
      </c>
      <c r="C5" s="1031">
        <f>Weather_Input!A7</f>
        <v>37160</v>
      </c>
      <c r="D5" s="1031">
        <f>Weather_Input!A8</f>
        <v>37161</v>
      </c>
      <c r="E5" s="1031">
        <f>Weather_Input!A9</f>
        <v>37162</v>
      </c>
      <c r="F5" s="1032">
        <f>Weather_Input!A10</f>
        <v>37163</v>
      </c>
      <c r="G5" s="98"/>
    </row>
    <row r="6" spans="1:8">
      <c r="A6" s="98" t="s">
        <v>297</v>
      </c>
      <c r="B6" s="1033">
        <f>PGL_Supplies!AB8/1000+PGL_Supplies!K8/1000-PGL_Requirements!N8/1000-PGL_Requirements!S8/1000+B8</f>
        <v>17.03</v>
      </c>
      <c r="C6" s="1033">
        <f>PGL_Supplies!AB9/1000+PGL_Supplies!K9/1000-PGL_Requirements!N9/1000+C15-PGL_Requirements!S9/1000</f>
        <v>17.03</v>
      </c>
      <c r="D6" s="1033">
        <f>PGL_Supplies!AB10/1000+PGL_Supplies!K10/1000-PGL_Requirements!N10/1000+D15-PGL_Requirements!S10/1000</f>
        <v>17.03</v>
      </c>
      <c r="E6" s="1033">
        <f>PGL_Supplies!AB11/1000+PGL_Supplies!K11/1000-PGL_Requirements!N11/1000+E15-PGL_Requirements!S11/1000</f>
        <v>17.03</v>
      </c>
      <c r="F6" s="1034">
        <f>PGL_Supplies!AB12/1000+PGL_Supplies!K12/1000-PGL_Requirements!N12/1000+F15-PGL_Requirements!S12/1000</f>
        <v>17.03</v>
      </c>
      <c r="G6" s="98"/>
      <c r="H6" t="s">
        <v>9</v>
      </c>
    </row>
    <row r="7" spans="1:8">
      <c r="A7" s="98" t="s">
        <v>298</v>
      </c>
      <c r="B7" s="1033">
        <f>PGL_Supplies!M8/1000</f>
        <v>0</v>
      </c>
      <c r="C7" s="1033">
        <f>PGL_Supplies!M9/1000</f>
        <v>0</v>
      </c>
      <c r="D7" s="1033">
        <f>PGL_Supplies!M10/1000</f>
        <v>0</v>
      </c>
      <c r="E7" s="1033">
        <f>PGL_Supplies!M11/1000</f>
        <v>0</v>
      </c>
      <c r="F7" s="1035">
        <f>PGL_Supplies!M12/1000</f>
        <v>0</v>
      </c>
      <c r="G7" s="98"/>
    </row>
    <row r="8" spans="1:8">
      <c r="A8" s="98" t="s">
        <v>299</v>
      </c>
      <c r="B8" s="1033">
        <v>0</v>
      </c>
      <c r="C8" s="1033">
        <v>0</v>
      </c>
      <c r="D8" s="1033">
        <v>0</v>
      </c>
      <c r="E8" s="1033">
        <v>0</v>
      </c>
      <c r="F8" s="1035">
        <v>0</v>
      </c>
      <c r="G8" s="98"/>
    </row>
    <row r="9" spans="1:8">
      <c r="A9" s="98" t="s">
        <v>300</v>
      </c>
      <c r="B9" s="1033">
        <v>0</v>
      </c>
      <c r="C9" s="1033">
        <v>0</v>
      </c>
      <c r="D9" s="1033">
        <v>0</v>
      </c>
      <c r="E9" s="1033">
        <v>0</v>
      </c>
      <c r="F9" s="1035">
        <v>0</v>
      </c>
      <c r="G9" s="98"/>
    </row>
    <row r="10" spans="1:8">
      <c r="A10" s="99"/>
      <c r="B10" s="1036"/>
      <c r="C10" s="1036"/>
      <c r="D10" s="1036"/>
      <c r="E10" s="1036"/>
      <c r="F10" s="1037"/>
      <c r="G10" s="98"/>
    </row>
    <row r="11" spans="1:8">
      <c r="A11" s="98" t="s">
        <v>301</v>
      </c>
      <c r="B11" s="1033">
        <v>0</v>
      </c>
      <c r="C11" s="1033">
        <v>0</v>
      </c>
      <c r="D11" s="1033">
        <v>0</v>
      </c>
      <c r="E11" s="1033">
        <v>0</v>
      </c>
      <c r="F11" s="1035">
        <v>0</v>
      </c>
      <c r="G11" s="98"/>
      <c r="H11" s="119" t="s">
        <v>9</v>
      </c>
    </row>
    <row r="12" spans="1:8">
      <c r="A12" s="98" t="s">
        <v>302</v>
      </c>
      <c r="B12" s="1033">
        <f>PGL_Requirements!R8/1000</f>
        <v>0</v>
      </c>
      <c r="C12" s="1033">
        <f>PGL_Requirements!R9/1000</f>
        <v>0</v>
      </c>
      <c r="D12" s="1033">
        <f>PGL_Requirements!R10/1000</f>
        <v>0</v>
      </c>
      <c r="E12" s="1033">
        <f>PGL_Requirements!R11/1000</f>
        <v>0</v>
      </c>
      <c r="F12" s="1035">
        <f>PGL_Requirements!R12/1000</f>
        <v>0</v>
      </c>
      <c r="G12" s="98"/>
    </row>
    <row r="13" spans="1:8">
      <c r="A13" s="98" t="s">
        <v>303</v>
      </c>
      <c r="B13" s="1033">
        <v>0</v>
      </c>
      <c r="C13" s="1033">
        <v>0</v>
      </c>
      <c r="D13" s="1033">
        <v>0</v>
      </c>
      <c r="E13" s="1033">
        <v>0</v>
      </c>
      <c r="F13" s="1035">
        <v>0</v>
      </c>
      <c r="G13" s="98"/>
    </row>
    <row r="14" spans="1:8">
      <c r="A14" s="98" t="s">
        <v>174</v>
      </c>
      <c r="B14" s="1033">
        <v>0</v>
      </c>
      <c r="C14" s="1039"/>
      <c r="D14" s="1039"/>
      <c r="E14" s="1039"/>
      <c r="F14" s="1035"/>
      <c r="G14" s="98"/>
    </row>
    <row r="15" spans="1:8">
      <c r="A15" s="98" t="s">
        <v>634</v>
      </c>
      <c r="B15" s="1038">
        <v>0</v>
      </c>
      <c r="C15" s="1038">
        <v>0</v>
      </c>
      <c r="D15" s="1038">
        <v>0</v>
      </c>
      <c r="E15" s="1038">
        <v>0</v>
      </c>
      <c r="F15" s="1066">
        <v>0</v>
      </c>
      <c r="G15" s="119"/>
    </row>
    <row r="16" spans="1:8">
      <c r="A16" s="98" t="s">
        <v>304</v>
      </c>
      <c r="B16" s="1038">
        <v>0</v>
      </c>
      <c r="C16" s="1039"/>
      <c r="D16" s="1039"/>
      <c r="E16" s="1039"/>
      <c r="F16" s="1035"/>
      <c r="G16" s="98"/>
    </row>
    <row r="17" spans="1:7" ht="15.75" thickBot="1">
      <c r="A17" s="100" t="s">
        <v>685</v>
      </c>
      <c r="B17" s="1040">
        <v>0</v>
      </c>
      <c r="C17" s="1041"/>
      <c r="D17" s="1041"/>
      <c r="E17" s="1041"/>
      <c r="F17" s="1042"/>
      <c r="G17" s="98"/>
    </row>
    <row r="20" spans="1:7" ht="15.75" thickBot="1">
      <c r="A20" s="104" t="s">
        <v>305</v>
      </c>
      <c r="B20" s="103"/>
      <c r="C20" s="103"/>
      <c r="D20" s="103"/>
      <c r="E20" s="103"/>
      <c r="F20" s="103"/>
    </row>
    <row r="21" spans="1:7">
      <c r="A21" s="97"/>
      <c r="B21" s="1043" t="str">
        <f t="shared" ref="B21:F22" si="0">B4</f>
        <v>Tuesday</v>
      </c>
      <c r="C21" s="1043" t="str">
        <f t="shared" si="0"/>
        <v>Wednesday</v>
      </c>
      <c r="D21" s="1043" t="str">
        <f t="shared" si="0"/>
        <v>Thursday</v>
      </c>
      <c r="E21" s="1043" t="str">
        <f t="shared" si="0"/>
        <v>Friday</v>
      </c>
      <c r="F21" s="1044" t="str">
        <f t="shared" si="0"/>
        <v>Saturday</v>
      </c>
      <c r="G21" s="98"/>
    </row>
    <row r="22" spans="1:7">
      <c r="A22" s="105" t="s">
        <v>296</v>
      </c>
      <c r="B22" s="1045">
        <f t="shared" si="0"/>
        <v>37159</v>
      </c>
      <c r="C22" s="1045">
        <f t="shared" si="0"/>
        <v>37160</v>
      </c>
      <c r="D22" s="1045">
        <f t="shared" si="0"/>
        <v>37161</v>
      </c>
      <c r="E22" s="1045">
        <f t="shared" si="0"/>
        <v>37162</v>
      </c>
      <c r="F22" s="1046">
        <f t="shared" si="0"/>
        <v>37163</v>
      </c>
      <c r="G22" s="98"/>
    </row>
    <row r="23" spans="1:7">
      <c r="A23" s="98" t="s">
        <v>297</v>
      </c>
      <c r="B23" s="1039">
        <f>NSG_Supplies!Q8/1000+NSG_Supplies!F8/1000-NSG_Requirements!H8/1000</f>
        <v>27.504000000000001</v>
      </c>
      <c r="C23" s="1039">
        <f>NSG_Supplies!Q9/1000+NSG_Supplies!F9/1000-NSG_Requirements!H9/1000</f>
        <v>27.504000000000001</v>
      </c>
      <c r="D23" s="1039">
        <f>NSG_Supplies!Q10/1000+NSG_Supplies!F10/1000-NSG_Requirements!H10/1000</f>
        <v>27.504000000000001</v>
      </c>
      <c r="E23" s="1039">
        <f>NSG_Supplies!Q12/1000+NSG_Supplies!F11/1000-NSG_Requirements!H11/1000</f>
        <v>27.504000000000001</v>
      </c>
      <c r="F23" s="1034">
        <f>NSG_Supplies!Q12/1000+NSG_Supplies!F12/1000-NSG_Requirements!H12/1000</f>
        <v>27.504000000000001</v>
      </c>
      <c r="G23" s="98"/>
    </row>
    <row r="24" spans="1:7">
      <c r="A24" s="98" t="s">
        <v>306</v>
      </c>
      <c r="B24" s="1039">
        <f>NSG_Supplies!G8/1000</f>
        <v>0</v>
      </c>
      <c r="C24" s="1039">
        <f>NSG_Supplies!G9/1000</f>
        <v>0</v>
      </c>
      <c r="D24" s="1039">
        <f>NSG_Supplies!G10/1000</f>
        <v>0</v>
      </c>
      <c r="E24" s="1039">
        <f>NSG_Supplies!G11/1000</f>
        <v>0</v>
      </c>
      <c r="F24" s="1035">
        <f>NSG_Supplies!G12/1000</f>
        <v>0</v>
      </c>
      <c r="G24" s="98"/>
    </row>
    <row r="25" spans="1:7">
      <c r="A25" s="98" t="s">
        <v>298</v>
      </c>
      <c r="B25" s="1039">
        <f>NSG_Supplies!H8/1000</f>
        <v>0</v>
      </c>
      <c r="C25" s="1039">
        <f>NSG_Supplies!H9/1000</f>
        <v>0</v>
      </c>
      <c r="D25" s="1039">
        <f>NSG_Supplies!H10/1000</f>
        <v>0</v>
      </c>
      <c r="E25" s="1039">
        <f>NSG_Supplies!H11/1000</f>
        <v>0</v>
      </c>
      <c r="F25" s="1035">
        <f>NSG_Supplies!H12/1000</f>
        <v>0</v>
      </c>
      <c r="G25" s="98"/>
    </row>
    <row r="26" spans="1:7">
      <c r="A26" s="102" t="s">
        <v>299</v>
      </c>
      <c r="B26" s="1039">
        <f>NSG_Supplies!I8/1000</f>
        <v>0</v>
      </c>
      <c r="C26" s="1039">
        <f>NSG_Supplies!I9/1000</f>
        <v>0</v>
      </c>
      <c r="D26" s="1039">
        <f>NSG_Supplies!I10/1000</f>
        <v>0</v>
      </c>
      <c r="E26" s="1039">
        <f>NSG_Supplies!I11/1000</f>
        <v>0</v>
      </c>
      <c r="F26" s="1035">
        <f>NSG_Supplies!I12/1000</f>
        <v>0</v>
      </c>
      <c r="G26" s="98"/>
    </row>
    <row r="27" spans="1:7">
      <c r="A27" s="98" t="s">
        <v>300</v>
      </c>
      <c r="B27" s="1039">
        <f>NSG_Supplies!J8/1000</f>
        <v>0</v>
      </c>
      <c r="C27" s="1039">
        <f>NSG_Supplies!J9/1000</f>
        <v>0</v>
      </c>
      <c r="D27" s="1039">
        <f>NSG_Supplies!J10/1000</f>
        <v>0</v>
      </c>
      <c r="E27" s="1039">
        <f>NSG_Supplies!J11/1000</f>
        <v>0</v>
      </c>
      <c r="F27" s="1035">
        <f>NSG_Supplies!J12/1000</f>
        <v>0</v>
      </c>
      <c r="G27" s="98"/>
    </row>
    <row r="28" spans="1:7">
      <c r="A28" s="98" t="s">
        <v>307</v>
      </c>
      <c r="B28" s="1039" t="s">
        <v>9</v>
      </c>
      <c r="C28" s="1039"/>
      <c r="D28" s="1039"/>
      <c r="E28" s="1039"/>
      <c r="F28" s="1035"/>
      <c r="G28" s="98"/>
    </row>
    <row r="29" spans="1:7">
      <c r="A29" s="99"/>
      <c r="B29" s="1036"/>
      <c r="C29" s="1036"/>
      <c r="D29" s="1036"/>
      <c r="E29" s="1036"/>
      <c r="F29" s="1037"/>
      <c r="G29" s="98"/>
    </row>
    <row r="30" spans="1:7">
      <c r="A30" s="98" t="s">
        <v>301</v>
      </c>
      <c r="B30" s="1039">
        <f>NSG_Requirements!P8/1000</f>
        <v>0</v>
      </c>
      <c r="C30" s="1039">
        <f>NSG_Requirements!P9/1000</f>
        <v>0</v>
      </c>
      <c r="D30" s="1039">
        <f>NSG_Requirements!P10/1000</f>
        <v>0</v>
      </c>
      <c r="E30" s="1039">
        <f>NSG_Requirements!P11/1000</f>
        <v>0</v>
      </c>
      <c r="F30" s="1035">
        <f>NSG_Supplies!J12/1000</f>
        <v>0</v>
      </c>
      <c r="G30" s="98"/>
    </row>
    <row r="31" spans="1:7">
      <c r="A31" s="98" t="s">
        <v>302</v>
      </c>
      <c r="B31" s="1039">
        <f>NSG_Requirements!R8/1000</f>
        <v>0</v>
      </c>
      <c r="C31" s="1039">
        <f>NSG_Requirements!R9/1000</f>
        <v>0</v>
      </c>
      <c r="D31" s="1039">
        <f>NSG_Requirements!R10/1000</f>
        <v>0</v>
      </c>
      <c r="E31" s="1039">
        <f>NSG_Requirements!R11/1000</f>
        <v>0</v>
      </c>
      <c r="F31" s="1035">
        <f>NSG_Supplies!L12/1000</f>
        <v>0</v>
      </c>
      <c r="G31" s="98"/>
    </row>
    <row r="32" spans="1:7">
      <c r="A32" s="98" t="s">
        <v>303</v>
      </c>
      <c r="B32" s="1039">
        <f>NSG_Requirements!Q8/1000</f>
        <v>0</v>
      </c>
      <c r="C32" s="1039">
        <f>NSG_Requirements!Q9/1000</f>
        <v>0</v>
      </c>
      <c r="D32" s="1039">
        <f>NSG_Requirements!Q10/1000</f>
        <v>0</v>
      </c>
      <c r="E32" s="1039">
        <f>NSG_Requirements!Q11/1000</f>
        <v>0</v>
      </c>
      <c r="F32" s="1035">
        <f>NSG_Requirements!Q12/1000</f>
        <v>0</v>
      </c>
      <c r="G32" s="98"/>
    </row>
    <row r="33" spans="1:7" ht="15.75" thickBot="1">
      <c r="A33" s="100" t="s">
        <v>308</v>
      </c>
      <c r="B33" s="1041">
        <f>NSG_Requirements!L8/1000</f>
        <v>0</v>
      </c>
      <c r="C33" s="1041">
        <f>NSG_Requirements!L9/1000</f>
        <v>0</v>
      </c>
      <c r="D33" s="1041">
        <f>NSG_Requirements!L10/1000</f>
        <v>0</v>
      </c>
      <c r="E33" s="1041">
        <f>NSG_Requirements!L11/1000</f>
        <v>0</v>
      </c>
      <c r="F33" s="1042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38" t="s">
        <v>9</v>
      </c>
      <c r="B1" s="1227" t="s">
        <v>763</v>
      </c>
      <c r="C1" s="1228">
        <f>Weather_Input!A6</f>
        <v>37159</v>
      </c>
      <c r="D1" s="1229" t="s">
        <v>764</v>
      </c>
      <c r="E1" s="1230"/>
      <c r="F1" s="1231"/>
      <c r="G1" s="421"/>
      <c r="H1" s="421"/>
      <c r="I1" s="984" t="s">
        <v>9</v>
      </c>
    </row>
    <row r="2" spans="1:11" ht="15.75" customHeight="1" thickBot="1">
      <c r="A2" s="424"/>
      <c r="B2" s="1232" t="s">
        <v>765</v>
      </c>
      <c r="E2" s="158"/>
      <c r="I2" s="158"/>
    </row>
    <row r="3" spans="1:11" ht="15.75" customHeight="1" thickTop="1">
      <c r="B3" s="169" t="s">
        <v>103</v>
      </c>
      <c r="C3" s="1233">
        <f>NSG_Supplies!P8/1000</f>
        <v>20</v>
      </c>
      <c r="E3" s="158"/>
      <c r="F3" s="1234" t="s">
        <v>154</v>
      </c>
      <c r="G3" s="764"/>
      <c r="H3" s="1235" t="s">
        <v>766</v>
      </c>
      <c r="I3" s="1236" t="s">
        <v>767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4">
        <f>NSG_Supplies!E8/1000</f>
        <v>0</v>
      </c>
      <c r="D4" s="132">
        <f>NSG_Requirements!J8/1000</f>
        <v>0</v>
      </c>
      <c r="E4" s="1237"/>
      <c r="F4" s="169" t="s">
        <v>768</v>
      </c>
      <c r="G4" s="60"/>
      <c r="H4" s="151">
        <f>PGL_Requirements!O8/1000</f>
        <v>110</v>
      </c>
      <c r="I4" s="173">
        <f>AVERAGE(H4/1.025)</f>
        <v>107.31707317073172</v>
      </c>
      <c r="J4" t="s">
        <v>9</v>
      </c>
    </row>
    <row r="5" spans="1:11" ht="15.75" customHeight="1" thickTop="1" thickBot="1">
      <c r="B5" s="1238" t="s">
        <v>769</v>
      </c>
      <c r="C5" s="1239">
        <f>C3+C4-D4</f>
        <v>20</v>
      </c>
      <c r="D5" s="427"/>
      <c r="E5" s="1240">
        <f>AVERAGE(C5/24)</f>
        <v>0.83333333333333337</v>
      </c>
      <c r="F5" s="167" t="s">
        <v>416</v>
      </c>
      <c r="G5" s="205">
        <f>PGL_Supplies!L8/1000</f>
        <v>0</v>
      </c>
      <c r="H5" s="165"/>
      <c r="I5" s="1241">
        <f>AVERAGE(G5/1.025)</f>
        <v>0</v>
      </c>
      <c r="K5" t="s">
        <v>9</v>
      </c>
    </row>
    <row r="6" spans="1:11" ht="15.75" customHeight="1" thickTop="1" thickBot="1">
      <c r="B6" s="1242" t="s">
        <v>770</v>
      </c>
      <c r="C6" s="1243"/>
      <c r="D6" s="119"/>
      <c r="E6" s="1244"/>
      <c r="F6" t="s">
        <v>771</v>
      </c>
      <c r="G6" s="1243">
        <f>AVERAGE(H4/24)</f>
        <v>4.583333333333333</v>
      </c>
      <c r="H6" s="421"/>
      <c r="I6" s="984"/>
    </row>
    <row r="7" spans="1:11" ht="15.75" customHeight="1">
      <c r="B7" s="169" t="s">
        <v>772</v>
      </c>
      <c r="C7" s="151">
        <f>NSG_Supplies!K8/1000</f>
        <v>0</v>
      </c>
      <c r="D7" s="60"/>
      <c r="E7" s="1245"/>
      <c r="F7" s="1232" t="s">
        <v>773</v>
      </c>
      <c r="G7" s="1246"/>
      <c r="H7" s="60"/>
      <c r="I7" s="158"/>
    </row>
    <row r="8" spans="1:11" ht="15.75" customHeight="1">
      <c r="B8" s="169" t="s">
        <v>491</v>
      </c>
      <c r="C8" s="151">
        <f>PGL_Requirements!V8/1000</f>
        <v>0</v>
      </c>
      <c r="D8" s="60"/>
      <c r="E8" s="1245"/>
      <c r="F8" s="169" t="s">
        <v>774</v>
      </c>
      <c r="G8" s="151">
        <f>PGL_Supplies!S8/1000</f>
        <v>0</v>
      </c>
      <c r="H8" s="60"/>
      <c r="I8" s="158"/>
    </row>
    <row r="9" spans="1:11" ht="15.75" customHeight="1" thickBot="1">
      <c r="B9" s="169" t="s">
        <v>775</v>
      </c>
      <c r="C9" s="151">
        <f>NSG_Requirements!B8/1000</f>
        <v>0</v>
      </c>
      <c r="D9" s="60"/>
      <c r="E9" s="1245"/>
      <c r="F9" s="1" t="s">
        <v>776</v>
      </c>
      <c r="G9" s="151">
        <f>PGL_Supplies!T8/1000</f>
        <v>0</v>
      </c>
      <c r="I9" s="158"/>
    </row>
    <row r="10" spans="1:11" ht="15.75" customHeight="1" thickTop="1" thickBot="1">
      <c r="B10" s="1238" t="s">
        <v>777</v>
      </c>
      <c r="C10" s="1239">
        <f>C7+C8-C9</f>
        <v>0</v>
      </c>
      <c r="D10" s="427"/>
      <c r="E10" s="1240">
        <f>AVERAGE(C10/24)</f>
        <v>0</v>
      </c>
      <c r="F10" s="169" t="s">
        <v>413</v>
      </c>
      <c r="G10" s="151">
        <f>PGL_Supplies!AA8/1000</f>
        <v>235.464</v>
      </c>
      <c r="H10" s="151" t="s">
        <v>9</v>
      </c>
      <c r="I10" s="158"/>
    </row>
    <row r="11" spans="1:11" ht="15.75" customHeight="1" thickTop="1">
      <c r="A11" t="s">
        <v>9</v>
      </c>
      <c r="B11" s="1247" t="s">
        <v>661</v>
      </c>
      <c r="C11" s="151">
        <f>PGL_Supplies!X8/1000</f>
        <v>92.525000000000006</v>
      </c>
      <c r="D11" s="764"/>
      <c r="E11" s="1248"/>
      <c r="F11" s="1249" t="s">
        <v>778</v>
      </c>
      <c r="G11" s="1250">
        <f>G8+G10</f>
        <v>235.464</v>
      </c>
      <c r="H11" s="425"/>
      <c r="I11" s="426"/>
    </row>
    <row r="12" spans="1:11" ht="15.75" customHeight="1">
      <c r="B12" s="240" t="s">
        <v>779</v>
      </c>
      <c r="C12" s="151">
        <v>0</v>
      </c>
      <c r="D12" s="119"/>
      <c r="E12" s="158"/>
      <c r="F12" s="170" t="s">
        <v>780</v>
      </c>
      <c r="G12" s="151">
        <f>PGL_Supplies!D8/1000</f>
        <v>0</v>
      </c>
      <c r="H12" s="60"/>
      <c r="I12" s="1245"/>
    </row>
    <row r="13" spans="1:11" ht="15.75" customHeight="1" thickBot="1">
      <c r="B13" s="240" t="s">
        <v>662</v>
      </c>
      <c r="C13" s="119"/>
      <c r="D13" s="151">
        <f>PGL_Requirements!I8/1000</f>
        <v>0</v>
      </c>
      <c r="E13" s="158"/>
      <c r="F13" s="170" t="s">
        <v>781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1" t="s">
        <v>782</v>
      </c>
      <c r="C14" s="1239">
        <f>C11-D13-C12</f>
        <v>92.525000000000006</v>
      </c>
      <c r="D14" s="427"/>
      <c r="E14" s="1240">
        <f>AVERAGE(C14/24)</f>
        <v>3.8552083333333336</v>
      </c>
      <c r="F14" s="1252" t="s">
        <v>783</v>
      </c>
      <c r="G14" s="1239">
        <v>0</v>
      </c>
      <c r="H14" s="427"/>
      <c r="I14" s="1240">
        <f>AVERAGE(G14/24)</f>
        <v>0</v>
      </c>
    </row>
    <row r="15" spans="1:11" ht="15.75" customHeight="1" thickTop="1" thickBot="1">
      <c r="B15" s="169" t="s">
        <v>784</v>
      </c>
      <c r="C15" s="151">
        <f>PGL_Supplies!Y8/1000</f>
        <v>25.425000000000001</v>
      </c>
      <c r="D15" s="60"/>
      <c r="E15" s="158"/>
      <c r="F15" s="1252" t="s">
        <v>785</v>
      </c>
      <c r="G15" s="1250">
        <f>SUM(G11)-G16-G17-H13</f>
        <v>235.464</v>
      </c>
      <c r="H15" s="427" t="s">
        <v>9</v>
      </c>
      <c r="I15" s="1240">
        <f>AVERAGE(G15/24)</f>
        <v>9.8109999999999999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0</v>
      </c>
      <c r="E16" s="158"/>
      <c r="F16" s="1252" t="s">
        <v>786</v>
      </c>
      <c r="G16" s="1239">
        <f>PGL_Requirements!G8/1000</f>
        <v>0</v>
      </c>
      <c r="H16" s="1239" t="s">
        <v>9</v>
      </c>
      <c r="I16" s="1240">
        <f>AVERAGE(G16/24)</f>
        <v>0</v>
      </c>
    </row>
    <row r="17" spans="1:9" ht="15.75" customHeight="1" thickTop="1" thickBot="1">
      <c r="B17" s="1249" t="s">
        <v>778</v>
      </c>
      <c r="C17" s="1250">
        <f>SUM(C15:C16)-SUM(D15:D16)</f>
        <v>25.425000000000001</v>
      </c>
      <c r="D17" s="425"/>
      <c r="E17" s="426"/>
      <c r="F17" s="1253" t="s">
        <v>787</v>
      </c>
      <c r="G17" s="1239">
        <f>PGL_Requirements!J8/1000</f>
        <v>0</v>
      </c>
      <c r="H17" s="1254"/>
      <c r="I17" s="1255">
        <f>AVERAGE(G17/24)</f>
        <v>0</v>
      </c>
    </row>
    <row r="18" spans="1:9" ht="15.75" customHeight="1">
      <c r="B18" s="1256"/>
      <c r="C18" s="1257"/>
      <c r="D18" s="612"/>
      <c r="E18" s="1258"/>
      <c r="F18" s="1259" t="s">
        <v>788</v>
      </c>
      <c r="G18" s="60" t="s">
        <v>9</v>
      </c>
      <c r="H18" s="60"/>
      <c r="I18" s="158"/>
    </row>
    <row r="19" spans="1:9" ht="15.75" customHeight="1" thickBot="1">
      <c r="B19" s="1256"/>
      <c r="C19" s="612"/>
      <c r="D19" s="1257"/>
      <c r="E19" s="1258"/>
      <c r="F19" s="167" t="s">
        <v>789</v>
      </c>
      <c r="G19" s="165"/>
      <c r="H19" s="205">
        <v>0</v>
      </c>
      <c r="I19" s="429"/>
    </row>
    <row r="20" spans="1:9" ht="15.75" customHeight="1" thickTop="1" thickBot="1">
      <c r="B20" s="1238" t="s">
        <v>790</v>
      </c>
      <c r="C20" s="1239">
        <f>C17+C18-D19</f>
        <v>25.425000000000001</v>
      </c>
      <c r="D20" s="1260" t="s">
        <v>9</v>
      </c>
      <c r="E20" s="1240">
        <f>AVERAGE(C20/24)</f>
        <v>1.059375</v>
      </c>
      <c r="F20" s="1261" t="s">
        <v>168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791</v>
      </c>
      <c r="C21" s="151">
        <f>PGL_Supplies!Z8/1000</f>
        <v>0</v>
      </c>
      <c r="D21" s="151" t="s">
        <v>9</v>
      </c>
      <c r="E21" s="158"/>
      <c r="F21" s="169" t="s">
        <v>103</v>
      </c>
      <c r="G21" s="151">
        <f>PGL_Supplies!AC8/1000</f>
        <v>1.01</v>
      </c>
      <c r="H21" s="151" t="s">
        <v>9</v>
      </c>
      <c r="I21" s="158"/>
    </row>
    <row r="22" spans="1:9" ht="15.75" customHeight="1">
      <c r="B22" s="1249" t="s">
        <v>778</v>
      </c>
      <c r="C22" s="1250">
        <f>SUM(C21:C21)-SUM(D21)</f>
        <v>0</v>
      </c>
      <c r="D22" s="425"/>
      <c r="E22" s="426"/>
      <c r="F22" s="1249" t="s">
        <v>778</v>
      </c>
      <c r="G22" s="1250">
        <f>G21</f>
        <v>1.01</v>
      </c>
      <c r="H22" s="425"/>
      <c r="I22" s="426"/>
    </row>
    <row r="23" spans="1:9" ht="15.75" customHeight="1">
      <c r="B23" s="169" t="s">
        <v>792</v>
      </c>
      <c r="C23" s="151">
        <f>PGL_Supplies!C8/1000</f>
        <v>0</v>
      </c>
      <c r="D23" s="60"/>
      <c r="E23" s="158"/>
      <c r="F23" s="169" t="s">
        <v>793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794</v>
      </c>
      <c r="C24" s="60">
        <v>0</v>
      </c>
      <c r="D24" s="151">
        <f>PGL_Requirements!C8/1000</f>
        <v>0</v>
      </c>
      <c r="E24" s="158"/>
      <c r="F24" s="169" t="s">
        <v>795</v>
      </c>
      <c r="G24" s="60"/>
      <c r="H24" s="151">
        <f>PGL_Requirements!E8/1000</f>
        <v>1.01</v>
      </c>
      <c r="I24" s="158"/>
    </row>
    <row r="25" spans="1:9" ht="15.75" customHeight="1" thickTop="1" thickBot="1">
      <c r="B25" s="1238" t="s">
        <v>796</v>
      </c>
      <c r="C25" s="1239">
        <f>C22+C23-D24</f>
        <v>0</v>
      </c>
      <c r="D25" s="427"/>
      <c r="E25" s="1240">
        <f>AVERAGE(C25/24)</f>
        <v>0</v>
      </c>
      <c r="F25" s="534" t="s">
        <v>797</v>
      </c>
      <c r="G25" s="866">
        <f>G22+G23-H24+G20</f>
        <v>0</v>
      </c>
      <c r="H25" s="421"/>
      <c r="I25" s="1262">
        <f>AVERAGE(G25/24)</f>
        <v>0</v>
      </c>
    </row>
    <row r="26" spans="1:9" ht="15.75" customHeight="1" thickTop="1">
      <c r="B26" t="s">
        <v>798</v>
      </c>
    </row>
    <row r="27" spans="1:9" ht="15.75" customHeight="1">
      <c r="B27" t="s">
        <v>799</v>
      </c>
    </row>
    <row r="28" spans="1:9" ht="15.75" customHeight="1">
      <c r="A28" t="s">
        <v>9</v>
      </c>
      <c r="B28" s="1" t="s">
        <v>815</v>
      </c>
      <c r="C28" s="193" t="s">
        <v>816</v>
      </c>
      <c r="D28" s="193" t="s">
        <v>817</v>
      </c>
      <c r="E28" t="s">
        <v>818</v>
      </c>
      <c r="F28" s="103"/>
    </row>
    <row r="29" spans="1:9" ht="15.75" customHeight="1">
      <c r="B29" s="1" t="s">
        <v>819</v>
      </c>
      <c r="C29" s="193" t="s">
        <v>816</v>
      </c>
      <c r="D29" s="193" t="s">
        <v>817</v>
      </c>
      <c r="E29" t="s">
        <v>818</v>
      </c>
      <c r="F29" s="425"/>
    </row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574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sqref="A1:N49"/>
    </sheetView>
  </sheetViews>
  <sheetFormatPr defaultRowHeight="11.25"/>
  <cols>
    <col min="1" max="1" width="8.6640625" style="952" customWidth="1"/>
    <col min="2" max="2" width="8.109375" style="952" customWidth="1"/>
    <col min="3" max="3" width="7.88671875" style="952" customWidth="1"/>
    <col min="4" max="4" width="5.88671875" style="952" customWidth="1"/>
    <col min="5" max="5" width="4.44140625" style="952" customWidth="1"/>
    <col min="6" max="6" width="5.21875" style="952" customWidth="1"/>
    <col min="7" max="7" width="9" style="952" customWidth="1"/>
    <col min="8" max="11" width="8.88671875" style="952"/>
    <col min="12" max="12" width="14.88671875" style="952" customWidth="1"/>
    <col min="13" max="13" width="5.6640625" style="952" customWidth="1"/>
    <col min="14" max="16384" width="8.88671875" style="952"/>
  </cols>
  <sheetData>
    <row r="1" spans="1:22" ht="22.5">
      <c r="A1" s="894"/>
      <c r="B1" s="890"/>
      <c r="C1" s="901" t="s">
        <v>578</v>
      </c>
      <c r="D1" s="898"/>
      <c r="E1" s="898" t="s">
        <v>579</v>
      </c>
      <c r="F1" s="898"/>
      <c r="G1" s="950" t="s">
        <v>309</v>
      </c>
      <c r="H1" s="951">
        <f>Weather_Input!A6</f>
        <v>37159</v>
      </c>
      <c r="I1" s="887"/>
      <c r="J1" s="889"/>
      <c r="K1" s="889"/>
    </row>
    <row r="2" spans="1:22" ht="16.5" customHeight="1">
      <c r="A2" s="907" t="s">
        <v>606</v>
      </c>
      <c r="C2" s="953">
        <v>353</v>
      </c>
      <c r="F2" s="954">
        <v>356</v>
      </c>
      <c r="H2" s="889"/>
      <c r="I2" s="887" t="s">
        <v>608</v>
      </c>
      <c r="J2" s="909">
        <f>NSG_Supplies!P8/1000</f>
        <v>20</v>
      </c>
    </row>
    <row r="3" spans="1:22" ht="16.5" customHeight="1">
      <c r="A3" s="955">
        <f>PGL_Supplies!I8/1000</f>
        <v>0</v>
      </c>
      <c r="C3" s="952" t="s">
        <v>9</v>
      </c>
      <c r="G3" s="887"/>
      <c r="H3" s="889"/>
    </row>
    <row r="4" spans="1:22" ht="16.5" customHeight="1">
      <c r="A4" s="897" t="s">
        <v>580</v>
      </c>
      <c r="G4" s="915"/>
      <c r="H4" s="889"/>
      <c r="I4" s="887"/>
      <c r="J4" s="887" t="s">
        <v>604</v>
      </c>
      <c r="K4" s="909">
        <f>Billy_Sheet!C5</f>
        <v>20</v>
      </c>
      <c r="N4" s="909"/>
    </row>
    <row r="5" spans="1:22" ht="16.5" customHeight="1">
      <c r="A5" s="956">
        <f>PGL_Supplies!J7/1000</f>
        <v>0</v>
      </c>
      <c r="B5" s="957"/>
      <c r="G5" s="890"/>
      <c r="H5" s="909"/>
      <c r="U5" s="889"/>
      <c r="V5" s="889"/>
    </row>
    <row r="6" spans="1:22" ht="16.5" customHeight="1">
      <c r="A6" s="896" t="s">
        <v>576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5" customHeight="1">
      <c r="A8" s="887" t="s">
        <v>71</v>
      </c>
      <c r="G8" s="890"/>
      <c r="H8" s="887" t="s">
        <v>163</v>
      </c>
      <c r="I8" s="887"/>
      <c r="K8" s="887"/>
      <c r="L8" s="887"/>
      <c r="N8" s="887"/>
      <c r="O8" s="887"/>
      <c r="U8" s="889"/>
      <c r="V8" s="909"/>
    </row>
    <row r="9" spans="1:22" ht="14.45" customHeight="1">
      <c r="A9" s="909">
        <f>PGL_Supplies!H8/1000</f>
        <v>20</v>
      </c>
      <c r="H9" s="909">
        <f>NSG_Supplies!Q8/1000+NSG_Supplies!F8/1000-NSG_Requirements!H8/1000</f>
        <v>27.504000000000001</v>
      </c>
      <c r="I9" s="958"/>
      <c r="K9" s="887" t="s">
        <v>610</v>
      </c>
      <c r="L9" s="909">
        <f>NSG_Deliveries!C6/1000</f>
        <v>60</v>
      </c>
      <c r="N9" s="887"/>
      <c r="O9" s="909"/>
      <c r="U9" s="889"/>
      <c r="V9" s="909"/>
    </row>
    <row r="10" spans="1:22" ht="18" customHeight="1">
      <c r="A10" s="887" t="s">
        <v>65</v>
      </c>
      <c r="H10" s="916" t="s">
        <v>609</v>
      </c>
      <c r="U10" s="889"/>
      <c r="V10" s="909"/>
    </row>
    <row r="11" spans="1:22" ht="14.45" customHeight="1">
      <c r="A11" s="909">
        <f>Billy_Sheet!C17</f>
        <v>25.425000000000001</v>
      </c>
      <c r="B11" s="958"/>
      <c r="H11" s="909">
        <f>NSG_Supplies!T8/1000</f>
        <v>0</v>
      </c>
      <c r="K11" s="890" t="s">
        <v>611</v>
      </c>
      <c r="L11" s="915">
        <f>SUM(K4+K17+K19+H11+H9-L9)</f>
        <v>-12.495999999999995</v>
      </c>
      <c r="N11" s="890"/>
      <c r="O11" s="915"/>
      <c r="U11" s="889"/>
      <c r="V11" s="903"/>
    </row>
    <row r="12" spans="1:22" ht="14.45" customHeight="1">
      <c r="A12" s="887" t="s">
        <v>658</v>
      </c>
      <c r="H12" s="909"/>
      <c r="U12" s="889"/>
      <c r="V12" s="909"/>
    </row>
    <row r="13" spans="1:22" ht="14.45" customHeight="1">
      <c r="A13" s="956">
        <f>PGL_Supplies!X8/1000</f>
        <v>92.525000000000006</v>
      </c>
      <c r="H13" s="909"/>
      <c r="U13" s="889"/>
      <c r="V13" s="909"/>
    </row>
    <row r="14" spans="1:22" ht="14.45" customHeight="1">
      <c r="H14" s="909"/>
      <c r="U14" s="889"/>
      <c r="V14" s="909"/>
    </row>
    <row r="15" spans="1:22" ht="15.6" customHeight="1">
      <c r="B15" s="952" t="s">
        <v>9</v>
      </c>
      <c r="C15" s="959">
        <v>360</v>
      </c>
      <c r="D15" s="952">
        <v>410</v>
      </c>
      <c r="F15" s="959">
        <v>360</v>
      </c>
      <c r="H15" s="915"/>
      <c r="U15" s="899"/>
      <c r="V15" s="915"/>
    </row>
    <row r="16" spans="1:22" ht="42.75" customHeight="1">
      <c r="A16" s="900"/>
      <c r="B16" s="915"/>
      <c r="C16" s="960"/>
      <c r="D16" s="961"/>
      <c r="E16" s="961"/>
      <c r="F16" s="960"/>
    </row>
    <row r="17" spans="1:17" ht="38.25" customHeight="1">
      <c r="B17" s="961"/>
      <c r="C17" s="961"/>
      <c r="D17" s="962"/>
      <c r="E17" s="961"/>
      <c r="F17" s="961"/>
      <c r="G17" s="961"/>
      <c r="J17" s="887" t="s">
        <v>310</v>
      </c>
      <c r="K17" s="909">
        <f>NSG_Supplies!K8/1000</f>
        <v>0</v>
      </c>
      <c r="N17" s="909"/>
    </row>
    <row r="18" spans="1:17" ht="15" customHeight="1">
      <c r="A18" s="895"/>
      <c r="C18" s="959">
        <v>574</v>
      </c>
      <c r="D18" s="961"/>
      <c r="E18" s="961"/>
      <c r="F18" s="954">
        <v>793</v>
      </c>
    </row>
    <row r="19" spans="1:17">
      <c r="A19" s="896" t="s">
        <v>577</v>
      </c>
      <c r="C19" s="952" t="s">
        <v>9</v>
      </c>
      <c r="J19" s="887" t="s">
        <v>605</v>
      </c>
      <c r="K19" s="909"/>
      <c r="N19" s="964"/>
    </row>
    <row r="20" spans="1:17" ht="17.25" customHeight="1">
      <c r="A20" s="909">
        <f>Billy_Sheet!G15</f>
        <v>235.464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166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667</v>
      </c>
      <c r="H23" s="889"/>
      <c r="I23" s="890"/>
      <c r="J23" s="915"/>
      <c r="M23" s="887"/>
      <c r="N23" s="915"/>
      <c r="Q23" s="965"/>
    </row>
    <row r="24" spans="1:17" ht="9" customHeight="1">
      <c r="G24" s="909">
        <f>PGL_Requirements!J7/1000</f>
        <v>0</v>
      </c>
      <c r="H24" s="890"/>
      <c r="I24" s="890"/>
      <c r="J24" s="890"/>
    </row>
    <row r="25" spans="1:17" ht="10.5" customHeight="1">
      <c r="A25" s="889" t="s">
        <v>168</v>
      </c>
      <c r="B25" s="889"/>
      <c r="C25" s="889"/>
      <c r="D25" s="889"/>
      <c r="F25" s="889"/>
      <c r="G25" s="887" t="s">
        <v>613</v>
      </c>
      <c r="H25" s="890"/>
      <c r="I25" s="890"/>
      <c r="J25" s="890"/>
    </row>
    <row r="26" spans="1:17" ht="14.25" customHeight="1">
      <c r="A26" s="909">
        <f>Billy_Sheet!G25</f>
        <v>0</v>
      </c>
      <c r="B26" s="889"/>
      <c r="C26" s="890"/>
      <c r="D26" s="890"/>
      <c r="F26" s="890"/>
      <c r="G26" s="963">
        <v>0</v>
      </c>
      <c r="H26" s="890"/>
      <c r="I26" s="890"/>
      <c r="J26" s="890" t="s">
        <v>518</v>
      </c>
      <c r="K26" s="966">
        <f>PGL_Deliveries!C6/1000</f>
        <v>300</v>
      </c>
      <c r="L26" s="887" t="s">
        <v>610</v>
      </c>
      <c r="M26" s="909">
        <f>NSG_Deliveries!C6/1000</f>
        <v>60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581</v>
      </c>
      <c r="B28" s="909"/>
      <c r="C28" s="889"/>
      <c r="D28" s="890"/>
      <c r="F28" s="887"/>
      <c r="G28" s="899" t="s">
        <v>586</v>
      </c>
      <c r="H28" s="424"/>
      <c r="J28" s="890" t="s">
        <v>612</v>
      </c>
      <c r="K28" s="915">
        <f>SUM(A42)</f>
        <v>264.41399999999999</v>
      </c>
      <c r="L28" s="890" t="s">
        <v>650</v>
      </c>
      <c r="M28" s="915">
        <f>SUM(J2+K17+K19+H11+H9-M26)</f>
        <v>-12.495999999999995</v>
      </c>
      <c r="N28" s="915"/>
    </row>
    <row r="29" spans="1:17">
      <c r="A29" s="909">
        <f>PGL_Supplies!L8/1000</f>
        <v>0</v>
      </c>
      <c r="B29" s="909"/>
      <c r="C29" s="890"/>
      <c r="D29" s="967"/>
      <c r="F29" s="1006">
        <f>PGL_Requirements!A7</f>
        <v>37158</v>
      </c>
      <c r="G29" s="909">
        <f>PGL_Requirements!G7/1000</f>
        <v>0</v>
      </c>
      <c r="H29" s="888"/>
      <c r="J29" s="890" t="s">
        <v>614</v>
      </c>
      <c r="K29" s="909">
        <f>PGL_Supplies!AB8/1000+PGL_Supplies!K8/1000-PGL_Requirements!N8/1000</f>
        <v>17.03</v>
      </c>
    </row>
    <row r="30" spans="1:17" ht="10.5" customHeight="1">
      <c r="A30" s="892"/>
      <c r="B30" s="909"/>
      <c r="C30" s="890"/>
      <c r="D30" s="909"/>
      <c r="F30" s="1006">
        <f>PGL_Requirements!A8</f>
        <v>37159</v>
      </c>
      <c r="G30" s="909">
        <f>PGL_Requirements!G8/1000</f>
        <v>0</v>
      </c>
    </row>
    <row r="31" spans="1:17" ht="17.25" customHeight="1">
      <c r="A31" s="898" t="s">
        <v>583</v>
      </c>
      <c r="B31" s="968"/>
      <c r="C31" s="893"/>
      <c r="D31" s="915"/>
      <c r="G31" s="899" t="s">
        <v>584</v>
      </c>
      <c r="H31" s="915"/>
      <c r="J31" s="890" t="s">
        <v>611</v>
      </c>
      <c r="K31" s="915">
        <f>SUM(K28+K29-K26)</f>
        <v>-18.55600000000004</v>
      </c>
    </row>
    <row r="32" spans="1:17">
      <c r="A32" s="909">
        <f>PGL_Supplies!G8/1000</f>
        <v>1</v>
      </c>
      <c r="G32" s="909">
        <f>PGL_Requirements!O8/1000</f>
        <v>110</v>
      </c>
    </row>
    <row r="33" spans="1:11" ht="6.75" customHeight="1"/>
    <row r="34" spans="1:11">
      <c r="A34" s="887" t="s">
        <v>582</v>
      </c>
      <c r="G34" s="890" t="s">
        <v>585</v>
      </c>
    </row>
    <row r="35" spans="1:11">
      <c r="A35" s="963">
        <v>0</v>
      </c>
      <c r="G35" s="909">
        <f>PGL_Requirements!B8/1000</f>
        <v>0</v>
      </c>
    </row>
    <row r="36" spans="1:11">
      <c r="G36" s="909"/>
    </row>
    <row r="37" spans="1:11">
      <c r="C37" s="887" t="s">
        <v>588</v>
      </c>
      <c r="F37" s="887" t="s">
        <v>589</v>
      </c>
      <c r="G37" s="909"/>
    </row>
    <row r="38" spans="1:11">
      <c r="C38" s="959">
        <v>590</v>
      </c>
      <c r="F38" s="959">
        <v>752</v>
      </c>
    </row>
    <row r="39" spans="1:11">
      <c r="A39" s="907" t="s">
        <v>649</v>
      </c>
      <c r="E39" s="889" t="s">
        <v>587</v>
      </c>
      <c r="F39" s="889"/>
    </row>
    <row r="40" spans="1:11">
      <c r="A40" s="915">
        <f>SUM(A3:A35)</f>
        <v>374.41399999999999</v>
      </c>
      <c r="B40" s="903"/>
      <c r="C40" s="902"/>
      <c r="D40" s="903"/>
      <c r="E40" s="903"/>
      <c r="F40" s="969"/>
      <c r="G40" s="969">
        <f>SUM(G30:G35)</f>
        <v>110</v>
      </c>
      <c r="H40" s="905"/>
      <c r="I40" s="904"/>
    </row>
    <row r="41" spans="1:11">
      <c r="A41" s="906" t="s">
        <v>603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264.41399999999999</v>
      </c>
      <c r="B42" s="909"/>
      <c r="C42" s="903"/>
      <c r="D42" s="903"/>
      <c r="E42" s="903"/>
      <c r="F42" s="912"/>
      <c r="G42" s="914" t="s">
        <v>607</v>
      </c>
      <c r="H42" s="970"/>
      <c r="I42" s="971"/>
      <c r="J42" s="970"/>
      <c r="K42" s="961"/>
    </row>
    <row r="43" spans="1:11" ht="14.25" customHeight="1">
      <c r="A43" s="909"/>
      <c r="B43" s="909"/>
      <c r="C43" s="909"/>
      <c r="D43" s="909"/>
      <c r="E43" s="912"/>
      <c r="F43" s="911" t="s">
        <v>602</v>
      </c>
      <c r="G43" s="912" t="s">
        <v>601</v>
      </c>
      <c r="I43" s="909"/>
    </row>
    <row r="44" spans="1:11" ht="12.75" customHeight="1">
      <c r="A44" s="906" t="s">
        <v>590</v>
      </c>
      <c r="B44" s="909" t="s">
        <v>595</v>
      </c>
      <c r="C44" s="909" t="s">
        <v>596</v>
      </c>
      <c r="D44" s="909" t="s">
        <v>597</v>
      </c>
      <c r="E44" s="910"/>
      <c r="F44" s="910" t="s">
        <v>598</v>
      </c>
      <c r="G44" s="903" t="s">
        <v>600</v>
      </c>
      <c r="H44" s="889" t="s">
        <v>599</v>
      </c>
      <c r="I44" s="909"/>
      <c r="K44" s="889"/>
    </row>
    <row r="45" spans="1:11">
      <c r="A45" s="906" t="s">
        <v>594</v>
      </c>
      <c r="B45" s="972">
        <v>250</v>
      </c>
      <c r="C45" s="972">
        <v>410</v>
      </c>
      <c r="D45" s="973">
        <f>SUM(F2+F15)/2</f>
        <v>358</v>
      </c>
      <c r="E45" s="974"/>
      <c r="F45" s="975">
        <v>6.7000000000000004E-2</v>
      </c>
      <c r="G45" s="976">
        <f>(C45-D45)*F45</f>
        <v>3.484</v>
      </c>
      <c r="H45" s="976">
        <f>(D45-B45)*F45</f>
        <v>7.2360000000000007</v>
      </c>
      <c r="I45" s="909"/>
      <c r="J45" s="977"/>
    </row>
    <row r="46" spans="1:11">
      <c r="A46" s="889" t="s">
        <v>591</v>
      </c>
      <c r="B46" s="978">
        <v>797</v>
      </c>
      <c r="C46" s="972">
        <v>797</v>
      </c>
      <c r="D46" s="973">
        <v>797</v>
      </c>
      <c r="E46" s="974"/>
      <c r="F46" s="975">
        <v>0.13900000000000001</v>
      </c>
      <c r="G46" s="976">
        <f>(C46-D46)*F46</f>
        <v>0</v>
      </c>
      <c r="H46" s="976">
        <f>(D46-B46)*F46</f>
        <v>0</v>
      </c>
      <c r="I46" s="909"/>
    </row>
    <row r="47" spans="1:11">
      <c r="A47" s="889" t="s">
        <v>592</v>
      </c>
      <c r="B47" s="978">
        <v>250</v>
      </c>
      <c r="C47" s="972">
        <v>410</v>
      </c>
      <c r="D47" s="973">
        <f>SUM(C2+C15)/2</f>
        <v>356.5</v>
      </c>
      <c r="E47" s="974"/>
      <c r="F47" s="975">
        <v>0.14099999999999999</v>
      </c>
      <c r="G47" s="976">
        <f>(C47-D47)*F47</f>
        <v>7.543499999999999</v>
      </c>
      <c r="H47" s="976">
        <f>(D47-B47)*F47</f>
        <v>15.016499999999999</v>
      </c>
      <c r="I47" s="909"/>
    </row>
    <row r="48" spans="1:11">
      <c r="A48" s="889" t="s">
        <v>593</v>
      </c>
      <c r="B48" s="978">
        <v>300</v>
      </c>
      <c r="C48" s="972">
        <v>750</v>
      </c>
      <c r="D48" s="973">
        <f>SUM(C18+C38)/2</f>
        <v>582</v>
      </c>
      <c r="E48" s="974"/>
      <c r="F48" s="975">
        <v>0.161</v>
      </c>
      <c r="G48" s="976">
        <f>(C48-D48)*F48</f>
        <v>27.048000000000002</v>
      </c>
      <c r="H48" s="976">
        <f>(D48-B48)*F48</f>
        <v>45.402000000000001</v>
      </c>
    </row>
    <row r="49" spans="1:8">
      <c r="B49" s="958"/>
      <c r="C49" s="958"/>
      <c r="D49" s="958"/>
      <c r="E49" s="958"/>
      <c r="F49" s="913" t="s">
        <v>338</v>
      </c>
      <c r="G49" s="976">
        <f>SUM(G45:G48)</f>
        <v>38.075500000000005</v>
      </c>
      <c r="H49" s="976">
        <f>SUM(H45:H48)</f>
        <v>67.654499999999999</v>
      </c>
    </row>
    <row r="55" spans="1:8">
      <c r="A55" s="979"/>
      <c r="G55" s="979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tabSelected="1" zoomScale="75" workbookViewId="0">
      <selection activeCell="G6" sqref="G6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37158</v>
      </c>
      <c r="B5" s="11">
        <v>54</v>
      </c>
      <c r="C5" s="49">
        <v>42</v>
      </c>
      <c r="D5" s="49">
        <v>16</v>
      </c>
      <c r="E5" s="11" t="s">
        <v>820</v>
      </c>
      <c r="F5" s="11">
        <v>69</v>
      </c>
      <c r="G5" s="11">
        <v>69</v>
      </c>
      <c r="H5" s="11">
        <v>15</v>
      </c>
      <c r="I5" s="867" t="s">
        <v>822</v>
      </c>
      <c r="J5" s="867" t="s">
        <v>823</v>
      </c>
      <c r="K5" s="11">
        <v>6</v>
      </c>
      <c r="L5" s="11">
        <v>1</v>
      </c>
      <c r="N5" s="15" t="str">
        <f>I5&amp;" "&amp;I5</f>
        <v xml:space="preserve">  TODAY - MOSTLY CLOUDY; VERY WINDY AND COOL.   TODAY - MOSTLY CLOUDY; VERY WINDY AND COOL.</v>
      </c>
      <c r="AE5" s="15">
        <v>1</v>
      </c>
      <c r="AH5" s="15" t="s">
        <v>32</v>
      </c>
    </row>
    <row r="6" spans="1:34" ht="16.5" customHeight="1">
      <c r="A6" s="86">
        <f>A5+1</f>
        <v>37159</v>
      </c>
      <c r="B6" s="11">
        <v>58</v>
      </c>
      <c r="C6" s="49">
        <v>42</v>
      </c>
      <c r="D6" s="49">
        <v>12</v>
      </c>
      <c r="E6" s="11" t="s">
        <v>9</v>
      </c>
      <c r="F6" s="11" t="s">
        <v>9</v>
      </c>
      <c r="G6" s="11"/>
      <c r="H6" s="11" t="s">
        <v>9</v>
      </c>
      <c r="I6" s="867" t="s">
        <v>824</v>
      </c>
      <c r="J6" s="867" t="s">
        <v>9</v>
      </c>
      <c r="K6" s="11">
        <v>2</v>
      </c>
      <c r="L6" s="11" t="s">
        <v>558</v>
      </c>
      <c r="N6" s="15" t="str">
        <f>I6&amp;" "&amp;J6</f>
        <v xml:space="preserve">  PARTLY SUNNY AND BREEZY  </v>
      </c>
      <c r="AE6" s="15">
        <v>1</v>
      </c>
      <c r="AH6" s="15" t="s">
        <v>33</v>
      </c>
    </row>
    <row r="7" spans="1:34" ht="16.5" customHeight="1">
      <c r="A7" s="86">
        <f>A6+1</f>
        <v>37160</v>
      </c>
      <c r="B7" s="11">
        <v>62</v>
      </c>
      <c r="C7" s="49">
        <v>43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67" t="s">
        <v>825</v>
      </c>
      <c r="J7" s="867" t="s">
        <v>9</v>
      </c>
      <c r="K7" s="11">
        <v>3</v>
      </c>
      <c r="L7" s="11" t="s">
        <v>20</v>
      </c>
      <c r="N7" s="15" t="str">
        <f>I7&amp;" "&amp;J7</f>
        <v xml:space="preserve">  SUNSHINE AND PATCHY CLOUDS  </v>
      </c>
    </row>
    <row r="8" spans="1:34" ht="16.5" customHeight="1">
      <c r="A8" s="86">
        <f>A7+1</f>
        <v>37161</v>
      </c>
      <c r="B8" s="11">
        <v>63</v>
      </c>
      <c r="C8" s="49">
        <v>45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67" t="s">
        <v>826</v>
      </c>
      <c r="J8" s="867" t="s">
        <v>9</v>
      </c>
      <c r="K8" s="11">
        <v>3</v>
      </c>
      <c r="L8" s="11"/>
      <c r="N8" s="15" t="str">
        <f>I8&amp;" "&amp;J8</f>
        <v xml:space="preserve">  BRIGHT AND SUNNY  </v>
      </c>
    </row>
    <row r="9" spans="1:34" ht="16.5" customHeight="1">
      <c r="A9" s="86">
        <f>A8+1</f>
        <v>37162</v>
      </c>
      <c r="B9" s="11">
        <v>66</v>
      </c>
      <c r="C9" s="49">
        <v>46</v>
      </c>
      <c r="D9" s="49">
        <v>8</v>
      </c>
      <c r="E9" s="11" t="s">
        <v>9</v>
      </c>
      <c r="F9" s="11" t="s">
        <v>9</v>
      </c>
      <c r="G9" s="11"/>
      <c r="H9" s="11" t="s">
        <v>9</v>
      </c>
      <c r="I9" s="867" t="s">
        <v>827</v>
      </c>
      <c r="J9" s="867" t="s">
        <v>9</v>
      </c>
      <c r="K9" s="11">
        <v>1</v>
      </c>
      <c r="L9" s="11">
        <v>0</v>
      </c>
      <c r="M9" s="87"/>
      <c r="N9" s="15" t="str">
        <f>I9&amp;" "&amp;J9</f>
        <v xml:space="preserve">  SEVERAL HOURS OF SUNSHINE  </v>
      </c>
    </row>
    <row r="10" spans="1:34" ht="16.5" customHeight="1">
      <c r="A10" s="86">
        <f>A9+1</f>
        <v>37163</v>
      </c>
      <c r="B10" s="11">
        <v>66</v>
      </c>
      <c r="C10" s="49">
        <v>46</v>
      </c>
      <c r="D10" s="49">
        <v>8</v>
      </c>
      <c r="E10" s="11" t="s">
        <v>9</v>
      </c>
      <c r="F10" s="11" t="s">
        <v>9</v>
      </c>
      <c r="G10" s="11"/>
      <c r="H10" s="11" t="s">
        <v>9</v>
      </c>
      <c r="I10" s="867" t="s">
        <v>827</v>
      </c>
      <c r="J10" s="867" t="s">
        <v>9</v>
      </c>
      <c r="K10" s="11">
        <v>3</v>
      </c>
      <c r="L10" s="11" t="s">
        <v>382</v>
      </c>
      <c r="N10" s="15" t="str">
        <f>I10&amp;" "&amp;J10</f>
        <v xml:space="preserve">  SEVERAL HOURS OF SUNSHINE  </v>
      </c>
    </row>
    <row r="11" spans="1:34" ht="16.5" customHeight="1">
      <c r="G11"/>
    </row>
    <row r="12" spans="1:34" ht="15.75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518</v>
      </c>
      <c r="B2" s="181">
        <f>PGL_Deliveries!V5/1000</f>
        <v>1.8819999999999999</v>
      </c>
      <c r="C2" s="60"/>
      <c r="D2" s="118" t="s">
        <v>309</v>
      </c>
      <c r="E2" s="417">
        <f>Weather_Input!A5</f>
        <v>37158</v>
      </c>
      <c r="F2" s="60"/>
      <c r="H2"/>
      <c r="I2"/>
      <c r="J2"/>
      <c r="K2"/>
      <c r="L2"/>
      <c r="M2"/>
    </row>
    <row r="3" spans="1:13" ht="15">
      <c r="A3" s="97" t="s">
        <v>519</v>
      </c>
      <c r="B3" s="614">
        <f>PGL_Supplies!I7/1000</f>
        <v>0</v>
      </c>
      <c r="C3" s="180"/>
      <c r="D3" s="1019" t="s">
        <v>674</v>
      </c>
      <c r="E3" s="1275">
        <f>PGL_Deliveries!U5/1000</f>
        <v>0</v>
      </c>
      <c r="F3" s="179"/>
      <c r="H3"/>
      <c r="I3"/>
      <c r="J3"/>
      <c r="K3"/>
      <c r="L3"/>
      <c r="M3"/>
    </row>
    <row r="4" spans="1:13" ht="15.75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522</v>
      </c>
      <c r="B5" s="151">
        <f>PGL_Deliveries!D5/1000</f>
        <v>0</v>
      </c>
      <c r="C5" s="63"/>
      <c r="F5" s="179"/>
      <c r="H5"/>
      <c r="I5"/>
      <c r="J5"/>
      <c r="K5"/>
      <c r="L5"/>
      <c r="M5"/>
    </row>
    <row r="6" spans="1:13" ht="15.75" thickBot="1">
      <c r="A6" s="177" t="s">
        <v>239</v>
      </c>
      <c r="B6" s="151">
        <f>PGL_Deliveries!I5/1000</f>
        <v>0</v>
      </c>
      <c r="C6" s="166"/>
      <c r="F6" s="168"/>
      <c r="H6"/>
      <c r="I6"/>
      <c r="J6"/>
      <c r="K6"/>
      <c r="L6"/>
      <c r="M6"/>
    </row>
    <row r="7" spans="1:13" ht="16.5" thickBot="1">
      <c r="A7" s="176" t="s">
        <v>524</v>
      </c>
      <c r="B7" s="220">
        <f>SUM(B5:B6)</f>
        <v>0</v>
      </c>
      <c r="C7" s="166"/>
      <c r="D7" s="59" t="s">
        <v>520</v>
      </c>
      <c r="E7" s="151">
        <f>PGL_Deliveries!P5/1000</f>
        <v>0</v>
      </c>
      <c r="F7" s="168"/>
      <c r="H7"/>
      <c r="I7"/>
      <c r="J7"/>
      <c r="K7"/>
      <c r="L7"/>
      <c r="M7"/>
    </row>
    <row r="8" spans="1:13" ht="15">
      <c r="A8" s="430" t="s">
        <v>811</v>
      </c>
      <c r="B8" s="1275">
        <f>SUM(PGL_Deliveries!BK5)</f>
        <v>0</v>
      </c>
      <c r="C8" s="613"/>
      <c r="D8" s="59" t="s">
        <v>521</v>
      </c>
      <c r="E8" s="151">
        <f>PGL_Deliveries!Q5/1000</f>
        <v>0</v>
      </c>
      <c r="F8" s="168"/>
      <c r="H8"/>
      <c r="I8"/>
      <c r="J8"/>
      <c r="K8"/>
      <c r="L8"/>
      <c r="M8"/>
    </row>
    <row r="9" spans="1:13" ht="15">
      <c r="A9" s="169" t="s">
        <v>658</v>
      </c>
      <c r="B9" s="151">
        <f>PGL_Deliveries!W5/1000</f>
        <v>88.05</v>
      </c>
      <c r="C9" s="63"/>
      <c r="D9" s="115" t="s">
        <v>193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65</v>
      </c>
      <c r="B10" s="151">
        <f>PGL_Deliveries!X5/1000</f>
        <v>0</v>
      </c>
      <c r="C10" s="63"/>
      <c r="D10" s="115" t="s">
        <v>523</v>
      </c>
      <c r="E10" s="151">
        <f>PGL_Deliveries!O5/1000</f>
        <v>0</v>
      </c>
      <c r="F10" s="168"/>
      <c r="H10"/>
      <c r="I10"/>
      <c r="J10"/>
      <c r="K10"/>
      <c r="L10"/>
      <c r="M10"/>
    </row>
    <row r="11" spans="1:13" ht="15">
      <c r="A11" s="169" t="s">
        <v>166</v>
      </c>
      <c r="B11" s="151">
        <f>PGL_Deliveries!Y5/1000</f>
        <v>0</v>
      </c>
      <c r="C11" s="63"/>
      <c r="D11" s="115" t="s">
        <v>196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70" t="s">
        <v>71</v>
      </c>
      <c r="B12" s="151">
        <f>(PGL_Deliveries!AL5+PGL_Deliveries!AM5)/1000</f>
        <v>18.268000000000001</v>
      </c>
      <c r="C12" s="63"/>
      <c r="D12" s="115" t="s">
        <v>198</v>
      </c>
      <c r="E12" s="151">
        <f>PGL_Deliveries!T5/1000</f>
        <v>1.41</v>
      </c>
      <c r="F12" s="168"/>
      <c r="H12"/>
      <c r="I12"/>
      <c r="J12"/>
      <c r="K12"/>
      <c r="L12"/>
      <c r="M12"/>
    </row>
    <row r="13" spans="1:13" ht="15">
      <c r="A13" s="169" t="s">
        <v>526</v>
      </c>
      <c r="B13" s="151">
        <f>PGL_Supplies!J7/1000</f>
        <v>0</v>
      </c>
      <c r="C13" s="63"/>
      <c r="D13" s="115" t="s">
        <v>525</v>
      </c>
      <c r="E13" s="151">
        <f>PGL_Deliveries!S5/1000</f>
        <v>0.47199999999999998</v>
      </c>
      <c r="F13" s="168"/>
      <c r="H13"/>
      <c r="I13"/>
      <c r="J13"/>
      <c r="K13"/>
      <c r="L13"/>
      <c r="M13"/>
    </row>
    <row r="14" spans="1:13" ht="15">
      <c r="A14" s="169" t="s">
        <v>527</v>
      </c>
      <c r="B14" s="151">
        <f>PGL_Deliveries!Z5/1000+PGL_Deliveries!AA5/1000+PGL_Deliveries!AB5/1000</f>
        <v>200.34299999999999</v>
      </c>
      <c r="C14" s="63"/>
      <c r="D14" s="115" t="s">
        <v>202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168</v>
      </c>
      <c r="B15" s="151">
        <f>PGL_Deliveries!AF5/1000</f>
        <v>0</v>
      </c>
      <c r="C15" s="63"/>
      <c r="D15" s="115" t="s">
        <v>204</v>
      </c>
      <c r="E15" s="151">
        <f>PGL_Deliveries!F5/1000</f>
        <v>0</v>
      </c>
      <c r="F15" s="168"/>
      <c r="H15"/>
      <c r="I15"/>
      <c r="J15"/>
      <c r="K15"/>
      <c r="L15"/>
      <c r="M15"/>
    </row>
    <row r="16" spans="1:13" ht="15">
      <c r="A16" s="169" t="s">
        <v>169</v>
      </c>
      <c r="B16" s="151">
        <f>PGL_Deliveries!AJ5/1000+PGL_Deliveries!AZ5/1000+PGL_Deliveries!AV5/1000-PGL_Deliveries!AU5/1000-PGL_Deliveries!AW5/1000+PGL_Deliveries!AG5/1000+PGL_Deliveries!AH5/1000-PGL_Deliveries!AX5/1000</f>
        <v>-116.492</v>
      </c>
      <c r="C16" s="63"/>
      <c r="D16" s="115" t="s">
        <v>205</v>
      </c>
      <c r="E16" s="151">
        <f>PGL_Deliveries!H5/1000</f>
        <v>0</v>
      </c>
      <c r="F16" s="168"/>
      <c r="H16"/>
      <c r="I16"/>
      <c r="J16"/>
      <c r="K16"/>
      <c r="L16"/>
      <c r="M16"/>
    </row>
    <row r="17" spans="1:13" ht="15">
      <c r="A17" s="169" t="s">
        <v>528</v>
      </c>
      <c r="B17" s="60"/>
      <c r="C17" s="218">
        <f>PGL_Deliveries!AQ5/1000</f>
        <v>37.216000000000001</v>
      </c>
      <c r="D17" s="59" t="s">
        <v>370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171</v>
      </c>
      <c r="B18" s="151">
        <f>PGL_Deliveries!AR5/1000</f>
        <v>0</v>
      </c>
      <c r="C18" s="63" t="s">
        <v>9</v>
      </c>
      <c r="D18" s="115" t="s">
        <v>208</v>
      </c>
      <c r="E18" s="151">
        <f>PGL_Deliveries!L5/1000</f>
        <v>0</v>
      </c>
      <c r="F18" s="168"/>
      <c r="H18"/>
      <c r="I18"/>
      <c r="J18"/>
      <c r="K18"/>
      <c r="L18"/>
      <c r="M18"/>
    </row>
    <row r="19" spans="1:13" ht="15">
      <c r="A19" s="169" t="s">
        <v>812</v>
      </c>
      <c r="B19" s="60"/>
      <c r="C19" s="151">
        <f>PGL_Deliveries!AC5/1000</f>
        <v>0</v>
      </c>
      <c r="D19" s="226" t="s">
        <v>207</v>
      </c>
      <c r="E19" s="151">
        <f>PGL_Deliveries!M5/1000</f>
        <v>0</v>
      </c>
      <c r="F19" s="168"/>
      <c r="H19"/>
      <c r="I19"/>
      <c r="J19"/>
      <c r="K19"/>
      <c r="L19"/>
      <c r="M19"/>
    </row>
    <row r="20" spans="1:13" ht="15.75" thickBot="1">
      <c r="A20" s="169" t="s">
        <v>586</v>
      </c>
      <c r="B20" s="60"/>
      <c r="C20" s="151">
        <f>PGL_Deliveries!BG5/1000</f>
        <v>0</v>
      </c>
      <c r="D20" s="1272" t="s">
        <v>813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5" thickBot="1">
      <c r="A21" s="1267" t="s">
        <v>529</v>
      </c>
      <c r="B21" s="866">
        <f>SUM(B8:B20)-C17-C19-C20</f>
        <v>152.95299999999997</v>
      </c>
      <c r="C21" s="1268"/>
      <c r="D21" s="175" t="s">
        <v>530</v>
      </c>
      <c r="E21" s="174">
        <f>SUM(E7:E20)</f>
        <v>1.8819999999999999</v>
      </c>
      <c r="F21" s="164"/>
      <c r="H21"/>
      <c r="I21"/>
      <c r="J21"/>
      <c r="K21"/>
      <c r="L21"/>
      <c r="M21"/>
    </row>
    <row r="22" spans="1:13" ht="15">
      <c r="A22" s="430" t="s">
        <v>661</v>
      </c>
      <c r="B22" s="151">
        <f>PGL_Supplies!X7/1000</f>
        <v>88.192999999999998</v>
      </c>
      <c r="C22" s="613"/>
      <c r="D22" s="115" t="s">
        <v>304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75" thickBot="1">
      <c r="A23" s="169" t="s">
        <v>659</v>
      </c>
      <c r="B23" s="151">
        <f>PGL_Supplies!W7/1000</f>
        <v>0</v>
      </c>
      <c r="C23" s="63"/>
      <c r="D23" s="115" t="s">
        <v>174</v>
      </c>
      <c r="E23" s="151">
        <f>PGL_Deliveries!AY5/1000+B44</f>
        <v>1.7443499999999998</v>
      </c>
      <c r="F23" s="168"/>
      <c r="H23"/>
      <c r="I23"/>
      <c r="J23"/>
      <c r="K23"/>
      <c r="L23"/>
      <c r="M23"/>
    </row>
    <row r="24" spans="1:13" ht="16.5" thickBot="1">
      <c r="A24" s="169" t="s">
        <v>662</v>
      </c>
      <c r="B24" s="60"/>
      <c r="C24" s="218">
        <f>PGL_Requirements!I7/1000</f>
        <v>0</v>
      </c>
      <c r="D24" s="1269" t="s">
        <v>531</v>
      </c>
      <c r="E24" s="220">
        <f>SUM(E21:E23)</f>
        <v>3.6263499999999995</v>
      </c>
      <c r="F24" s="1270"/>
      <c r="H24"/>
      <c r="I24"/>
      <c r="J24"/>
      <c r="K24"/>
      <c r="L24"/>
      <c r="M24"/>
    </row>
    <row r="25" spans="1:13" ht="15">
      <c r="A25" s="172" t="s">
        <v>338</v>
      </c>
      <c r="B25" s="1021">
        <f>+B22+B23-C24</f>
        <v>88.192999999999998</v>
      </c>
      <c r="C25" s="1018"/>
      <c r="D25" s="242" t="s">
        <v>532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212</v>
      </c>
      <c r="B26" s="151">
        <f>PGL_Supplies!Y7/1000</f>
        <v>25.425000000000001</v>
      </c>
      <c r="C26" s="63"/>
      <c r="D26" s="242" t="s">
        <v>533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669</v>
      </c>
      <c r="B27" s="615"/>
      <c r="C27" s="218">
        <f>PGL_Requirements!T7/1000</f>
        <v>0</v>
      </c>
      <c r="D27" s="242" t="s">
        <v>538</v>
      </c>
      <c r="E27" s="60" t="s">
        <v>9</v>
      </c>
      <c r="F27" s="173">
        <f>PGL_Deliveries!AS5/1000</f>
        <v>32.619999999999997</v>
      </c>
      <c r="H27"/>
      <c r="I27"/>
      <c r="J27"/>
      <c r="K27"/>
      <c r="L27"/>
      <c r="M27"/>
    </row>
    <row r="28" spans="1:13" ht="15">
      <c r="A28" s="170" t="s">
        <v>668</v>
      </c>
      <c r="B28" s="151">
        <f>PGL_Supplies!P7/1000</f>
        <v>0</v>
      </c>
      <c r="C28" s="63"/>
      <c r="D28" s="171" t="s">
        <v>539</v>
      </c>
      <c r="E28" s="151">
        <f>PGL_Deliveries!AT5/1000</f>
        <v>0</v>
      </c>
      <c r="F28" s="168"/>
      <c r="H28"/>
      <c r="I28"/>
      <c r="J28"/>
      <c r="K28"/>
      <c r="L28"/>
      <c r="M28"/>
    </row>
    <row r="29" spans="1:13" ht="15">
      <c r="A29" s="172" t="s">
        <v>218</v>
      </c>
      <c r="B29" s="67" t="s">
        <v>9</v>
      </c>
      <c r="C29" s="467" t="s">
        <v>9</v>
      </c>
      <c r="D29" s="242" t="s">
        <v>646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534</v>
      </c>
      <c r="B30" s="151">
        <f>PGL_Supplies!Z7/1000</f>
        <v>0</v>
      </c>
      <c r="C30" s="63"/>
      <c r="D30" s="60" t="s">
        <v>182</v>
      </c>
      <c r="E30" s="151">
        <f>PGL_Supplies!AB7/1000</f>
        <v>55.155000000000001</v>
      </c>
      <c r="F30" s="168"/>
      <c r="H30"/>
      <c r="I30"/>
      <c r="J30"/>
      <c r="K30"/>
      <c r="L30"/>
      <c r="M30"/>
    </row>
    <row r="31" spans="1:13" ht="15.75" thickBot="1">
      <c r="A31" s="172" t="s">
        <v>535</v>
      </c>
      <c r="B31" s="1021">
        <v>0</v>
      </c>
      <c r="C31" s="1018"/>
      <c r="D31" s="60"/>
      <c r="E31" s="60"/>
      <c r="F31" s="168"/>
      <c r="H31"/>
      <c r="I31"/>
      <c r="J31"/>
      <c r="K31"/>
      <c r="L31"/>
      <c r="M31"/>
    </row>
    <row r="32" spans="1:13" ht="16.5" thickBot="1">
      <c r="A32" s="169" t="s">
        <v>536</v>
      </c>
      <c r="B32" s="985">
        <f>PGL_Supplies!AC7/1000</f>
        <v>1.01</v>
      </c>
      <c r="C32" s="63"/>
      <c r="D32" s="1271" t="s">
        <v>209</v>
      </c>
      <c r="E32" s="220">
        <f>SUM(E25:E31)-SUM(F26:F31)-E29</f>
        <v>22.535000000000004</v>
      </c>
      <c r="F32" s="1268"/>
      <c r="H32"/>
      <c r="I32"/>
      <c r="J32"/>
      <c r="K32"/>
      <c r="L32"/>
      <c r="M32"/>
    </row>
    <row r="33" spans="1:13" ht="15">
      <c r="A33" s="169" t="s">
        <v>537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75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540</v>
      </c>
      <c r="B36" s="616">
        <f>(PGL_Deliveries!AD5+PGL_Deliveries!AE5+PGL_Deliveries!AF5)/1000</f>
        <v>0</v>
      </c>
      <c r="C36" s="63"/>
      <c r="D36" s="757" t="s">
        <v>546</v>
      </c>
      <c r="E36" s="775"/>
      <c r="F36" s="173">
        <f>PGL_Requirements!J7/1000</f>
        <v>0</v>
      </c>
      <c r="H36"/>
      <c r="I36"/>
      <c r="J36"/>
      <c r="K36"/>
      <c r="L36"/>
      <c r="M36"/>
    </row>
    <row r="37" spans="1:13" ht="15">
      <c r="A37" s="169" t="s">
        <v>541</v>
      </c>
      <c r="B37" s="60"/>
      <c r="C37" s="63">
        <f>PGL_Deliveries!AE5/1000</f>
        <v>0</v>
      </c>
      <c r="D37" s="242" t="s">
        <v>488</v>
      </c>
      <c r="E37" s="776">
        <f>PGL_Supplies!AA7/1000</f>
        <v>196.429</v>
      </c>
      <c r="F37" s="168"/>
      <c r="H37"/>
      <c r="I37"/>
      <c r="J37"/>
      <c r="K37"/>
      <c r="L37"/>
      <c r="M37"/>
    </row>
    <row r="38" spans="1:13" ht="15">
      <c r="A38" s="172" t="s">
        <v>542</v>
      </c>
      <c r="B38" s="67"/>
      <c r="C38" s="467">
        <f>PGL_Deliveries!AD5/1000</f>
        <v>0</v>
      </c>
      <c r="D38" s="60" t="s">
        <v>361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543</v>
      </c>
      <c r="B39" s="151" t="s">
        <v>9</v>
      </c>
      <c r="C39" s="151">
        <f>PGL_Deliveries!AW5/1000</f>
        <v>116.29</v>
      </c>
      <c r="D39" s="60" t="s">
        <v>491</v>
      </c>
      <c r="E39" s="151"/>
      <c r="F39" s="173">
        <f>(PGL_Requirements!$AE$7+PGL_Requirements!$AF$7+PGL_Requirements!$AG$7)/1000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544</v>
      </c>
      <c r="B40" s="151">
        <f>PGL_Supplies!L7/1000</f>
        <v>0</v>
      </c>
      <c r="C40" s="63"/>
      <c r="D40" s="60" t="s">
        <v>492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545</v>
      </c>
      <c r="B41" s="60"/>
      <c r="C41" s="218">
        <f>PGL_Deliveries!AU5/1000</f>
        <v>0</v>
      </c>
      <c r="D41" s="60" t="s">
        <v>557</v>
      </c>
      <c r="E41" s="776">
        <f>PGL_Supplies!R7/1000</f>
        <v>10</v>
      </c>
      <c r="F41" s="168"/>
      <c r="H41"/>
      <c r="I41"/>
      <c r="J41"/>
      <c r="K41"/>
      <c r="L41"/>
      <c r="M41"/>
    </row>
    <row r="42" spans="1:13" ht="15">
      <c r="A42" s="169" t="s">
        <v>194</v>
      </c>
      <c r="B42" s="151">
        <f>PGL_Deliveries!AV5/1000</f>
        <v>0.41799999999999998</v>
      </c>
      <c r="C42" s="63"/>
      <c r="D42" s="72" t="s">
        <v>744</v>
      </c>
      <c r="E42" s="60"/>
      <c r="F42" s="173">
        <f>PGL_Deliveries!BG5/1000</f>
        <v>0</v>
      </c>
      <c r="H42"/>
      <c r="I42"/>
      <c r="J42"/>
      <c r="K42"/>
      <c r="L42"/>
      <c r="M42"/>
    </row>
    <row r="43" spans="1:13" ht="15">
      <c r="A43" s="169" t="s">
        <v>201</v>
      </c>
      <c r="B43" s="151">
        <f>PGL_Deliveries!AI5/1000</f>
        <v>0</v>
      </c>
      <c r="C43" s="63"/>
      <c r="D43" s="756" t="s">
        <v>745</v>
      </c>
      <c r="E43" s="67"/>
      <c r="F43" s="1202">
        <f>PGL_Deliveries!BH5/1000</f>
        <v>0</v>
      </c>
      <c r="H43"/>
      <c r="I43"/>
      <c r="J43"/>
      <c r="K43"/>
      <c r="L43"/>
      <c r="M43"/>
    </row>
    <row r="44" spans="1:13" ht="15.75" thickBot="1">
      <c r="A44" s="170" t="s">
        <v>547</v>
      </c>
      <c r="B44" s="151">
        <f>PGL_Deliveries!AG5/1000</f>
        <v>0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746</v>
      </c>
      <c r="B45" s="151">
        <f>PGL_Deliveries!BK5/1000</f>
        <v>0</v>
      </c>
      <c r="C45" s="218">
        <f>PGL_Deliveries!BJ5/1000</f>
        <v>0</v>
      </c>
      <c r="D45" s="430" t="s">
        <v>549</v>
      </c>
      <c r="E45" s="60">
        <f>Weather_Input!B5</f>
        <v>54</v>
      </c>
      <c r="F45" s="1116"/>
    </row>
    <row r="46" spans="1:13" ht="15">
      <c r="A46" s="169" t="s">
        <v>548</v>
      </c>
      <c r="B46" s="151">
        <f>PGL_Deliveries!AY5/1000</f>
        <v>1.7443499999999998</v>
      </c>
      <c r="C46" s="63"/>
      <c r="D46" s="169" t="s">
        <v>550</v>
      </c>
      <c r="E46" s="230">
        <f>Weather_Input!C5</f>
        <v>42</v>
      </c>
      <c r="F46" s="158"/>
    </row>
    <row r="47" spans="1:13" ht="15">
      <c r="A47" s="172" t="s">
        <v>655</v>
      </c>
      <c r="B47" s="67"/>
      <c r="C47" s="1202">
        <f>PGL_Requirements!Q7/1000</f>
        <v>0.62</v>
      </c>
      <c r="D47" s="170" t="s">
        <v>551</v>
      </c>
      <c r="E47" s="60" t="str">
        <f>Weather_Input!E5</f>
        <v>N/A</v>
      </c>
      <c r="F47" s="158"/>
    </row>
    <row r="48" spans="1:13" ht="15">
      <c r="A48" s="170" t="s">
        <v>230</v>
      </c>
      <c r="B48" s="151">
        <f>PGL_Deliveries!AK5/1000</f>
        <v>0</v>
      </c>
      <c r="C48" s="158"/>
      <c r="D48" s="169" t="s">
        <v>552</v>
      </c>
      <c r="E48" s="219">
        <f>Weather_Input!D5</f>
        <v>16</v>
      </c>
      <c r="F48" s="158"/>
    </row>
    <row r="49" spans="1:6" ht="15">
      <c r="A49" s="169" t="s">
        <v>683</v>
      </c>
      <c r="B49" s="151">
        <f>PGL_Deliveries!AL5/1000</f>
        <v>18.268000000000001</v>
      </c>
      <c r="C49" s="158"/>
      <c r="D49" s="169" t="s">
        <v>553</v>
      </c>
      <c r="E49" s="151">
        <f>PGL_Deliveries!AO5/1000</f>
        <v>1.0189999999999999</v>
      </c>
      <c r="F49" s="158"/>
    </row>
    <row r="50" spans="1:6" ht="15.75" outlineLevel="2" thickBot="1">
      <c r="A50" s="167" t="s">
        <v>555</v>
      </c>
      <c r="B50" s="205">
        <f>PGL_Deliveries!AM5/1000</f>
        <v>0</v>
      </c>
      <c r="C50" s="429"/>
      <c r="D50" s="100" t="s">
        <v>554</v>
      </c>
      <c r="E50" s="160"/>
      <c r="F50" s="429"/>
    </row>
    <row r="51" spans="1:6" ht="15" outlineLevel="2">
      <c r="A51" s="412" t="s">
        <v>556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22" t="s">
        <v>4</v>
      </c>
      <c r="B3" s="235">
        <f>NSG_Deliveries!H5/1000</f>
        <v>0</v>
      </c>
      <c r="C3" s="117"/>
      <c r="D3" s="222" t="s">
        <v>309</v>
      </c>
      <c r="E3" s="420">
        <f>Weather_Input!A5</f>
        <v>37158</v>
      </c>
      <c r="F3" s="117"/>
      <c r="G3"/>
      <c r="J3"/>
      <c r="K3"/>
    </row>
    <row r="4" spans="1:11" ht="15.75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163</v>
      </c>
      <c r="B5" s="234">
        <f>NSG_Deliveries!E5/1000</f>
        <v>0</v>
      </c>
      <c r="C5" s="143"/>
      <c r="D5" s="214" t="s">
        <v>310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311</v>
      </c>
      <c r="B7" s="209">
        <f>NSG_Deliveries!G5/1000</f>
        <v>0</v>
      </c>
      <c r="C7" s="784"/>
      <c r="D7" s="214" t="s">
        <v>312</v>
      </c>
      <c r="E7" s="209">
        <f>NSG_Supplies!T7/1000</f>
        <v>0</v>
      </c>
      <c r="F7" s="113"/>
      <c r="G7"/>
    </row>
    <row r="8" spans="1:11" ht="15" customHeight="1">
      <c r="A8" s="228" t="s">
        <v>209</v>
      </c>
      <c r="B8" s="209">
        <f>B5+B7</f>
        <v>0</v>
      </c>
      <c r="C8" s="158"/>
      <c r="D8" s="785" t="s">
        <v>570</v>
      </c>
      <c r="E8" s="779">
        <f>NSG_Deliveries!F5/1000</f>
        <v>0</v>
      </c>
      <c r="F8" s="778"/>
      <c r="G8"/>
    </row>
    <row r="9" spans="1:11" ht="15" customHeight="1">
      <c r="A9" s="236" t="s">
        <v>308</v>
      </c>
      <c r="B9" s="210" t="s">
        <v>9</v>
      </c>
      <c r="C9" s="131">
        <f>NSG_Requirements!L7/1000</f>
        <v>0</v>
      </c>
      <c r="D9" s="1" t="s">
        <v>562</v>
      </c>
      <c r="E9" s="780" t="s">
        <v>9</v>
      </c>
      <c r="F9" s="947">
        <f>NSG_Deliveries!M5/1000</f>
        <v>13.568</v>
      </c>
      <c r="G9" s="119"/>
    </row>
    <row r="10" spans="1:11" ht="15" customHeight="1">
      <c r="A10" s="125" t="s">
        <v>314</v>
      </c>
      <c r="B10" s="211">
        <f>NSG_Supplies!G7/1000</f>
        <v>0</v>
      </c>
      <c r="C10" s="130"/>
      <c r="D10" s="949" t="s">
        <v>563</v>
      </c>
      <c r="E10" s="432">
        <f>NSG_Deliveries!N5/1000</f>
        <v>0</v>
      </c>
      <c r="F10" s="781"/>
      <c r="G10"/>
    </row>
    <row r="11" spans="1:11" ht="15" customHeight="1" thickBot="1">
      <c r="A11" s="128" t="s">
        <v>315</v>
      </c>
      <c r="B11" s="418" t="s">
        <v>9</v>
      </c>
      <c r="C11" s="419"/>
      <c r="D11" s="167" t="s">
        <v>571</v>
      </c>
      <c r="E11" s="782">
        <f>NSG_Supplies!P7/1000</f>
        <v>20</v>
      </c>
      <c r="F11" s="783"/>
      <c r="G11"/>
    </row>
    <row r="12" spans="1:11" ht="15" customHeight="1">
      <c r="A12" s="125" t="s">
        <v>362</v>
      </c>
      <c r="B12" s="211">
        <v>0</v>
      </c>
      <c r="C12" s="129"/>
      <c r="D12" t="s">
        <v>313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318</v>
      </c>
      <c r="B13" s="211">
        <f>NSG_Supplies!Q7/1000</f>
        <v>27.504000000000001</v>
      </c>
      <c r="C13" s="129"/>
      <c r="D13" s="238" t="s">
        <v>316</v>
      </c>
      <c r="E13" s="231"/>
      <c r="F13" s="239"/>
      <c r="G13"/>
    </row>
    <row r="14" spans="1:11" ht="15" customHeight="1">
      <c r="A14" s="125" t="s">
        <v>179</v>
      </c>
      <c r="B14" s="211">
        <f>NSG_Supplies!C7/1000</f>
        <v>0</v>
      </c>
      <c r="C14" s="129"/>
      <c r="D14" s="207" t="s">
        <v>317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320</v>
      </c>
      <c r="B15" s="207"/>
      <c r="C15" s="131">
        <f>NSG_Deliveries!K5/1000</f>
        <v>0.54</v>
      </c>
      <c r="D15" s="229" t="s">
        <v>319</v>
      </c>
      <c r="E15" s="749">
        <f>+NSG_Supplies!N7/1000</f>
        <v>0</v>
      </c>
      <c r="F15" s="208"/>
    </row>
    <row r="16" spans="1:11" ht="15" customHeight="1" thickBot="1">
      <c r="A16" s="127" t="s">
        <v>321</v>
      </c>
      <c r="B16" s="432">
        <f>NSG_Deliveries!L5/1000</f>
        <v>0</v>
      </c>
      <c r="C16" s="948"/>
      <c r="D16" s="793" t="s">
        <v>228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322</v>
      </c>
      <c r="B17" s="207"/>
      <c r="C17" s="131">
        <f>NSG_Requirements!P7/1000</f>
        <v>0</v>
      </c>
      <c r="D17" s="422" t="s">
        <v>323</v>
      </c>
      <c r="E17" s="421"/>
      <c r="F17" s="423"/>
    </row>
    <row r="18" spans="1:8" ht="15" customHeight="1">
      <c r="A18" s="125" t="s">
        <v>324</v>
      </c>
      <c r="B18" s="211">
        <f>NSG_Supplies!H7/1000</f>
        <v>0</v>
      </c>
      <c r="C18" s="129"/>
      <c r="D18" s="63" t="s">
        <v>325</v>
      </c>
      <c r="E18" s="159"/>
      <c r="F18" s="126">
        <f>NSG_Requirements!N7/1000</f>
        <v>0</v>
      </c>
    </row>
    <row r="19" spans="1:8" ht="15" customHeight="1">
      <c r="A19" s="1212" t="s">
        <v>9</v>
      </c>
      <c r="B19" s="432" t="s">
        <v>9</v>
      </c>
      <c r="C19" s="431" t="s">
        <v>9</v>
      </c>
      <c r="D19" s="224" t="s">
        <v>326</v>
      </c>
      <c r="E19" s="159"/>
      <c r="F19" s="126">
        <f>NSG_Requirements!S7/1000</f>
        <v>0</v>
      </c>
    </row>
    <row r="20" spans="1:8" ht="15" customHeight="1">
      <c r="A20" s="1212" t="s">
        <v>9</v>
      </c>
      <c r="B20" s="432" t="s">
        <v>9</v>
      </c>
      <c r="C20" s="431" t="s">
        <v>9</v>
      </c>
      <c r="D20" s="207" t="s">
        <v>327</v>
      </c>
      <c r="E20" s="159"/>
      <c r="F20" s="126">
        <f>NSG_Requirements!O7/1000</f>
        <v>0</v>
      </c>
    </row>
    <row r="21" spans="1:8" ht="15" customHeight="1">
      <c r="A21" s="1212" t="s">
        <v>9</v>
      </c>
      <c r="B21" s="432" t="s">
        <v>9</v>
      </c>
      <c r="C21" s="431" t="s">
        <v>9</v>
      </c>
      <c r="D21" s="215" t="s">
        <v>328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348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329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330</v>
      </c>
      <c r="E24" s="216">
        <f>NSG_Supplies!O7/1000</f>
        <v>0</v>
      </c>
      <c r="F24" s="124"/>
    </row>
    <row r="25" spans="1:8" ht="15" customHeight="1">
      <c r="A25" s="1212" t="s">
        <v>9</v>
      </c>
      <c r="B25" s="207" t="s">
        <v>9</v>
      </c>
      <c r="C25" s="131" t="s">
        <v>9</v>
      </c>
      <c r="D25" s="223" t="s">
        <v>331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332</v>
      </c>
      <c r="E26" s="754"/>
      <c r="F26" s="126">
        <f>NSG_Requirements!D7/1000</f>
        <v>0</v>
      </c>
    </row>
    <row r="27" spans="1:8" ht="15" customHeight="1" thickBot="1">
      <c r="A27" s="144" t="s">
        <v>209</v>
      </c>
      <c r="B27" s="213">
        <f>SUM(B9:B26)-SUM(C9:C26)</f>
        <v>26.964000000000002</v>
      </c>
      <c r="C27" s="145"/>
      <c r="D27" s="232" t="s">
        <v>333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1" max="1" width="0.6640625" customWidth="1"/>
    <col min="2" max="2" width="1.33203125" style="772" customWidth="1"/>
    <col min="3" max="3" width="22.6640625" customWidth="1"/>
    <col min="4" max="4" width="0.77734375" customWidth="1"/>
    <col min="5" max="5" width="21.44140625" customWidth="1"/>
    <col min="6" max="6" width="1.109375" customWidth="1"/>
    <col min="7" max="7" width="23.8867187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157</v>
      </c>
      <c r="E2" s="884" t="s">
        <v>9</v>
      </c>
      <c r="F2" s="884" t="s">
        <v>157</v>
      </c>
      <c r="G2" s="884" t="s">
        <v>9</v>
      </c>
    </row>
    <row r="4" spans="2:7">
      <c r="B4" s="885" t="s">
        <v>157</v>
      </c>
      <c r="C4" t="s">
        <v>800</v>
      </c>
      <c r="E4" t="s">
        <v>804</v>
      </c>
      <c r="G4" t="s">
        <v>801</v>
      </c>
    </row>
    <row r="5" spans="2:7">
      <c r="C5" s="193">
        <f>SUM(PGL_Nine_to_Nine!B34)</f>
        <v>201.429</v>
      </c>
      <c r="E5" s="1263">
        <f>SUM(PGL_Nine_to_Nine!F24)*2</f>
        <v>0</v>
      </c>
      <c r="G5" s="1263">
        <f>SUM(C5-E5)</f>
        <v>201.429</v>
      </c>
    </row>
    <row r="6" spans="2:7">
      <c r="B6" s="884" t="s">
        <v>9</v>
      </c>
      <c r="E6" t="s">
        <v>805</v>
      </c>
      <c r="G6" t="s">
        <v>806</v>
      </c>
    </row>
    <row r="7" spans="2:7">
      <c r="B7" s="884"/>
      <c r="E7" s="1263">
        <v>50</v>
      </c>
    </row>
    <row r="8" spans="2:7">
      <c r="B8" s="884" t="s">
        <v>9</v>
      </c>
      <c r="C8" t="s">
        <v>802</v>
      </c>
      <c r="G8" t="s">
        <v>803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topLeftCell="B1" workbookViewId="0">
      <selection activeCell="B6" sqref="B6:S6"/>
    </sheetView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335</v>
      </c>
      <c r="B1" s="51">
        <f>Weather_Input!A5</f>
        <v>37158</v>
      </c>
      <c r="C1" s="4"/>
    </row>
    <row r="2" spans="1:19">
      <c r="A2" s="109" t="s">
        <v>336</v>
      </c>
      <c r="B2" s="4"/>
      <c r="C2" s="4"/>
    </row>
    <row r="3" spans="1:19" ht="15.75">
      <c r="B3" s="201" t="s">
        <v>65</v>
      </c>
      <c r="C3" s="95"/>
      <c r="D3" s="6"/>
      <c r="E3" s="6"/>
      <c r="F3" s="6"/>
      <c r="G3" s="194"/>
      <c r="H3" s="95" t="s">
        <v>66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337</v>
      </c>
      <c r="C4" s="197"/>
      <c r="D4" s="193" t="s">
        <v>338</v>
      </c>
      <c r="E4" s="193" t="s">
        <v>338</v>
      </c>
      <c r="F4" s="6" t="s">
        <v>339</v>
      </c>
      <c r="G4" s="194"/>
      <c r="H4" s="6" t="s">
        <v>337</v>
      </c>
      <c r="I4" s="6"/>
      <c r="J4" s="193" t="s">
        <v>338</v>
      </c>
      <c r="K4" s="193" t="s">
        <v>338</v>
      </c>
      <c r="L4" s="6" t="s">
        <v>339</v>
      </c>
      <c r="M4" s="194"/>
      <c r="N4" s="6" t="s">
        <v>337</v>
      </c>
      <c r="O4" s="6"/>
      <c r="P4" s="193" t="s">
        <v>338</v>
      </c>
      <c r="Q4" s="193" t="s">
        <v>338</v>
      </c>
      <c r="R4" s="6" t="s">
        <v>339</v>
      </c>
      <c r="S4" s="6"/>
    </row>
    <row r="5" spans="1:19">
      <c r="A5" s="103"/>
      <c r="B5" s="203" t="s">
        <v>340</v>
      </c>
      <c r="C5" s="198" t="s">
        <v>341</v>
      </c>
      <c r="D5" s="195" t="s">
        <v>342</v>
      </c>
      <c r="E5" s="195" t="s">
        <v>343</v>
      </c>
      <c r="F5" s="195" t="s">
        <v>340</v>
      </c>
      <c r="G5" s="196" t="s">
        <v>341</v>
      </c>
      <c r="H5" s="195" t="s">
        <v>340</v>
      </c>
      <c r="I5" s="195" t="s">
        <v>341</v>
      </c>
      <c r="J5" s="195" t="s">
        <v>342</v>
      </c>
      <c r="K5" s="195" t="s">
        <v>343</v>
      </c>
      <c r="L5" s="195" t="s">
        <v>340</v>
      </c>
      <c r="M5" s="196" t="s">
        <v>341</v>
      </c>
      <c r="N5" s="195" t="s">
        <v>340</v>
      </c>
      <c r="O5" s="195" t="s">
        <v>341</v>
      </c>
      <c r="P5" s="195" t="s">
        <v>342</v>
      </c>
      <c r="Q5" s="195" t="s">
        <v>343</v>
      </c>
      <c r="R5" s="195" t="s">
        <v>340</v>
      </c>
      <c r="S5" s="195" t="s">
        <v>341</v>
      </c>
    </row>
    <row r="6" spans="1:19">
      <c r="A6" s="4">
        <f>B1-1</f>
        <v>37157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89203</v>
      </c>
      <c r="O6" s="199">
        <v>0</v>
      </c>
      <c r="P6" s="199">
        <v>57785621</v>
      </c>
      <c r="Q6" s="199">
        <v>15045098</v>
      </c>
      <c r="R6" s="199">
        <v>42740523</v>
      </c>
      <c r="S6" s="199">
        <v>0</v>
      </c>
    </row>
    <row r="7" spans="1:19">
      <c r="A7" s="4">
        <f>B1</f>
        <v>37158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89203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57874824</v>
      </c>
      <c r="Q7">
        <f>IF(O7&gt;0,Q6+O7,Q6)</f>
        <v>15045098</v>
      </c>
      <c r="R7">
        <f>IF(P7&gt;Q7,P7-Q7,0)</f>
        <v>42829726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344</v>
      </c>
      <c r="C1" s="3" t="s">
        <v>345</v>
      </c>
      <c r="D1" s="9" t="s">
        <v>346</v>
      </c>
    </row>
    <row r="2" spans="1:4">
      <c r="B2" s="3" t="s">
        <v>347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zoomScale="75" workbookViewId="0">
      <selection activeCell="C5" sqref="C5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9" width="7.88671875" customWidth="1"/>
    <col min="20" max="21" width="9.5546875" customWidth="1"/>
    <col min="22" max="36" width="7.88671875" customWidth="1"/>
    <col min="42" max="42" width="4.77734375" customWidth="1"/>
    <col min="43" max="52" width="7.88671875" customWidth="1"/>
    <col min="53" max="53" width="4.77734375" customWidth="1"/>
    <col min="58" max="58" width="4.77734375" customWidth="1"/>
    <col min="61" max="61" width="4.7773437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644</v>
      </c>
      <c r="BG1" t="s">
        <v>645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641</v>
      </c>
      <c r="BE2" t="s">
        <v>642</v>
      </c>
      <c r="BG2" s="994">
        <v>1</v>
      </c>
      <c r="BH2" s="193" t="s">
        <v>642</v>
      </c>
      <c r="BJ2" t="s">
        <v>748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371</v>
      </c>
      <c r="L3" s="3" t="s">
        <v>42</v>
      </c>
      <c r="M3" s="3" t="s">
        <v>42</v>
      </c>
      <c r="N3" s="3" t="s">
        <v>813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371</v>
      </c>
      <c r="V3" s="3" t="s">
        <v>13</v>
      </c>
      <c r="W3" s="3"/>
      <c r="X3" s="109"/>
      <c r="Y3" s="1"/>
      <c r="Z3" s="1" t="s">
        <v>489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629</v>
      </c>
      <c r="AR3" s="981"/>
      <c r="AS3" s="767" t="s">
        <v>630</v>
      </c>
      <c r="AT3" s="981"/>
      <c r="AU3" s="767" t="s">
        <v>631</v>
      </c>
      <c r="AV3" s="981"/>
      <c r="AW3" s="424" t="s">
        <v>169</v>
      </c>
      <c r="AX3" s="424" t="s">
        <v>169</v>
      </c>
      <c r="AY3" s="424"/>
      <c r="AZ3" s="424" t="s">
        <v>169</v>
      </c>
      <c r="BB3" s="119" t="s">
        <v>639</v>
      </c>
      <c r="BC3" s="119"/>
      <c r="BD3" s="159"/>
      <c r="BE3" s="119" t="s">
        <v>41</v>
      </c>
      <c r="BG3" s="994" t="s">
        <v>490</v>
      </c>
      <c r="BJ3" t="s">
        <v>747</v>
      </c>
    </row>
    <row r="4" spans="1:94">
      <c r="A4" s="1" t="s">
        <v>9</v>
      </c>
      <c r="B4" s="3" t="s">
        <v>24</v>
      </c>
      <c r="C4" s="3" t="s">
        <v>54</v>
      </c>
      <c r="D4" s="56" t="s">
        <v>9</v>
      </c>
      <c r="E4" s="3">
        <v>2</v>
      </c>
      <c r="F4" s="3">
        <v>3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372</v>
      </c>
      <c r="L4" s="3">
        <v>1</v>
      </c>
      <c r="M4" s="3">
        <v>2</v>
      </c>
      <c r="N4" s="3" t="s">
        <v>814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368</v>
      </c>
      <c r="V4" s="3" t="s">
        <v>54</v>
      </c>
      <c r="W4" s="3" t="s">
        <v>656</v>
      </c>
      <c r="X4" s="3" t="s">
        <v>65</v>
      </c>
      <c r="Y4" s="3" t="s">
        <v>66</v>
      </c>
      <c r="Z4" s="3" t="s">
        <v>516</v>
      </c>
      <c r="AA4" s="3" t="s">
        <v>517</v>
      </c>
      <c r="AB4" s="3" t="s">
        <v>681</v>
      </c>
      <c r="AC4" s="3" t="s">
        <v>762</v>
      </c>
      <c r="AD4" s="3" t="s">
        <v>57</v>
      </c>
      <c r="AE4" s="3" t="s">
        <v>67</v>
      </c>
      <c r="AF4" s="3" t="s">
        <v>68</v>
      </c>
      <c r="AG4" s="3" t="s">
        <v>69</v>
      </c>
      <c r="AH4" s="3" t="s">
        <v>68</v>
      </c>
      <c r="AI4" s="3" t="s">
        <v>69</v>
      </c>
      <c r="AJ4" s="3" t="s">
        <v>68</v>
      </c>
      <c r="AK4" s="153" t="s">
        <v>70</v>
      </c>
      <c r="AL4" s="153" t="s">
        <v>71</v>
      </c>
      <c r="AM4" s="153" t="s">
        <v>71</v>
      </c>
      <c r="AN4" s="153" t="s">
        <v>72</v>
      </c>
      <c r="AO4" s="153" t="s">
        <v>73</v>
      </c>
      <c r="AP4" s="1"/>
      <c r="AQ4" s="980" t="s">
        <v>627</v>
      </c>
      <c r="AR4" s="3" t="s">
        <v>628</v>
      </c>
      <c r="AS4" s="3" t="s">
        <v>627</v>
      </c>
      <c r="AT4" s="3" t="s">
        <v>628</v>
      </c>
      <c r="AU4" s="3" t="s">
        <v>627</v>
      </c>
      <c r="AV4" s="3" t="s">
        <v>628</v>
      </c>
      <c r="AW4" s="424" t="s">
        <v>188</v>
      </c>
      <c r="AX4" s="424" t="s">
        <v>654</v>
      </c>
      <c r="AY4" s="424" t="s">
        <v>197</v>
      </c>
      <c r="AZ4" s="424" t="s">
        <v>626</v>
      </c>
      <c r="BA4" s="1"/>
      <c r="BB4" s="995" t="s">
        <v>40</v>
      </c>
      <c r="BC4" s="996" t="s">
        <v>41</v>
      </c>
      <c r="BD4" s="997" t="s">
        <v>638</v>
      </c>
      <c r="BE4" s="997" t="s">
        <v>643</v>
      </c>
      <c r="BG4" s="193" t="s">
        <v>368</v>
      </c>
      <c r="BH4" s="193" t="s">
        <v>640</v>
      </c>
      <c r="BI4" s="1"/>
      <c r="BJ4" s="1" t="s">
        <v>749</v>
      </c>
      <c r="BK4" s="1" t="s">
        <v>750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37158</v>
      </c>
      <c r="B5" s="1">
        <f>(Weather_Input!B5+Weather_Input!C5)/2</f>
        <v>48</v>
      </c>
      <c r="C5" s="868">
        <v>285000</v>
      </c>
      <c r="D5" s="869">
        <v>0</v>
      </c>
      <c r="E5" s="869">
        <v>0</v>
      </c>
      <c r="F5" s="869">
        <v>0</v>
      </c>
      <c r="G5" s="869">
        <v>0</v>
      </c>
      <c r="H5" s="869">
        <v>0</v>
      </c>
      <c r="I5" s="869">
        <v>0</v>
      </c>
      <c r="J5" s="869">
        <v>0</v>
      </c>
      <c r="K5" s="869">
        <v>0</v>
      </c>
      <c r="L5" s="869">
        <v>0</v>
      </c>
      <c r="M5" s="869">
        <v>0</v>
      </c>
      <c r="N5" s="869">
        <v>0</v>
      </c>
      <c r="O5" s="869">
        <v>0</v>
      </c>
      <c r="P5" s="869">
        <v>0</v>
      </c>
      <c r="Q5" s="869">
        <v>0</v>
      </c>
      <c r="R5" s="869">
        <v>0</v>
      </c>
      <c r="S5" s="869">
        <v>472</v>
      </c>
      <c r="T5" s="874">
        <v>1410</v>
      </c>
      <c r="U5" s="1047">
        <v>0</v>
      </c>
      <c r="V5" s="868">
        <f>SUM(D5:T5)-U5</f>
        <v>1882</v>
      </c>
      <c r="W5" s="868">
        <v>88050</v>
      </c>
      <c r="X5" s="11">
        <v>0</v>
      </c>
      <c r="Y5" s="11">
        <v>0</v>
      </c>
      <c r="Z5" s="11">
        <v>0</v>
      </c>
      <c r="AA5" s="11">
        <v>200343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18268</v>
      </c>
      <c r="AM5" s="11">
        <v>0</v>
      </c>
      <c r="AN5" s="11">
        <v>0</v>
      </c>
      <c r="AO5" s="1">
        <v>1019</v>
      </c>
      <c r="AP5" s="1"/>
      <c r="AQ5" s="1">
        <v>37216</v>
      </c>
      <c r="AR5" s="1">
        <v>0</v>
      </c>
      <c r="AS5" s="1">
        <v>32620</v>
      </c>
      <c r="AT5" s="1">
        <v>0</v>
      </c>
      <c r="AU5" s="1">
        <v>0</v>
      </c>
      <c r="AV5" s="1">
        <v>418</v>
      </c>
      <c r="AW5" s="1">
        <v>116290</v>
      </c>
      <c r="AX5" s="1">
        <v>620</v>
      </c>
      <c r="AY5" s="610">
        <f>AW5*0.015</f>
        <v>1744.35</v>
      </c>
      <c r="AZ5" s="1">
        <v>0</v>
      </c>
      <c r="BA5" s="1"/>
      <c r="BB5" s="1">
        <v>0</v>
      </c>
      <c r="BC5" s="1">
        <v>0</v>
      </c>
      <c r="BD5" s="1">
        <v>0</v>
      </c>
      <c r="BE5" s="1">
        <v>0</v>
      </c>
      <c r="BF5" s="1"/>
      <c r="BG5" s="1">
        <v>0</v>
      </c>
      <c r="BH5" s="1">
        <v>0</v>
      </c>
      <c r="BI5" s="1"/>
      <c r="BJ5" s="1">
        <v>0</v>
      </c>
      <c r="BK5" s="1">
        <v>0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37159</v>
      </c>
      <c r="B6" s="886">
        <f>(Weather_Input!B6+Weather_Input!C6)/2</f>
        <v>50</v>
      </c>
      <c r="C6" s="868">
        <v>300000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625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37160</v>
      </c>
      <c r="B7" s="886">
        <f>(Weather_Input!B7+Weather_Input!C7)/2</f>
        <v>52.5</v>
      </c>
      <c r="C7" s="868">
        <v>285000</v>
      </c>
      <c r="D7" s="870" t="s">
        <v>9</v>
      </c>
      <c r="E7" s="871"/>
      <c r="F7" s="871"/>
      <c r="G7" s="871"/>
      <c r="H7" s="872" t="s">
        <v>74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499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37161</v>
      </c>
      <c r="B8" s="886">
        <f>(Weather_Input!B8+Weather_Input!C8)/2</f>
        <v>54</v>
      </c>
      <c r="C8" s="868">
        <v>260000</v>
      </c>
      <c r="D8" s="870" t="s">
        <v>9</v>
      </c>
      <c r="E8" s="871" t="s">
        <v>9</v>
      </c>
      <c r="F8" s="871"/>
      <c r="G8" s="871"/>
      <c r="H8" s="873" t="s">
        <v>75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500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37162</v>
      </c>
      <c r="B9" s="886">
        <f>(Weather_Input!B9+Weather_Input!C9)/2</f>
        <v>56</v>
      </c>
      <c r="C9" s="868">
        <v>240000</v>
      </c>
      <c r="D9" s="870" t="s">
        <v>9</v>
      </c>
      <c r="E9" s="871"/>
      <c r="F9" s="871"/>
      <c r="G9" s="871"/>
      <c r="H9" s="871" t="s">
        <v>76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501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37163</v>
      </c>
      <c r="B10" s="886">
        <f>(Weather_Input!B10+Weather_Input!C10)/2</f>
        <v>56</v>
      </c>
      <c r="C10" s="868">
        <v>225000</v>
      </c>
      <c r="D10" s="870" t="s">
        <v>9</v>
      </c>
      <c r="E10" s="871" t="s">
        <v>9</v>
      </c>
      <c r="F10" s="871"/>
      <c r="G10" s="871"/>
      <c r="H10" s="871" t="s">
        <v>77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504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502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503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505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506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507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157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C5" sqref="C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65</v>
      </c>
      <c r="N1" s="1" t="s">
        <v>65</v>
      </c>
    </row>
    <row r="2" spans="1:14" ht="15">
      <c r="K2" t="s">
        <v>623</v>
      </c>
      <c r="L2" t="s">
        <v>623</v>
      </c>
      <c r="M2" t="s">
        <v>623</v>
      </c>
      <c r="N2" t="s">
        <v>623</v>
      </c>
    </row>
    <row r="3" spans="1:14" ht="15">
      <c r="B3" s="11" t="s">
        <v>37</v>
      </c>
      <c r="D3" s="3" t="s">
        <v>78</v>
      </c>
      <c r="F3" s="3" t="s">
        <v>565</v>
      </c>
      <c r="G3" s="153" t="s">
        <v>79</v>
      </c>
      <c r="H3" s="3" t="s">
        <v>13</v>
      </c>
      <c r="I3" s="153" t="s">
        <v>80</v>
      </c>
      <c r="K3" t="s">
        <v>624</v>
      </c>
      <c r="L3" t="s">
        <v>624</v>
      </c>
      <c r="M3" t="s">
        <v>624</v>
      </c>
      <c r="N3" t="s">
        <v>624</v>
      </c>
    </row>
    <row r="4" spans="1:14">
      <c r="B4" s="11" t="s">
        <v>81</v>
      </c>
      <c r="C4" s="1" t="s">
        <v>54</v>
      </c>
      <c r="D4" s="3" t="s">
        <v>82</v>
      </c>
      <c r="E4" s="3" t="s">
        <v>83</v>
      </c>
      <c r="F4" s="3" t="s">
        <v>82</v>
      </c>
      <c r="G4" s="153" t="s">
        <v>82</v>
      </c>
      <c r="H4" s="3" t="s">
        <v>54</v>
      </c>
      <c r="I4" s="153" t="s">
        <v>84</v>
      </c>
      <c r="K4" s="1" t="s">
        <v>621</v>
      </c>
      <c r="L4" s="1" t="s">
        <v>622</v>
      </c>
      <c r="M4" s="1" t="s">
        <v>621</v>
      </c>
      <c r="N4" s="1" t="s">
        <v>622</v>
      </c>
    </row>
    <row r="5" spans="1:14">
      <c r="A5" s="12">
        <f>Weather_Input!A5</f>
        <v>37158</v>
      </c>
      <c r="B5" s="1">
        <f>(Weather_Input!B5+Weather_Input!C5)/2</f>
        <v>48</v>
      </c>
      <c r="C5" s="868">
        <v>56000</v>
      </c>
      <c r="D5" s="868">
        <v>0</v>
      </c>
      <c r="E5" s="868">
        <v>0</v>
      </c>
      <c r="F5" s="868">
        <v>0</v>
      </c>
      <c r="G5" s="868">
        <v>0</v>
      </c>
      <c r="H5" s="876">
        <f>SUM(D5:G5)</f>
        <v>0</v>
      </c>
      <c r="I5" s="1">
        <v>1005</v>
      </c>
      <c r="J5" s="1" t="s">
        <v>9</v>
      </c>
      <c r="K5" s="1">
        <v>540</v>
      </c>
      <c r="L5" s="1">
        <v>0</v>
      </c>
      <c r="M5" s="1">
        <v>13568</v>
      </c>
      <c r="N5" s="1">
        <v>0</v>
      </c>
    </row>
    <row r="6" spans="1:14">
      <c r="A6" s="12">
        <f>A5+1</f>
        <v>37159</v>
      </c>
      <c r="B6" s="886">
        <f>(Weather_Input!B6+Weather_Input!C6)/2</f>
        <v>50</v>
      </c>
      <c r="C6" s="868">
        <v>60000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37160</v>
      </c>
      <c r="B7" s="886">
        <f>(Weather_Input!B7+Weather_Input!C7)/2</f>
        <v>52.5</v>
      </c>
      <c r="C7" s="868">
        <v>56000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37161</v>
      </c>
      <c r="B8" s="886">
        <f>(Weather_Input!B8+Weather_Input!C8)/2</f>
        <v>54</v>
      </c>
      <c r="C8" s="868">
        <v>53000</v>
      </c>
      <c r="D8" s="871" t="s">
        <v>9</v>
      </c>
      <c r="E8" s="871"/>
      <c r="F8" s="871"/>
      <c r="G8" s="871"/>
      <c r="H8" s="15"/>
    </row>
    <row r="9" spans="1:14">
      <c r="A9" s="12">
        <f>A8+1</f>
        <v>37162</v>
      </c>
      <c r="B9" s="886">
        <f>(Weather_Input!B9+Weather_Input!C9)/2</f>
        <v>56</v>
      </c>
      <c r="C9" s="868">
        <v>49000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37163</v>
      </c>
      <c r="B10" s="886">
        <f>(Weather_Input!B10+Weather_Input!C10)/2</f>
        <v>56</v>
      </c>
      <c r="C10" s="868">
        <v>46000</v>
      </c>
      <c r="D10" s="871" t="s">
        <v>9</v>
      </c>
      <c r="E10" s="871"/>
      <c r="F10" s="871"/>
      <c r="G10" s="871"/>
      <c r="H10" s="15"/>
    </row>
    <row r="11" spans="1:14">
      <c r="A11" s="1" t="s">
        <v>157</v>
      </c>
      <c r="C11" s="106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I20"/>
  <sheetViews>
    <sheetView zoomScale="75" workbookViewId="0">
      <selection activeCell="B7" sqref="B7"/>
    </sheetView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3" width="9" bestFit="1" customWidth="1"/>
    <col min="34" max="34" width="10.109375" bestFit="1" customWidth="1"/>
  </cols>
  <sheetData>
    <row r="1" spans="1:87">
      <c r="A1" s="10"/>
      <c r="B1" s="5"/>
      <c r="C1" s="5"/>
      <c r="D1" s="5"/>
      <c r="E1" s="5"/>
      <c r="F1" s="5"/>
      <c r="G1" s="5"/>
    </row>
    <row r="2" spans="1:87" s="1" customFormat="1" ht="12.75">
      <c r="A2" s="10"/>
      <c r="B2" s="10"/>
      <c r="C2" s="10"/>
      <c r="D2" s="10"/>
      <c r="E2" s="10"/>
      <c r="F2" s="10"/>
      <c r="G2" s="10"/>
    </row>
    <row r="3" spans="1:87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69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7" s="1" customFormat="1" ht="12.75">
      <c r="B4" s="63"/>
      <c r="E4" s="63"/>
      <c r="F4" s="63"/>
      <c r="G4" s="1067">
        <v>1</v>
      </c>
      <c r="H4" s="3" t="s">
        <v>1</v>
      </c>
      <c r="I4" s="3" t="s">
        <v>664</v>
      </c>
      <c r="J4" s="3" t="s">
        <v>640</v>
      </c>
      <c r="L4" s="3" t="s">
        <v>738</v>
      </c>
      <c r="M4" s="3" t="s">
        <v>757</v>
      </c>
      <c r="N4" s="58"/>
      <c r="O4" s="65"/>
      <c r="P4" s="65"/>
      <c r="T4" s="1195" t="s">
        <v>751</v>
      </c>
      <c r="U4" s="1018"/>
      <c r="V4" s="1161" t="s">
        <v>715</v>
      </c>
      <c r="W4" s="1162"/>
      <c r="X4" s="1163"/>
      <c r="Y4" s="53"/>
      <c r="Z4" s="53"/>
      <c r="AA4" s="53"/>
      <c r="AB4" s="55" t="s">
        <v>88</v>
      </c>
      <c r="AC4" s="53"/>
      <c r="AD4" s="53"/>
      <c r="AE4" s="72"/>
      <c r="AF4" s="3" t="s">
        <v>384</v>
      </c>
    </row>
    <row r="5" spans="1:87" s="1" customFormat="1" ht="12.75">
      <c r="B5" s="66" t="s">
        <v>89</v>
      </c>
      <c r="E5" s="243"/>
      <c r="F5" s="66" t="s">
        <v>9</v>
      </c>
      <c r="G5" s="773" t="s">
        <v>736</v>
      </c>
      <c r="H5" s="107" t="s">
        <v>636</v>
      </c>
      <c r="I5" s="54" t="s">
        <v>656</v>
      </c>
      <c r="J5" s="3" t="s">
        <v>687</v>
      </c>
      <c r="L5" s="3" t="s">
        <v>739</v>
      </c>
      <c r="M5" s="56" t="s">
        <v>758</v>
      </c>
      <c r="N5" s="115" t="s">
        <v>36</v>
      </c>
      <c r="O5" s="3" t="s">
        <v>53</v>
      </c>
      <c r="P5" s="3" t="s">
        <v>57</v>
      </c>
      <c r="Q5" s="3" t="s">
        <v>57</v>
      </c>
      <c r="R5" s="3" t="s">
        <v>36</v>
      </c>
      <c r="S5" s="3" t="s">
        <v>169</v>
      </c>
      <c r="T5" s="3" t="s">
        <v>86</v>
      </c>
      <c r="U5" s="3" t="s">
        <v>86</v>
      </c>
      <c r="V5" s="56" t="s">
        <v>716</v>
      </c>
      <c r="W5" s="56" t="s">
        <v>719</v>
      </c>
      <c r="X5" s="3" t="s">
        <v>720</v>
      </c>
      <c r="Y5" s="3" t="s">
        <v>92</v>
      </c>
      <c r="Z5" s="3" t="s">
        <v>92</v>
      </c>
      <c r="AA5" s="3" t="s">
        <v>92</v>
      </c>
      <c r="AB5" s="56" t="s">
        <v>92</v>
      </c>
      <c r="AC5" s="3" t="s">
        <v>92</v>
      </c>
      <c r="AD5" s="3" t="s">
        <v>92</v>
      </c>
      <c r="AE5" s="56" t="s">
        <v>92</v>
      </c>
      <c r="AF5" s="3" t="s">
        <v>92</v>
      </c>
      <c r="AG5" s="3" t="s">
        <v>92</v>
      </c>
    </row>
    <row r="6" spans="1:87" s="1" customFormat="1" ht="12.75">
      <c r="A6" s="67"/>
      <c r="B6" s="68" t="s">
        <v>93</v>
      </c>
      <c r="C6" s="54" t="s">
        <v>88</v>
      </c>
      <c r="D6" s="54" t="s">
        <v>384</v>
      </c>
      <c r="E6" s="244" t="s">
        <v>91</v>
      </c>
      <c r="F6" s="54" t="s">
        <v>94</v>
      </c>
      <c r="G6" s="774" t="s">
        <v>737</v>
      </c>
      <c r="H6" s="982" t="s">
        <v>637</v>
      </c>
      <c r="I6" s="54" t="s">
        <v>663</v>
      </c>
      <c r="J6" s="54" t="s">
        <v>686</v>
      </c>
      <c r="K6" s="54" t="s">
        <v>731</v>
      </c>
      <c r="L6" s="54" t="s">
        <v>66</v>
      </c>
      <c r="M6" s="54" t="s">
        <v>756</v>
      </c>
      <c r="N6" s="81" t="s">
        <v>86</v>
      </c>
      <c r="O6" s="54" t="s">
        <v>57</v>
      </c>
      <c r="P6" s="54" t="s">
        <v>96</v>
      </c>
      <c r="Q6" s="54" t="s">
        <v>651</v>
      </c>
      <c r="R6" s="54" t="s">
        <v>98</v>
      </c>
      <c r="S6" s="54" t="s">
        <v>633</v>
      </c>
      <c r="T6" s="54" t="s">
        <v>733</v>
      </c>
      <c r="U6" s="68" t="s">
        <v>752</v>
      </c>
      <c r="V6" s="1164" t="s">
        <v>717</v>
      </c>
      <c r="W6" s="1164" t="s">
        <v>718</v>
      </c>
      <c r="X6" s="54">
        <v>9</v>
      </c>
      <c r="Y6" s="54" t="s">
        <v>65</v>
      </c>
      <c r="Z6" s="54" t="s">
        <v>88</v>
      </c>
      <c r="AA6" s="54" t="s">
        <v>384</v>
      </c>
      <c r="AB6" s="54" t="s">
        <v>65</v>
      </c>
      <c r="AC6" s="54" t="s">
        <v>36</v>
      </c>
      <c r="AD6" s="54" t="s">
        <v>88</v>
      </c>
      <c r="AE6" s="54" t="s">
        <v>65</v>
      </c>
      <c r="AF6" s="54" t="s">
        <v>36</v>
      </c>
      <c r="AG6" s="54" t="s">
        <v>88</v>
      </c>
    </row>
    <row r="7" spans="1:87" s="1" customFormat="1" ht="12.75">
      <c r="A7" s="798">
        <f>Weather_Input!A5</f>
        <v>37158</v>
      </c>
      <c r="B7" s="877">
        <v>0</v>
      </c>
      <c r="C7" s="608">
        <v>0</v>
      </c>
      <c r="D7" s="608">
        <v>0</v>
      </c>
      <c r="E7" s="877">
        <v>1010</v>
      </c>
      <c r="F7" s="877">
        <v>0</v>
      </c>
      <c r="G7" s="879">
        <v>0</v>
      </c>
      <c r="H7" s="607">
        <v>0</v>
      </c>
      <c r="I7" s="607">
        <v>0</v>
      </c>
      <c r="J7" s="608">
        <v>0</v>
      </c>
      <c r="K7" s="607">
        <v>0</v>
      </c>
      <c r="L7" s="608">
        <v>0</v>
      </c>
      <c r="M7" s="608">
        <v>0</v>
      </c>
      <c r="N7" s="609">
        <v>30000</v>
      </c>
      <c r="O7" s="608">
        <v>110000</v>
      </c>
      <c r="P7" s="610">
        <f t="shared" ref="P7:P12" si="0">O7*0.015</f>
        <v>1650</v>
      </c>
      <c r="Q7" s="608">
        <v>620</v>
      </c>
      <c r="R7" s="608">
        <v>0</v>
      </c>
      <c r="S7" s="608">
        <v>0</v>
      </c>
      <c r="T7" s="607">
        <v>0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798">
        <f t="shared" ref="AH7:AH12" si="1">AH6+1</f>
        <v>1</v>
      </c>
    </row>
    <row r="8" spans="1:87" s="1" customFormat="1" ht="12.75">
      <c r="A8" s="798">
        <f>A7+1</f>
        <v>37159</v>
      </c>
      <c r="B8" s="877">
        <v>0</v>
      </c>
      <c r="C8" s="608">
        <v>0</v>
      </c>
      <c r="D8" s="608">
        <v>0</v>
      </c>
      <c r="E8" s="877">
        <v>1010</v>
      </c>
      <c r="F8" s="877">
        <v>0</v>
      </c>
      <c r="G8" s="879">
        <v>0</v>
      </c>
      <c r="H8" s="607">
        <v>0</v>
      </c>
      <c r="I8" s="607">
        <v>0</v>
      </c>
      <c r="J8" s="608">
        <v>0</v>
      </c>
      <c r="K8" s="607">
        <v>0</v>
      </c>
      <c r="L8" s="608">
        <v>0</v>
      </c>
      <c r="M8" s="608">
        <v>0</v>
      </c>
      <c r="N8" s="609">
        <v>30000</v>
      </c>
      <c r="O8" s="608">
        <v>110000</v>
      </c>
      <c r="P8" s="610">
        <f t="shared" si="0"/>
        <v>1650</v>
      </c>
      <c r="Q8" s="608">
        <v>620</v>
      </c>
      <c r="R8" s="608">
        <v>0</v>
      </c>
      <c r="S8" s="608">
        <v>0</v>
      </c>
      <c r="T8" s="607">
        <v>0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798">
        <f t="shared" si="1"/>
        <v>2</v>
      </c>
      <c r="AJ8" s="607"/>
      <c r="AK8" s="607"/>
      <c r="AM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</row>
    <row r="9" spans="1:87" s="1" customFormat="1" ht="12.75">
      <c r="A9" s="798">
        <f>A8+1</f>
        <v>37160</v>
      </c>
      <c r="B9" s="877">
        <v>0</v>
      </c>
      <c r="C9" s="608">
        <v>0</v>
      </c>
      <c r="D9" s="608">
        <v>0</v>
      </c>
      <c r="E9" s="877">
        <v>1010</v>
      </c>
      <c r="F9" s="877">
        <v>0</v>
      </c>
      <c r="G9" s="879">
        <v>0</v>
      </c>
      <c r="H9" s="607">
        <v>0</v>
      </c>
      <c r="I9" s="607">
        <v>0</v>
      </c>
      <c r="J9" s="608">
        <v>0</v>
      </c>
      <c r="K9" s="607">
        <v>0</v>
      </c>
      <c r="L9" s="608">
        <v>0</v>
      </c>
      <c r="M9" s="608">
        <v>0</v>
      </c>
      <c r="N9" s="609">
        <v>30000</v>
      </c>
      <c r="O9" s="608">
        <v>110000</v>
      </c>
      <c r="P9" s="610">
        <f t="shared" si="0"/>
        <v>1650</v>
      </c>
      <c r="Q9" s="608">
        <v>620</v>
      </c>
      <c r="R9" s="608">
        <v>0</v>
      </c>
      <c r="S9" s="608">
        <v>0</v>
      </c>
      <c r="T9" s="607">
        <v>0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798">
        <f t="shared" si="1"/>
        <v>3</v>
      </c>
      <c r="AL9" s="607"/>
    </row>
    <row r="10" spans="1:87" s="1" customFormat="1" ht="12.75">
      <c r="A10" s="798">
        <f>A9+1</f>
        <v>37161</v>
      </c>
      <c r="B10" s="877">
        <v>0</v>
      </c>
      <c r="C10" s="608">
        <v>0</v>
      </c>
      <c r="D10" s="608">
        <v>0</v>
      </c>
      <c r="E10" s="877">
        <v>1010</v>
      </c>
      <c r="F10" s="877">
        <v>0</v>
      </c>
      <c r="G10" s="879">
        <v>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30000</v>
      </c>
      <c r="O10" s="608">
        <v>110000</v>
      </c>
      <c r="P10" s="610">
        <f t="shared" si="0"/>
        <v>1650</v>
      </c>
      <c r="Q10" s="608">
        <v>620</v>
      </c>
      <c r="R10" s="608">
        <v>0</v>
      </c>
      <c r="S10" s="608">
        <v>0</v>
      </c>
      <c r="T10" s="607">
        <v>0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798">
        <f t="shared" si="1"/>
        <v>4</v>
      </c>
    </row>
    <row r="11" spans="1:87" s="1" customFormat="1" ht="12.75">
      <c r="A11" s="798">
        <f>A10+1</f>
        <v>37162</v>
      </c>
      <c r="B11" s="877">
        <v>0</v>
      </c>
      <c r="C11" s="608">
        <v>0</v>
      </c>
      <c r="D11" s="608">
        <v>0</v>
      </c>
      <c r="E11" s="877">
        <v>1010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30000</v>
      </c>
      <c r="O11" s="608">
        <v>110000</v>
      </c>
      <c r="P11" s="610">
        <f t="shared" si="0"/>
        <v>1650</v>
      </c>
      <c r="Q11" s="608">
        <v>620</v>
      </c>
      <c r="R11" s="608">
        <v>0</v>
      </c>
      <c r="S11" s="608">
        <v>0</v>
      </c>
      <c r="T11" s="607">
        <v>0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798">
        <f t="shared" si="1"/>
        <v>5</v>
      </c>
    </row>
    <row r="12" spans="1:87" s="1" customFormat="1" ht="12.75">
      <c r="A12" s="798">
        <f>A11+1</f>
        <v>37163</v>
      </c>
      <c r="B12" s="877">
        <v>0</v>
      </c>
      <c r="C12" s="608">
        <v>0</v>
      </c>
      <c r="D12" s="608">
        <v>0</v>
      </c>
      <c r="E12" s="877">
        <v>1010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30000</v>
      </c>
      <c r="O12" s="608">
        <v>110000</v>
      </c>
      <c r="P12" s="610">
        <f t="shared" si="0"/>
        <v>1650</v>
      </c>
      <c r="Q12" s="608">
        <v>620</v>
      </c>
      <c r="R12" s="608">
        <v>0</v>
      </c>
      <c r="S12" s="608">
        <v>0</v>
      </c>
      <c r="T12" s="607">
        <v>0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798">
        <f t="shared" si="1"/>
        <v>6</v>
      </c>
    </row>
    <row r="13" spans="1:87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</row>
    <row r="14" spans="1:87">
      <c r="A14" s="1"/>
      <c r="B14" s="1"/>
      <c r="C14" s="1" t="s">
        <v>616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</row>
    <row r="15" spans="1:87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</row>
    <row r="16" spans="1:87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</row>
    <row r="17" spans="14:19">
      <c r="S17" s="608"/>
    </row>
    <row r="20" spans="14:19">
      <c r="N20" t="s">
        <v>821</v>
      </c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>
      <selection activeCell="B7" sqref="B7"/>
    </sheetView>
  </sheetViews>
  <sheetFormatPr defaultColWidth="8.77734375" defaultRowHeight="12.75"/>
  <cols>
    <col min="1" max="14" width="8.77734375" style="1" customWidth="1"/>
    <col min="15" max="15" width="9.5546875" style="1" customWidth="1"/>
    <col min="16" max="17" width="8.77734375" style="1" customWidth="1"/>
    <col min="18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100</v>
      </c>
      <c r="H3" s="53"/>
      <c r="I3" s="58"/>
      <c r="J3" s="58"/>
      <c r="K3" s="55"/>
      <c r="L3" s="52" t="s">
        <v>102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103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757</v>
      </c>
      <c r="P4" s="1195" t="s">
        <v>735</v>
      </c>
      <c r="Q4" s="1018"/>
      <c r="R4" s="56" t="s">
        <v>809</v>
      </c>
      <c r="S4" s="66" t="s">
        <v>53</v>
      </c>
      <c r="U4" s="3" t="s">
        <v>672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755</v>
      </c>
      <c r="N5" s="3" t="s">
        <v>9</v>
      </c>
      <c r="O5" s="3" t="s">
        <v>6</v>
      </c>
      <c r="P5" s="107" t="s">
        <v>733</v>
      </c>
      <c r="Q5" s="1196" t="s">
        <v>734</v>
      </c>
      <c r="R5" s="56" t="s">
        <v>736</v>
      </c>
      <c r="S5" s="66" t="s">
        <v>807</v>
      </c>
      <c r="T5" s="107" t="s">
        <v>636</v>
      </c>
      <c r="U5" s="3" t="s">
        <v>670</v>
      </c>
      <c r="V5" s="3"/>
      <c r="W5" s="59" t="s">
        <v>656</v>
      </c>
      <c r="X5" s="63"/>
      <c r="Y5" s="3"/>
      <c r="Z5" s="3"/>
      <c r="AA5" s="3"/>
      <c r="AD5" s="66" t="s">
        <v>460</v>
      </c>
    </row>
    <row r="6" spans="1:36">
      <c r="B6" s="54" t="s">
        <v>104</v>
      </c>
      <c r="C6" s="54" t="s">
        <v>88</v>
      </c>
      <c r="D6" s="54" t="s">
        <v>384</v>
      </c>
      <c r="E6" s="54" t="s">
        <v>368</v>
      </c>
      <c r="F6" s="68" t="s">
        <v>91</v>
      </c>
      <c r="G6" s="54" t="s">
        <v>89</v>
      </c>
      <c r="H6" s="54" t="s">
        <v>71</v>
      </c>
      <c r="I6" s="54" t="s">
        <v>58</v>
      </c>
      <c r="J6" s="68" t="s">
        <v>72</v>
      </c>
      <c r="K6" s="54" t="s">
        <v>617</v>
      </c>
      <c r="L6" s="57" t="s">
        <v>57</v>
      </c>
      <c r="M6" s="54" t="s">
        <v>756</v>
      </c>
      <c r="N6" s="54" t="s">
        <v>9</v>
      </c>
      <c r="O6" s="1025" t="s">
        <v>5</v>
      </c>
      <c r="P6" s="983" t="s">
        <v>86</v>
      </c>
      <c r="Q6" s="983" t="s">
        <v>86</v>
      </c>
      <c r="R6" s="57" t="s">
        <v>810</v>
      </c>
      <c r="S6" s="68" t="s">
        <v>808</v>
      </c>
      <c r="T6" s="983" t="s">
        <v>637</v>
      </c>
      <c r="U6" s="54" t="s">
        <v>671</v>
      </c>
      <c r="V6" s="54" t="s">
        <v>9</v>
      </c>
      <c r="W6" s="1017" t="s">
        <v>660</v>
      </c>
      <c r="X6" s="68" t="s">
        <v>656</v>
      </c>
      <c r="Y6" s="54" t="s">
        <v>65</v>
      </c>
      <c r="Z6" s="54" t="s">
        <v>88</v>
      </c>
      <c r="AA6" s="54" t="s">
        <v>384</v>
      </c>
      <c r="AB6" s="54" t="s">
        <v>36</v>
      </c>
      <c r="AC6" s="54" t="s">
        <v>91</v>
      </c>
      <c r="AD6" s="68" t="s">
        <v>459</v>
      </c>
    </row>
    <row r="7" spans="1:36">
      <c r="A7" s="798">
        <f>Weather_Input!A5</f>
        <v>37158</v>
      </c>
      <c r="B7" s="610">
        <v>36070</v>
      </c>
      <c r="C7" s="610">
        <v>0</v>
      </c>
      <c r="D7" s="610">
        <v>0</v>
      </c>
      <c r="E7" s="610">
        <v>0</v>
      </c>
      <c r="F7" s="877">
        <v>0</v>
      </c>
      <c r="G7" s="608">
        <v>1000</v>
      </c>
      <c r="H7" s="608">
        <v>20000</v>
      </c>
      <c r="I7" s="608">
        <v>0</v>
      </c>
      <c r="J7" s="880">
        <v>0</v>
      </c>
      <c r="K7" s="609">
        <v>0</v>
      </c>
      <c r="L7" s="881">
        <v>0</v>
      </c>
      <c r="M7" s="608">
        <v>0</v>
      </c>
      <c r="N7" s="608">
        <v>0</v>
      </c>
      <c r="O7" s="608">
        <v>0</v>
      </c>
      <c r="P7" s="608">
        <v>0</v>
      </c>
      <c r="Q7" s="880">
        <v>0</v>
      </c>
      <c r="R7" s="1265">
        <v>10000</v>
      </c>
      <c r="S7" s="1266">
        <v>5000</v>
      </c>
      <c r="T7" s="608">
        <v>0</v>
      </c>
      <c r="U7" s="609">
        <v>152060</v>
      </c>
      <c r="V7" s="609">
        <v>0</v>
      </c>
      <c r="W7" s="607">
        <v>0</v>
      </c>
      <c r="X7" s="880">
        <v>88193</v>
      </c>
      <c r="Y7" s="609">
        <v>25425</v>
      </c>
      <c r="Z7" s="1">
        <v>0</v>
      </c>
      <c r="AA7" s="607">
        <v>196429</v>
      </c>
      <c r="AB7" s="607">
        <v>55155</v>
      </c>
      <c r="AC7" s="607">
        <v>1010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37159</v>
      </c>
      <c r="B8" s="610">
        <v>0</v>
      </c>
      <c r="C8" s="610">
        <v>0</v>
      </c>
      <c r="D8" s="610">
        <v>0</v>
      </c>
      <c r="E8" s="610">
        <v>0</v>
      </c>
      <c r="F8" s="877">
        <v>0</v>
      </c>
      <c r="G8" s="608">
        <v>1000</v>
      </c>
      <c r="H8" s="608">
        <v>20000</v>
      </c>
      <c r="I8" s="608">
        <v>0</v>
      </c>
      <c r="J8" s="880">
        <v>0</v>
      </c>
      <c r="K8" s="609">
        <v>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5">
        <v>0</v>
      </c>
      <c r="S8" s="1266">
        <v>0</v>
      </c>
      <c r="T8" s="608">
        <v>0</v>
      </c>
      <c r="U8" s="609">
        <v>142403</v>
      </c>
      <c r="V8" s="609">
        <v>0</v>
      </c>
      <c r="W8" s="607">
        <v>0</v>
      </c>
      <c r="X8" s="880">
        <v>92525</v>
      </c>
      <c r="Y8" s="609">
        <v>25425</v>
      </c>
      <c r="Z8" s="1">
        <v>0</v>
      </c>
      <c r="AA8" s="607">
        <v>235464</v>
      </c>
      <c r="AB8" s="607">
        <v>47030</v>
      </c>
      <c r="AC8" s="607">
        <v>1010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37160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20000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5">
        <v>0</v>
      </c>
      <c r="S9" s="1266">
        <v>0</v>
      </c>
      <c r="T9" s="608">
        <v>0</v>
      </c>
      <c r="U9" s="609">
        <v>142403</v>
      </c>
      <c r="V9" s="609">
        <v>0</v>
      </c>
      <c r="W9" s="607">
        <v>0</v>
      </c>
      <c r="X9" s="880">
        <v>92525</v>
      </c>
      <c r="Y9" s="609">
        <v>25425</v>
      </c>
      <c r="Z9" s="1">
        <v>0</v>
      </c>
      <c r="AA9" s="607">
        <v>235464</v>
      </c>
      <c r="AB9" s="607">
        <v>47030</v>
      </c>
      <c r="AC9" s="607">
        <v>1010</v>
      </c>
      <c r="AD9" s="880">
        <v>0</v>
      </c>
      <c r="AE9" s="798">
        <f t="shared" si="0"/>
        <v>3</v>
      </c>
    </row>
    <row r="10" spans="1:36">
      <c r="A10" s="798">
        <f>A9+1</f>
        <v>37161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20000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5">
        <v>0</v>
      </c>
      <c r="S10" s="1266">
        <v>0</v>
      </c>
      <c r="T10" s="608">
        <v>0</v>
      </c>
      <c r="U10" s="609">
        <v>142403</v>
      </c>
      <c r="V10" s="609">
        <v>0</v>
      </c>
      <c r="W10" s="607">
        <v>0</v>
      </c>
      <c r="X10" s="880">
        <v>92525</v>
      </c>
      <c r="Y10" s="609">
        <v>25425</v>
      </c>
      <c r="Z10" s="1">
        <v>0</v>
      </c>
      <c r="AA10" s="607">
        <v>235464</v>
      </c>
      <c r="AB10" s="607">
        <v>47030</v>
      </c>
      <c r="AC10" s="607">
        <v>1010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37162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20000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5">
        <v>0</v>
      </c>
      <c r="S11" s="1266">
        <v>0</v>
      </c>
      <c r="T11" s="608">
        <v>0</v>
      </c>
      <c r="U11" s="609">
        <v>142403</v>
      </c>
      <c r="V11" s="609">
        <v>0</v>
      </c>
      <c r="W11" s="607">
        <v>0</v>
      </c>
      <c r="X11" s="880">
        <v>92525</v>
      </c>
      <c r="Y11" s="609">
        <v>25425</v>
      </c>
      <c r="Z11" s="1">
        <v>0</v>
      </c>
      <c r="AA11" s="607">
        <v>235464</v>
      </c>
      <c r="AB11" s="607">
        <v>47030</v>
      </c>
      <c r="AC11" s="607">
        <v>1010</v>
      </c>
      <c r="AD11" s="880">
        <v>0</v>
      </c>
      <c r="AE11" s="798">
        <f t="shared" si="0"/>
        <v>5</v>
      </c>
    </row>
    <row r="12" spans="1:36">
      <c r="A12" s="798">
        <f>A11+1</f>
        <v>37163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20000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5">
        <v>0</v>
      </c>
      <c r="S12" s="1266">
        <v>0</v>
      </c>
      <c r="T12" s="608">
        <v>0</v>
      </c>
      <c r="U12" s="609">
        <v>142403</v>
      </c>
      <c r="V12" s="609">
        <v>0</v>
      </c>
      <c r="W12" s="607">
        <v>0</v>
      </c>
      <c r="X12" s="880">
        <v>92525</v>
      </c>
      <c r="Y12" s="609">
        <v>25425</v>
      </c>
      <c r="Z12" s="1">
        <v>0</v>
      </c>
      <c r="AA12" s="607">
        <v>235464</v>
      </c>
      <c r="AB12" s="607">
        <v>47030</v>
      </c>
      <c r="AC12" s="607">
        <v>1010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197"/>
      <c r="S13" s="1264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109</v>
      </c>
      <c r="C3" s="52" t="s">
        <v>110</v>
      </c>
      <c r="D3" s="53"/>
      <c r="E3" s="53"/>
      <c r="F3" s="53"/>
      <c r="G3" s="62" t="s">
        <v>111</v>
      </c>
      <c r="H3" s="53"/>
      <c r="I3" s="53"/>
      <c r="J3" s="53"/>
      <c r="K3" s="55"/>
      <c r="L3" s="76" t="s">
        <v>69</v>
      </c>
      <c r="M3" s="76"/>
      <c r="N3" s="76"/>
      <c r="O3" s="53"/>
      <c r="P3" s="53"/>
      <c r="Q3" s="53"/>
      <c r="R3" s="53"/>
      <c r="S3" s="62" t="s">
        <v>112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113</v>
      </c>
      <c r="G4" s="55" t="s">
        <v>114</v>
      </c>
      <c r="H4" s="53"/>
      <c r="I4" s="3" t="s">
        <v>87</v>
      </c>
      <c r="J4" s="3"/>
      <c r="K4" s="115" t="s">
        <v>115</v>
      </c>
      <c r="L4" s="115" t="s">
        <v>115</v>
      </c>
      <c r="M4" s="226" t="s">
        <v>115</v>
      </c>
      <c r="N4" s="59" t="s">
        <v>80</v>
      </c>
      <c r="R4" s="3"/>
      <c r="S4" s="77"/>
      <c r="Z4" s="53"/>
    </row>
    <row r="5" spans="1:128" s="1" customFormat="1" ht="12.75">
      <c r="B5" s="63"/>
      <c r="G5" s="56" t="s">
        <v>105</v>
      </c>
      <c r="H5" s="153" t="s">
        <v>36</v>
      </c>
      <c r="I5" s="78">
        <v>0.05</v>
      </c>
      <c r="J5" s="78" t="s">
        <v>65</v>
      </c>
      <c r="K5" s="59" t="s">
        <v>57</v>
      </c>
      <c r="L5" s="59" t="s">
        <v>57</v>
      </c>
      <c r="M5" s="59" t="s">
        <v>57</v>
      </c>
      <c r="N5" s="59" t="s">
        <v>57</v>
      </c>
      <c r="O5" s="3" t="s">
        <v>65</v>
      </c>
      <c r="P5" s="3" t="s">
        <v>36</v>
      </c>
      <c r="Q5" s="3" t="s">
        <v>36</v>
      </c>
      <c r="R5" s="78" t="s">
        <v>36</v>
      </c>
      <c r="S5" s="55" t="s">
        <v>65</v>
      </c>
      <c r="T5" s="53"/>
      <c r="U5" s="53"/>
      <c r="V5" s="53" t="s">
        <v>9</v>
      </c>
      <c r="W5" s="53" t="s">
        <v>88</v>
      </c>
      <c r="X5" s="53" t="s">
        <v>9</v>
      </c>
      <c r="Z5" s="3" t="s">
        <v>36</v>
      </c>
      <c r="AA5" s="53"/>
      <c r="AB5" s="53" t="s">
        <v>9</v>
      </c>
      <c r="AC5" s="109" t="s">
        <v>486</v>
      </c>
      <c r="AE5" s="53" t="s">
        <v>9</v>
      </c>
    </row>
    <row r="6" spans="1:128" s="1" customFormat="1" ht="12.75">
      <c r="A6" s="67"/>
      <c r="B6" s="68" t="s">
        <v>368</v>
      </c>
      <c r="C6" s="54" t="s">
        <v>36</v>
      </c>
      <c r="D6" s="54" t="s">
        <v>65</v>
      </c>
      <c r="E6" s="54" t="s">
        <v>88</v>
      </c>
      <c r="F6" s="54" t="s">
        <v>384</v>
      </c>
      <c r="G6" s="57" t="s">
        <v>116</v>
      </c>
      <c r="H6" s="54" t="s">
        <v>617</v>
      </c>
      <c r="I6" s="54" t="s">
        <v>95</v>
      </c>
      <c r="J6" s="54" t="s">
        <v>86</v>
      </c>
      <c r="K6" s="54" t="s">
        <v>508</v>
      </c>
      <c r="L6" s="54" t="s">
        <v>117</v>
      </c>
      <c r="M6" s="54" t="s">
        <v>118</v>
      </c>
      <c r="N6" s="54" t="s">
        <v>119</v>
      </c>
      <c r="O6" s="54">
        <v>50</v>
      </c>
      <c r="P6" s="54" t="s">
        <v>97</v>
      </c>
      <c r="Q6" s="54" t="s">
        <v>98</v>
      </c>
      <c r="R6" s="54" t="s">
        <v>99</v>
      </c>
      <c r="S6" s="57" t="s">
        <v>120</v>
      </c>
      <c r="T6" s="54" t="s">
        <v>121</v>
      </c>
      <c r="U6" s="54" t="s">
        <v>122</v>
      </c>
      <c r="V6" s="57" t="s">
        <v>120</v>
      </c>
      <c r="W6" s="54" t="s">
        <v>121</v>
      </c>
      <c r="X6" s="54" t="s">
        <v>122</v>
      </c>
      <c r="Y6" s="57" t="s">
        <v>120</v>
      </c>
      <c r="Z6" s="54" t="s">
        <v>121</v>
      </c>
      <c r="AA6" s="54" t="s">
        <v>122</v>
      </c>
      <c r="AB6" s="57" t="s">
        <v>120</v>
      </c>
      <c r="AC6" s="54" t="s">
        <v>121</v>
      </c>
      <c r="AD6" s="54" t="s">
        <v>122</v>
      </c>
      <c r="AE6" s="81" t="s">
        <v>485</v>
      </c>
    </row>
    <row r="7" spans="1:128" s="1" customFormat="1" ht="12.75">
      <c r="A7" s="799">
        <f>Weather_Input!A5</f>
        <v>37158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9">
        <f>Weather_Input!A5</f>
        <v>37158</v>
      </c>
      <c r="AG7" s="607"/>
      <c r="AH7" s="607"/>
      <c r="AI7" s="607"/>
      <c r="AJ7" s="607"/>
      <c r="AK7" s="607"/>
    </row>
    <row r="8" spans="1:128" s="1" customFormat="1" ht="12.75">
      <c r="A8" s="799">
        <f>Weather_Input!A6</f>
        <v>37159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0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37159</v>
      </c>
      <c r="AG8" s="607"/>
      <c r="AH8" s="607"/>
      <c r="AI8" s="607"/>
      <c r="AJ8" s="607"/>
      <c r="AK8" s="607"/>
    </row>
    <row r="9" spans="1:128" s="1" customFormat="1" ht="12.75">
      <c r="A9" s="798">
        <f>A8+1</f>
        <v>37160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37160</v>
      </c>
      <c r="AG9" s="607"/>
      <c r="AH9" s="607"/>
      <c r="AI9" s="607"/>
      <c r="AJ9" s="607"/>
      <c r="AK9" s="607"/>
    </row>
    <row r="10" spans="1:128" s="1" customFormat="1" ht="12.75">
      <c r="A10" s="798">
        <f>A9+1</f>
        <v>37161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37161</v>
      </c>
      <c r="AG10" s="607"/>
      <c r="AH10" s="607"/>
      <c r="AI10" s="607"/>
      <c r="AJ10" s="607"/>
      <c r="AK10" s="607"/>
    </row>
    <row r="11" spans="1:128" s="1" customFormat="1" ht="12.75">
      <c r="A11" s="798">
        <f>A10+1</f>
        <v>37162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37162</v>
      </c>
      <c r="AG11" s="607"/>
      <c r="AH11" s="607"/>
      <c r="AI11" s="607"/>
      <c r="AJ11" s="607"/>
      <c r="AK11" s="607"/>
    </row>
    <row r="12" spans="1:128" s="1" customFormat="1" ht="12.75">
      <c r="A12" s="798">
        <f>A11+1</f>
        <v>37163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37163</v>
      </c>
      <c r="AG12" s="607"/>
      <c r="AH12" s="607"/>
      <c r="AI12" s="607"/>
      <c r="AJ12" s="607"/>
      <c r="AK12" s="607"/>
    </row>
    <row r="13" spans="1:128" s="1" customFormat="1" ht="12.75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2.75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topLeftCell="O1" zoomScale="75" workbookViewId="0">
      <selection activeCell="Q7" sqref="Q7"/>
    </sheetView>
  </sheetViews>
  <sheetFormatPr defaultColWidth="8.77734375" defaultRowHeight="12.75"/>
  <cols>
    <col min="1" max="16384" width="8.77734375" style="1"/>
  </cols>
  <sheetData>
    <row r="1" spans="1:23">
      <c r="A1" s="409" t="s">
        <v>157</v>
      </c>
      <c r="B1" s="10"/>
      <c r="C1" s="1" t="s">
        <v>9</v>
      </c>
      <c r="O1" s="1" t="s">
        <v>9</v>
      </c>
    </row>
    <row r="3" spans="1:23">
      <c r="B3" s="79" t="s">
        <v>109</v>
      </c>
      <c r="C3" s="62" t="s">
        <v>101</v>
      </c>
      <c r="D3" s="53"/>
      <c r="E3" s="53"/>
      <c r="F3" s="55"/>
      <c r="G3" s="52" t="s">
        <v>102</v>
      </c>
      <c r="H3" s="53"/>
      <c r="I3" s="53"/>
      <c r="J3" s="53"/>
      <c r="K3" s="53"/>
      <c r="L3" s="64"/>
      <c r="M3" s="58"/>
      <c r="N3" s="52" t="s">
        <v>123</v>
      </c>
      <c r="O3" s="53"/>
      <c r="P3" s="53"/>
      <c r="Q3" s="53"/>
      <c r="R3" s="53"/>
      <c r="S3" s="53"/>
      <c r="T3" s="64"/>
    </row>
    <row r="4" spans="1:23">
      <c r="B4" s="79" t="s">
        <v>124</v>
      </c>
      <c r="C4" s="55"/>
      <c r="D4" s="53"/>
      <c r="E4" s="53"/>
      <c r="F4" s="58"/>
      <c r="G4" s="55"/>
      <c r="L4" s="63"/>
      <c r="M4" s="60"/>
      <c r="O4" s="3" t="s">
        <v>564</v>
      </c>
      <c r="P4" s="3"/>
      <c r="T4" s="63"/>
    </row>
    <row r="5" spans="1:23">
      <c r="C5" s="56" t="s">
        <v>36</v>
      </c>
      <c r="D5" s="3" t="s">
        <v>90</v>
      </c>
      <c r="E5" s="3" t="s">
        <v>65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65</v>
      </c>
      <c r="L5" s="66" t="s">
        <v>65</v>
      </c>
      <c r="M5" s="3" t="s">
        <v>384</v>
      </c>
      <c r="N5" s="3"/>
      <c r="O5" s="3" t="s">
        <v>125</v>
      </c>
      <c r="P5" s="3" t="s">
        <v>125</v>
      </c>
      <c r="Q5" s="3" t="s">
        <v>36</v>
      </c>
      <c r="R5" s="1" t="s">
        <v>487</v>
      </c>
      <c r="T5" s="66"/>
    </row>
    <row r="6" spans="1:23">
      <c r="B6" s="54" t="s">
        <v>368</v>
      </c>
      <c r="C6" s="57" t="s">
        <v>105</v>
      </c>
      <c r="D6" s="54" t="s">
        <v>106</v>
      </c>
      <c r="E6" s="81" t="s">
        <v>86</v>
      </c>
      <c r="F6" s="54" t="s">
        <v>617</v>
      </c>
      <c r="G6" s="57" t="s">
        <v>57</v>
      </c>
      <c r="H6" s="54" t="s">
        <v>97</v>
      </c>
      <c r="I6" s="54" t="s">
        <v>98</v>
      </c>
      <c r="J6" s="54" t="s">
        <v>99</v>
      </c>
      <c r="K6" s="54" t="s">
        <v>108</v>
      </c>
      <c r="L6" s="68" t="s">
        <v>107</v>
      </c>
      <c r="M6" s="81" t="s">
        <v>493</v>
      </c>
      <c r="N6" s="54" t="s">
        <v>88</v>
      </c>
      <c r="O6" s="81" t="s">
        <v>127</v>
      </c>
      <c r="P6" s="81" t="s">
        <v>566</v>
      </c>
      <c r="Q6" s="54" t="s">
        <v>125</v>
      </c>
      <c r="R6" s="983" t="s">
        <v>36</v>
      </c>
      <c r="S6" s="54" t="s">
        <v>384</v>
      </c>
      <c r="T6" s="68" t="s">
        <v>58</v>
      </c>
    </row>
    <row r="7" spans="1:23">
      <c r="A7" s="798">
        <f>Weather_Input!A5</f>
        <v>37158</v>
      </c>
      <c r="B7" s="610">
        <v>0</v>
      </c>
      <c r="C7" s="611">
        <v>0</v>
      </c>
      <c r="D7" s="610">
        <v>0</v>
      </c>
      <c r="E7" s="610">
        <v>8500</v>
      </c>
      <c r="F7" s="610">
        <v>0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20000</v>
      </c>
      <c r="Q7" s="610">
        <v>27504</v>
      </c>
      <c r="R7" s="610">
        <v>17647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37159</v>
      </c>
      <c r="B8" s="610">
        <v>0</v>
      </c>
      <c r="C8" s="611">
        <v>0</v>
      </c>
      <c r="D8" s="610">
        <v>0</v>
      </c>
      <c r="E8" s="610">
        <v>0</v>
      </c>
      <c r="F8" s="610">
        <v>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20000</v>
      </c>
      <c r="Q8" s="610">
        <v>27504</v>
      </c>
      <c r="R8" s="610">
        <v>17647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37160</v>
      </c>
      <c r="B9" s="610">
        <v>0</v>
      </c>
      <c r="C9" s="611">
        <v>0</v>
      </c>
      <c r="D9" s="610">
        <v>0</v>
      </c>
      <c r="E9" s="610">
        <v>0</v>
      </c>
      <c r="F9" s="610">
        <v>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20000</v>
      </c>
      <c r="Q9" s="610">
        <v>27504</v>
      </c>
      <c r="R9" s="610">
        <v>17647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37161</v>
      </c>
      <c r="B10" s="610">
        <v>0</v>
      </c>
      <c r="C10" s="611">
        <v>0</v>
      </c>
      <c r="D10" s="610">
        <v>0</v>
      </c>
      <c r="E10" s="610">
        <v>0</v>
      </c>
      <c r="F10" s="610">
        <v>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20000</v>
      </c>
      <c r="Q10" s="610">
        <v>27504</v>
      </c>
      <c r="R10" s="610">
        <v>17647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37162</v>
      </c>
      <c r="B11" s="610">
        <v>0</v>
      </c>
      <c r="C11" s="611">
        <v>0</v>
      </c>
      <c r="D11" s="610">
        <v>0</v>
      </c>
      <c r="E11" s="610">
        <v>0</v>
      </c>
      <c r="F11" s="610">
        <v>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20000</v>
      </c>
      <c r="Q11" s="610">
        <v>27504</v>
      </c>
      <c r="R11" s="610">
        <v>17647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37163</v>
      </c>
      <c r="B12" s="610">
        <v>0</v>
      </c>
      <c r="C12" s="611">
        <v>0</v>
      </c>
      <c r="D12" s="610">
        <v>0</v>
      </c>
      <c r="E12" s="610">
        <v>0</v>
      </c>
      <c r="F12" s="610">
        <v>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20000</v>
      </c>
      <c r="Q12" s="610">
        <v>27504</v>
      </c>
      <c r="R12" s="610">
        <v>17647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128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>
      <selection sqref="A1:I53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129</v>
      </c>
      <c r="H1" s="802" t="str">
        <f>D3</f>
        <v>MON</v>
      </c>
      <c r="I1" s="803">
        <f>D4</f>
        <v>37158</v>
      </c>
    </row>
    <row r="2" spans="1:256" ht="18.95" customHeight="1">
      <c r="A2" s="804" t="s">
        <v>130</v>
      </c>
      <c r="B2" s="805"/>
      <c r="C2" s="805"/>
      <c r="D2" s="805"/>
      <c r="E2" s="805"/>
      <c r="F2" s="805"/>
      <c r="G2" s="805"/>
      <c r="H2" s="805"/>
      <c r="I2" s="806"/>
    </row>
    <row r="3" spans="1:256" ht="18.95" customHeight="1" thickBot="1">
      <c r="A3" s="807"/>
      <c r="B3" s="805"/>
      <c r="C3" s="805"/>
      <c r="D3" s="808" t="str">
        <f t="shared" ref="D3:I3" si="0">CHOOSE(WEEKDAY(D4),"SUN","MON","TUE","WED","THU","FRI","SAT")</f>
        <v>MON</v>
      </c>
      <c r="E3" s="808" t="str">
        <f t="shared" si="0"/>
        <v>TUE</v>
      </c>
      <c r="F3" s="808" t="str">
        <f t="shared" si="0"/>
        <v>WED</v>
      </c>
      <c r="G3" s="808" t="str">
        <f t="shared" si="0"/>
        <v>THU</v>
      </c>
      <c r="H3" s="808" t="str">
        <f t="shared" si="0"/>
        <v>FRI</v>
      </c>
      <c r="I3" s="809" t="str">
        <f t="shared" si="0"/>
        <v>SAT</v>
      </c>
    </row>
    <row r="4" spans="1:256" ht="18.95" customHeight="1" thickBot="1">
      <c r="A4" s="810"/>
      <c r="B4" s="811"/>
      <c r="C4" s="811"/>
      <c r="D4" s="449">
        <f>Weather_Input!A5</f>
        <v>37158</v>
      </c>
      <c r="E4" s="449">
        <f>Weather_Input!A6</f>
        <v>37159</v>
      </c>
      <c r="F4" s="449">
        <f>Weather_Input!A7</f>
        <v>37160</v>
      </c>
      <c r="G4" s="449">
        <f>Weather_Input!A8</f>
        <v>37161</v>
      </c>
      <c r="H4" s="449">
        <f>Weather_Input!A9</f>
        <v>37162</v>
      </c>
      <c r="I4" s="450">
        <f>Weather_Input!A10</f>
        <v>37163</v>
      </c>
    </row>
    <row r="5" spans="1:256" ht="18.95" customHeight="1" thickTop="1">
      <c r="A5" s="814" t="s">
        <v>131</v>
      </c>
      <c r="B5" s="805"/>
      <c r="C5" s="805" t="s">
        <v>132</v>
      </c>
      <c r="D5" s="451" t="str">
        <f>TEXT(Weather_Input!B5,"0")&amp;"/"&amp;TEXT(Weather_Input!C5,"0") &amp; "/" &amp; TEXT((Weather_Input!B5+Weather_Input!C5)/2,"0")</f>
        <v>54/42/48</v>
      </c>
      <c r="E5" s="451" t="str">
        <f>TEXT(Weather_Input!B6,"0")&amp;"/"&amp;TEXT(Weather_Input!C6,"0") &amp; "/" &amp; TEXT((Weather_Input!B6+Weather_Input!C6)/2,"0")</f>
        <v>58/42/50</v>
      </c>
      <c r="F5" s="451" t="str">
        <f>TEXT(Weather_Input!B7,"0")&amp;"/"&amp;TEXT(Weather_Input!C7,"0") &amp; "/" &amp; TEXT((Weather_Input!B7+Weather_Input!C7)/2,"0")</f>
        <v>62/43/53</v>
      </c>
      <c r="G5" s="451" t="str">
        <f>TEXT(Weather_Input!B8,"0")&amp;"/"&amp;TEXT(Weather_Input!C8,"0") &amp; "/" &amp; TEXT((Weather_Input!B8+Weather_Input!C8)/2,"0")</f>
        <v>63/45/54</v>
      </c>
      <c r="H5" s="451" t="str">
        <f>TEXT(Weather_Input!B9,"0")&amp;"/"&amp;TEXT(Weather_Input!C9,"0") &amp; "/" &amp; TEXT((Weather_Input!B9+Weather_Input!C9)/2,"0")</f>
        <v>66/46/56</v>
      </c>
      <c r="I5" s="452" t="str">
        <f>TEXT(Weather_Input!B10,"0")&amp;"/"&amp;TEXT(Weather_Input!C10,"0") &amp; "/" &amp; TEXT((Weather_Input!B10+Weather_Input!C10)/2,"0")</f>
        <v>66/46/56</v>
      </c>
    </row>
    <row r="6" spans="1:256" ht="18.95" customHeight="1">
      <c r="A6" s="817" t="s">
        <v>133</v>
      </c>
      <c r="B6" s="805"/>
      <c r="C6" s="805"/>
      <c r="D6" s="451">
        <f>PGL_Deliveries!C5/1000</f>
        <v>285</v>
      </c>
      <c r="E6" s="451">
        <f>PGL_Deliveries!C6/1000</f>
        <v>300</v>
      </c>
      <c r="F6" s="451">
        <f>PGL_Deliveries!C7/1000</f>
        <v>285</v>
      </c>
      <c r="G6" s="451">
        <f>PGL_Deliveries!C8/1000</f>
        <v>260</v>
      </c>
      <c r="H6" s="451">
        <f>PGL_Deliveries!C9/1000</f>
        <v>240</v>
      </c>
      <c r="I6" s="452">
        <f>PGL_Deliveries!C10/1000</f>
        <v>225</v>
      </c>
    </row>
    <row r="7" spans="1:256" ht="18.95" customHeight="1">
      <c r="A7" s="817" t="s">
        <v>515</v>
      </c>
      <c r="B7" s="805" t="s">
        <v>9</v>
      </c>
      <c r="C7" s="805"/>
      <c r="D7" s="451">
        <f>PGL_Requirements!G7/1000*0.5</f>
        <v>0</v>
      </c>
      <c r="E7" s="451">
        <f>PGL_Requirements!G8/1000*0.5</f>
        <v>0</v>
      </c>
      <c r="F7" s="451">
        <f>PGL_Requirements!G9/1000*0.5</f>
        <v>0</v>
      </c>
      <c r="G7" s="451">
        <f>PGL_Requirements!G10/1000*0.5</f>
        <v>0</v>
      </c>
      <c r="H7" s="451">
        <f>PGL_Requirements!G11/1000*0.5</f>
        <v>0</v>
      </c>
      <c r="I7" s="452">
        <f>PGL_Requirements!G12/1000*0.5</f>
        <v>0</v>
      </c>
    </row>
    <row r="8" spans="1:256" ht="18.95" customHeight="1">
      <c r="A8" s="817" t="s">
        <v>727</v>
      </c>
      <c r="B8" s="805"/>
      <c r="C8" s="805"/>
      <c r="D8" s="451">
        <f>PGL_Requirements!J7/1000</f>
        <v>0</v>
      </c>
      <c r="E8" s="451">
        <f>PGL_Requirements!J8/1000</f>
        <v>0</v>
      </c>
      <c r="F8" s="451">
        <f>PGL_Requirements!J9/1000</f>
        <v>0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95" customHeight="1">
      <c r="A9" s="814" t="s">
        <v>728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95" customHeight="1">
      <c r="A10" s="814" t="s">
        <v>743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95" customHeight="1">
      <c r="A11" s="814" t="s">
        <v>137</v>
      </c>
      <c r="B11" s="805" t="s">
        <v>138</v>
      </c>
      <c r="C11" s="805" t="s">
        <v>57</v>
      </c>
      <c r="D11" s="451">
        <f>PGL_Requirements!O7/1000</f>
        <v>110</v>
      </c>
      <c r="E11" s="451">
        <f>PGL_Requirements!O8/1000</f>
        <v>110</v>
      </c>
      <c r="F11" s="451">
        <f>PGL_Requirements!O9/1000</f>
        <v>110</v>
      </c>
      <c r="G11" s="451">
        <f>PGL_Requirements!O10/1000</f>
        <v>110</v>
      </c>
      <c r="H11" s="451">
        <f>PGL_Requirements!O11/1000</f>
        <v>110</v>
      </c>
      <c r="I11" s="452">
        <f>PGL_Requirements!O12/1000</f>
        <v>110</v>
      </c>
    </row>
    <row r="12" spans="1:256" ht="18.95" customHeight="1">
      <c r="A12" s="814"/>
      <c r="B12" s="805"/>
      <c r="C12" s="805" t="s">
        <v>96</v>
      </c>
      <c r="D12" s="451">
        <f>PGL_Requirements!P7/1000</f>
        <v>1.65</v>
      </c>
      <c r="E12" s="451">
        <f>PGL_Requirements!P8/1000</f>
        <v>1.65</v>
      </c>
      <c r="F12" s="451">
        <f>PGL_Requirements!P9/1000</f>
        <v>1.65</v>
      </c>
      <c r="G12" s="451">
        <f>PGL_Requirements!P10/1000</f>
        <v>1.65</v>
      </c>
      <c r="H12" s="451">
        <f>PGL_Requirements!P11/1000</f>
        <v>1.65</v>
      </c>
      <c r="I12" s="452">
        <f>PGL_Requirements!P12/1000</f>
        <v>1.65</v>
      </c>
    </row>
    <row r="13" spans="1:256" ht="18.95" customHeight="1">
      <c r="A13" s="814"/>
      <c r="C13" s="805" t="s">
        <v>651</v>
      </c>
      <c r="D13" s="451">
        <f>PGL_Requirements!Q7/1000</f>
        <v>0.62</v>
      </c>
      <c r="E13" s="451">
        <f>PGL_Requirements!Q8/1000</f>
        <v>0.62</v>
      </c>
      <c r="F13" s="451">
        <f>PGL_Requirements!Q9/1000</f>
        <v>0.62</v>
      </c>
      <c r="G13" s="451">
        <f>PGL_Requirements!Q10/1000</f>
        <v>0.62</v>
      </c>
      <c r="H13" s="451">
        <f>PGL_Requirements!Q11/1000</f>
        <v>0.62</v>
      </c>
      <c r="I13" s="452">
        <f>PGL_Requirements!Q12/1000</f>
        <v>0.62</v>
      </c>
    </row>
    <row r="14" spans="1:256" ht="18.95" customHeight="1">
      <c r="A14" s="814"/>
      <c r="C14" s="805" t="s">
        <v>676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95" customHeight="1">
      <c r="A15" s="814"/>
      <c r="B15" s="805" t="s">
        <v>136</v>
      </c>
      <c r="C15" s="805" t="s">
        <v>730</v>
      </c>
      <c r="D15" s="451">
        <f>PGL_Requirements!T7/1000</f>
        <v>0</v>
      </c>
      <c r="E15" s="451">
        <f>PGL_Requirements!T8/1000</f>
        <v>0</v>
      </c>
      <c r="F15" s="451">
        <f>PGL_Requirements!T9/1000</f>
        <v>0</v>
      </c>
      <c r="G15" s="451">
        <f>PGL_Requirements!T10/1000</f>
        <v>0</v>
      </c>
      <c r="H15" s="451">
        <f>PGL_Requirements!T11/1000</f>
        <v>0</v>
      </c>
      <c r="I15" s="452">
        <f>PGL_Requirements!T12/1000</f>
        <v>0</v>
      </c>
    </row>
    <row r="16" spans="1:256" ht="18.95" customHeight="1">
      <c r="A16" s="814"/>
      <c r="B16" s="805"/>
      <c r="C16" s="805" t="s">
        <v>732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95" customHeight="1">
      <c r="A17" s="814"/>
      <c r="B17" s="805" t="s">
        <v>134</v>
      </c>
      <c r="C17" s="805" t="s">
        <v>86</v>
      </c>
      <c r="D17" s="451">
        <f>PGL_Requirements!N7/1000</f>
        <v>30</v>
      </c>
      <c r="E17" s="451">
        <f>PGL_Requirements!N8/1000</f>
        <v>30</v>
      </c>
      <c r="F17" s="451">
        <f>PGL_Requirements!N9/1000</f>
        <v>30</v>
      </c>
      <c r="G17" s="451">
        <f>PGL_Requirements!N10/1000</f>
        <v>30</v>
      </c>
      <c r="H17" s="451">
        <f>PGL_Requirements!N11/1000</f>
        <v>30</v>
      </c>
      <c r="I17" s="452">
        <f>PGL_Requirements!N12/1000</f>
        <v>30</v>
      </c>
    </row>
    <row r="18" spans="1:10" ht="18.95" customHeight="1">
      <c r="A18" s="814" t="s">
        <v>753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95" customHeight="1">
      <c r="A19" s="814" t="s">
        <v>740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95" customHeight="1">
      <c r="A20" s="817" t="s">
        <v>140</v>
      </c>
      <c r="B20" s="805"/>
      <c r="C20" s="805"/>
      <c r="D20" s="451">
        <f>PGL_Requirements!F7/1000</f>
        <v>0</v>
      </c>
      <c r="E20" s="451">
        <f>PGL_Requirements!F8/1000</f>
        <v>0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95" customHeight="1">
      <c r="A21" s="814" t="s">
        <v>141</v>
      </c>
      <c r="B21" s="805" t="s">
        <v>666</v>
      </c>
      <c r="C21" s="805"/>
      <c r="D21" s="451">
        <f>PGL_Requirements!I7/1000</f>
        <v>0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95" customHeight="1">
      <c r="A22" s="814"/>
      <c r="B22" s="805" t="s">
        <v>88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95" customHeight="1">
      <c r="A23" s="814"/>
      <c r="B23" s="805" t="s">
        <v>384</v>
      </c>
      <c r="C23" s="805"/>
      <c r="D23" s="451">
        <f>PGL_Requirements!D7/1000</f>
        <v>0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95" customHeight="1">
      <c r="A24" s="814"/>
      <c r="B24" s="805" t="s">
        <v>91</v>
      </c>
      <c r="C24" s="805"/>
      <c r="D24" s="453">
        <f>PGL_Requirements!E7/1000</f>
        <v>1.01</v>
      </c>
      <c r="E24" s="453">
        <f>PGL_Requirements!E8/1000</f>
        <v>1.01</v>
      </c>
      <c r="F24" s="453">
        <f>PGL_Requirements!E9/1000</f>
        <v>1.01</v>
      </c>
      <c r="G24" s="453">
        <f>PGL_Requirements!E10/1000</f>
        <v>1.01</v>
      </c>
      <c r="H24" s="453">
        <f>PGL_Requirements!E11/1000</f>
        <v>1.01</v>
      </c>
      <c r="I24" s="454">
        <f>PGL_Requirements!E12/1000</f>
        <v>1.01</v>
      </c>
    </row>
    <row r="25" spans="1:10" ht="18.95" customHeight="1" thickBot="1">
      <c r="A25" s="822" t="s">
        <v>142</v>
      </c>
      <c r="B25" s="823"/>
      <c r="C25" s="823"/>
      <c r="D25" s="455">
        <f t="shared" ref="D25:I25" si="1">SUM(D6:D24)</f>
        <v>428.28</v>
      </c>
      <c r="E25" s="455">
        <f t="shared" si="1"/>
        <v>443.28</v>
      </c>
      <c r="F25" s="455">
        <f t="shared" si="1"/>
        <v>428.28</v>
      </c>
      <c r="G25" s="455">
        <f t="shared" si="1"/>
        <v>403.28</v>
      </c>
      <c r="H25" s="455">
        <f t="shared" si="1"/>
        <v>383.28</v>
      </c>
      <c r="I25" s="1060">
        <f t="shared" si="1"/>
        <v>368.28</v>
      </c>
    </row>
    <row r="26" spans="1:10" ht="18.95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95" customHeight="1" thickTop="1" thickBot="1">
      <c r="A27" s="827" t="s">
        <v>143</v>
      </c>
      <c r="B27" s="828"/>
      <c r="C27" s="828"/>
      <c r="D27" s="459"/>
      <c r="E27" s="460"/>
      <c r="F27" s="460"/>
      <c r="G27" s="460"/>
      <c r="H27" s="460"/>
      <c r="I27" s="1061"/>
    </row>
    <row r="28" spans="1:10" ht="18.95" customHeight="1" thickTop="1">
      <c r="A28" s="814" t="s">
        <v>144</v>
      </c>
      <c r="B28" s="805" t="s">
        <v>138</v>
      </c>
      <c r="C28" s="805" t="s">
        <v>57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95" customHeight="1">
      <c r="A29" s="814"/>
      <c r="B29" s="805"/>
      <c r="C29" s="805" t="s">
        <v>89</v>
      </c>
      <c r="D29" s="451">
        <f>PGL_Supplies!G7/1000</f>
        <v>1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95" customHeight="1">
      <c r="A30" s="814"/>
      <c r="B30" s="805"/>
      <c r="C30" s="805" t="s">
        <v>58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95" customHeight="1">
      <c r="A31" s="814"/>
      <c r="B31" s="805" t="s">
        <v>136</v>
      </c>
      <c r="C31" s="805" t="s">
        <v>730</v>
      </c>
      <c r="D31" s="451">
        <f>PGL_Supplies!P7/1000</f>
        <v>0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95" customHeight="1">
      <c r="A32" s="814"/>
      <c r="B32" s="805"/>
      <c r="C32" s="805" t="s">
        <v>732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95" customHeight="1">
      <c r="A33" s="814"/>
      <c r="B33" s="805" t="s">
        <v>134</v>
      </c>
      <c r="C33" s="805" t="s">
        <v>86</v>
      </c>
      <c r="D33" s="451">
        <f>PGL_Supplies!K7/1000</f>
        <v>0</v>
      </c>
      <c r="E33" s="451">
        <f>PGL_Supplies!K8/1000</f>
        <v>0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95" customHeight="1">
      <c r="A34" s="814" t="s">
        <v>754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95" customHeight="1">
      <c r="A35" s="817" t="s">
        <v>635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95" customHeight="1">
      <c r="A36" s="817" t="s">
        <v>729</v>
      </c>
      <c r="B36" s="805" t="s">
        <v>384</v>
      </c>
      <c r="C36" s="805"/>
      <c r="D36" s="451">
        <f>PGL_Supplies!S7/1000</f>
        <v>5</v>
      </c>
      <c r="E36" s="451">
        <f>PGL_Supplies!S8/1000</f>
        <v>0</v>
      </c>
      <c r="F36" s="451">
        <f>PGL_Supplies!S9/1000</f>
        <v>0</v>
      </c>
      <c r="G36" s="451">
        <f>PGL_Supplies!S10/1000</f>
        <v>0</v>
      </c>
      <c r="H36" s="451">
        <f>PGL_Supplies!S11/1000</f>
        <v>0</v>
      </c>
      <c r="I36" s="452">
        <f>PGL_Supplies!S12/1000</f>
        <v>0</v>
      </c>
    </row>
    <row r="37" spans="1:10" ht="18.95" customHeight="1">
      <c r="A37" s="831" t="s">
        <v>673</v>
      </c>
      <c r="B37" s="805" t="s">
        <v>657</v>
      </c>
      <c r="C37" s="805"/>
      <c r="D37" s="451">
        <f>PGL_Supplies!X7/1000</f>
        <v>88.192999999999998</v>
      </c>
      <c r="E37" s="451">
        <f>PGL_Supplies!X8/1000</f>
        <v>92.525000000000006</v>
      </c>
      <c r="F37" s="451">
        <f>PGL_Supplies!X9/1000</f>
        <v>92.525000000000006</v>
      </c>
      <c r="G37" s="451">
        <f>PGL_Supplies!X10/1000</f>
        <v>92.525000000000006</v>
      </c>
      <c r="H37" s="451">
        <f>PGL_Supplies!X11/1000</f>
        <v>92.525000000000006</v>
      </c>
      <c r="I37" s="452">
        <f>PGL_Supplies!X12/1000</f>
        <v>92.525000000000006</v>
      </c>
    </row>
    <row r="38" spans="1:10" ht="18.95" customHeight="1">
      <c r="A38" s="817"/>
      <c r="B38" s="805" t="s">
        <v>136</v>
      </c>
      <c r="C38" s="818"/>
      <c r="D38" s="451">
        <f>PGL_Supplies!Y7/1000</f>
        <v>25.425000000000001</v>
      </c>
      <c r="E38" s="451">
        <f>PGL_Supplies!Y8/1000</f>
        <v>25.425000000000001</v>
      </c>
      <c r="F38" s="451">
        <f>PGL_Supplies!Y9/1000</f>
        <v>25.425000000000001</v>
      </c>
      <c r="G38" s="451">
        <f>PGL_Supplies!Y10/1000</f>
        <v>25.425000000000001</v>
      </c>
      <c r="H38" s="451">
        <f>PGL_Supplies!Y11/1000</f>
        <v>25.425000000000001</v>
      </c>
      <c r="I38" s="452">
        <f>PGL_Supplies!Y12/1000</f>
        <v>25.425000000000001</v>
      </c>
    </row>
    <row r="39" spans="1:10" ht="18.95" customHeight="1">
      <c r="A39" s="817"/>
      <c r="B39" s="805" t="s">
        <v>139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95" customHeight="1">
      <c r="A40" s="817"/>
      <c r="B40" s="805" t="s">
        <v>384</v>
      </c>
      <c r="C40" s="818"/>
      <c r="D40" s="451">
        <f>PGL_Supplies!AA7/1000</f>
        <v>196.429</v>
      </c>
      <c r="E40" s="451">
        <f>PGL_Supplies!AA8/1000</f>
        <v>235.464</v>
      </c>
      <c r="F40" s="451">
        <f>PGL_Supplies!AA9/1000</f>
        <v>235.464</v>
      </c>
      <c r="G40" s="451">
        <f>PGL_Supplies!AA10/1000</f>
        <v>235.464</v>
      </c>
      <c r="H40" s="451">
        <f>PGL_Supplies!AA11/1000</f>
        <v>235.464</v>
      </c>
      <c r="I40" s="452">
        <f>PGL_Supplies!AA12/1000</f>
        <v>235.464</v>
      </c>
    </row>
    <row r="41" spans="1:10" ht="18.95" customHeight="1">
      <c r="A41" s="817"/>
      <c r="B41" s="805" t="s">
        <v>134</v>
      </c>
      <c r="C41" s="805"/>
      <c r="D41" s="451">
        <f>PGL_Supplies!AB7/1000</f>
        <v>55.155000000000001</v>
      </c>
      <c r="E41" s="451">
        <f>PGL_Supplies!AB8/1000</f>
        <v>47.03</v>
      </c>
      <c r="F41" s="451">
        <f>PGL_Supplies!AB9/1000</f>
        <v>47.03</v>
      </c>
      <c r="G41" s="451">
        <f>PGL_Supplies!AB10/1000</f>
        <v>47.03</v>
      </c>
      <c r="H41" s="451">
        <f>PGL_Supplies!AB11/1000</f>
        <v>47.03</v>
      </c>
      <c r="I41" s="452">
        <f>PGL_Supplies!AB12/1000</f>
        <v>47.03</v>
      </c>
    </row>
    <row r="42" spans="1:10" ht="18.95" customHeight="1">
      <c r="A42" s="817"/>
      <c r="B42" s="805" t="s">
        <v>135</v>
      </c>
      <c r="C42" s="805"/>
      <c r="D42" s="451">
        <f>PGL_Supplies!AC7/1000</f>
        <v>1.01</v>
      </c>
      <c r="E42" s="451">
        <f>PGL_Supplies!AC8/1000</f>
        <v>1.01</v>
      </c>
      <c r="F42" s="451">
        <f>PGL_Supplies!AC9/1000</f>
        <v>1.01</v>
      </c>
      <c r="G42" s="451">
        <f>PGL_Supplies!AC10/1000</f>
        <v>1.01</v>
      </c>
      <c r="H42" s="451">
        <f>PGL_Supplies!AC11/1000</f>
        <v>1.01</v>
      </c>
      <c r="I42" s="452">
        <f>PGL_Supplies!AC12/1000</f>
        <v>1.01</v>
      </c>
    </row>
    <row r="43" spans="1:10" ht="18.95" customHeight="1">
      <c r="A43" s="831"/>
      <c r="B43" s="805" t="s">
        <v>146</v>
      </c>
      <c r="C43" s="805"/>
      <c r="D43" s="451">
        <f>PGL_Supplies!H7/1000</f>
        <v>20</v>
      </c>
      <c r="E43" s="451">
        <f>PGL_Supplies!H8/1000</f>
        <v>20</v>
      </c>
      <c r="F43" s="451">
        <f>PGL_Supplies!H9/1000</f>
        <v>20</v>
      </c>
      <c r="G43" s="451">
        <f>PGL_Supplies!H10/1000</f>
        <v>20</v>
      </c>
      <c r="H43" s="451">
        <f>PGL_Supplies!H11/1000</f>
        <v>20</v>
      </c>
      <c r="I43" s="452">
        <f>PGL_Supplies!H12/1000</f>
        <v>20</v>
      </c>
      <c r="J43" s="111" t="s">
        <v>9</v>
      </c>
    </row>
    <row r="44" spans="1:10" ht="18.95" customHeight="1">
      <c r="A44" s="814"/>
      <c r="B44" s="805" t="s">
        <v>147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95" customHeight="1">
      <c r="A45" s="817" t="s">
        <v>684</v>
      </c>
      <c r="B45" s="805"/>
      <c r="C45" s="805"/>
      <c r="D45" s="451">
        <f>PGL_Supplies!B7/1000</f>
        <v>36.07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95" customHeight="1">
      <c r="A46" s="814" t="s">
        <v>665</v>
      </c>
      <c r="B46" s="805" t="s">
        <v>657</v>
      </c>
      <c r="C46" s="805"/>
      <c r="D46" s="451">
        <f>PGL_Supplies!W7/1000</f>
        <v>0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95" customHeight="1">
      <c r="A47" s="814"/>
      <c r="B47" s="819" t="s">
        <v>139</v>
      </c>
      <c r="C47" s="805"/>
      <c r="D47" s="451">
        <f>PGL_Supplies!C7/1000</f>
        <v>0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95" customHeight="1">
      <c r="A48" s="814"/>
      <c r="B48" s="805" t="s">
        <v>384</v>
      </c>
      <c r="C48" s="805"/>
      <c r="D48" s="451">
        <f>PGL_Supplies!D7/1000</f>
        <v>0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95" customHeight="1">
      <c r="A49" s="832"/>
      <c r="B49" s="833" t="s">
        <v>135</v>
      </c>
      <c r="C49" s="833"/>
      <c r="D49" s="453">
        <f>PGL_Supplies!F7/1000</f>
        <v>0</v>
      </c>
      <c r="E49" s="453">
        <f>PGL_Supplies!F8/1000</f>
        <v>0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95" customHeight="1" thickBot="1">
      <c r="A50" s="834" t="s">
        <v>148</v>
      </c>
      <c r="B50" s="835"/>
      <c r="C50" s="835"/>
      <c r="D50" s="461">
        <f t="shared" ref="D50:I50" si="2">SUM(D28:D49)</f>
        <v>428.28199999999998</v>
      </c>
      <c r="E50" s="461">
        <f t="shared" si="2"/>
        <v>422.45399999999995</v>
      </c>
      <c r="F50" s="461">
        <f t="shared" si="2"/>
        <v>422.45399999999995</v>
      </c>
      <c r="G50" s="461">
        <f t="shared" si="2"/>
        <v>422.45399999999995</v>
      </c>
      <c r="H50" s="461">
        <f t="shared" si="2"/>
        <v>422.45399999999995</v>
      </c>
      <c r="I50" s="1062">
        <f t="shared" si="2"/>
        <v>422.45399999999995</v>
      </c>
    </row>
    <row r="51" spans="1:9" ht="18.95" customHeight="1">
      <c r="A51" s="836" t="s">
        <v>149</v>
      </c>
      <c r="B51" s="837"/>
      <c r="C51" s="837"/>
      <c r="D51" s="462">
        <f t="shared" ref="D51:I51" si="3">IF(D50-D25&lt;0,0,D50-D25)</f>
        <v>2.0000000000095497E-3</v>
      </c>
      <c r="E51" s="462">
        <f t="shared" si="3"/>
        <v>0</v>
      </c>
      <c r="F51" s="462">
        <f t="shared" si="3"/>
        <v>0</v>
      </c>
      <c r="G51" s="462">
        <f t="shared" si="3"/>
        <v>19.173999999999978</v>
      </c>
      <c r="H51" s="462">
        <f t="shared" si="3"/>
        <v>39.173999999999978</v>
      </c>
      <c r="I51" s="1063">
        <f t="shared" si="3"/>
        <v>54.173999999999978</v>
      </c>
    </row>
    <row r="52" spans="1:9" ht="18.95" customHeight="1" thickBot="1">
      <c r="A52" s="838" t="s">
        <v>150</v>
      </c>
      <c r="B52" s="823"/>
      <c r="C52" s="839"/>
      <c r="D52" s="463">
        <f t="shared" ref="D52:I52" si="4">IF(D25-D50&lt;0,0,D25-D50)</f>
        <v>0</v>
      </c>
      <c r="E52" s="463">
        <f t="shared" si="4"/>
        <v>20.826000000000022</v>
      </c>
      <c r="F52" s="463">
        <f t="shared" si="4"/>
        <v>5.8260000000000218</v>
      </c>
      <c r="G52" s="463">
        <f t="shared" si="4"/>
        <v>0</v>
      </c>
      <c r="H52" s="463">
        <f t="shared" si="4"/>
        <v>0</v>
      </c>
      <c r="I52" s="1064">
        <f t="shared" si="4"/>
        <v>0</v>
      </c>
    </row>
    <row r="53" spans="1:9" ht="18.95" customHeight="1" thickTop="1" thickBot="1">
      <c r="A53" s="1051" t="s">
        <v>675</v>
      </c>
      <c r="B53" s="1052"/>
      <c r="C53" s="1052"/>
      <c r="D53" s="1053">
        <f>PGL_Supplies!U7/1000</f>
        <v>152.06</v>
      </c>
      <c r="E53" s="1053">
        <f>PGL_Supplies!U8/1000</f>
        <v>142.40299999999999</v>
      </c>
      <c r="F53" s="1053">
        <f>PGL_Supplies!U9/1000</f>
        <v>142.40299999999999</v>
      </c>
      <c r="G53" s="1053">
        <f>PGL_Supplies!U10/1000</f>
        <v>142.40299999999999</v>
      </c>
      <c r="H53" s="1053">
        <f>PGL_Supplies!U11/1000</f>
        <v>142.40299999999999</v>
      </c>
      <c r="I53" s="1054">
        <f>PGL_Supplies!U12/1000</f>
        <v>142.40299999999999</v>
      </c>
    </row>
    <row r="54" spans="1:9" ht="18.95" customHeight="1" thickTop="1"/>
    <row r="56" spans="1:9">
      <c r="C56" s="111" t="s">
        <v>691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50</vt:i4>
      </vt:variant>
    </vt:vector>
  </HeadingPairs>
  <TitlesOfParts>
    <vt:vector size="76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high_fcst</vt:lpstr>
      <vt:lpstr>Imbalances</vt:lpstr>
      <vt:lpstr>low_fcst</vt:lpstr>
      <vt:lpstr>NSG_date</vt:lpstr>
      <vt:lpstr>NSG_First_date</vt:lpstr>
      <vt:lpstr>NSG_GC_Sendout_est</vt:lpstr>
      <vt:lpstr>NSG_sendout</vt:lpstr>
      <vt:lpstr>NSG_Sendout_Input</vt:lpstr>
      <vt:lpstr>NSG_Sendouts</vt:lpstr>
      <vt:lpstr>Old_Imbalance</vt:lpstr>
      <vt:lpstr>PGL_date</vt:lpstr>
      <vt:lpstr>PGL_First_date</vt:lpstr>
      <vt:lpstr>PGL_GC_Sendout_est</vt:lpstr>
      <vt:lpstr>PGL_high</vt:lpstr>
      <vt:lpstr>PGL_low</vt:lpstr>
      <vt:lpstr>PGL_Nom_Input</vt:lpstr>
      <vt:lpstr>PGL_Noms</vt:lpstr>
      <vt:lpstr>PGL_sendout</vt:lpstr>
      <vt:lpstr>PGL_Sendout_Input</vt:lpstr>
      <vt:lpstr>PGL_Sendouts</vt:lpstr>
      <vt:lpstr>PGL_temp</vt:lpstr>
      <vt:lpstr>PGL_wind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  <vt:lpstr>wind_fcst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2001-09-24T21:05:25Z</cp:lastPrinted>
  <dcterms:created xsi:type="dcterms:W3CDTF">1997-07-16T16:14:22Z</dcterms:created>
  <dcterms:modified xsi:type="dcterms:W3CDTF">2023-09-10T16:59:40Z</dcterms:modified>
</cp:coreProperties>
</file>