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6671A4-D37F-4972-9488-E7EE639D2F7B}" xr6:coauthVersionLast="47" xr6:coauthVersionMax="47" xr10:uidLastSave="{00000000-0000-0000-0000-000000000000}"/>
  <bookViews>
    <workbookView xWindow="-120" yWindow="-120" windowWidth="38640" windowHeight="15720" firstSheet="19" activeTab="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<sst xmlns="http://schemas.openxmlformats.org/spreadsheetml/2006/main" count="2085" uniqueCount="828">
  <si>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</si>
  <si>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</si>
  <si>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</si>
  <si>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</si>
  <si>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</si>
  <si>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</si>
  <si>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</si>
  <si>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</si>
  <si>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</si>
  <si>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</si>
  <si>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</si>
  <si>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</si>
  <si>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</si>
  <si>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</si>
  <si>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</si>
  <si>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</si>
  <si>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</si>
  <si>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</si>
  <si>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</si>
  <si>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</si>
  <si>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</si>
  <si>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</si>
  <si>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</si>
  <si>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</si>
  <si>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</si>
  <si>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</si>
  <si>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</si>
  <si>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</si>
  <si>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</si>
  <si>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</si>
  <si>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</si>
  <si>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</si>
  <si>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</si>
  <si>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</si>
  <si>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</si>
  <si>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</si>
  <si>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</si>
  <si>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</si>
  <si>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</si>
  <si>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</si>
  <si>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</si>
  <si>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</si>
  <si>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</si>
  <si>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</si>
  <si>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</si>
  <si>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</si>
  <si>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</si>
  <si>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</si>
  <si>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</si>
  <si>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</si>
  <si>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</si>
  <si>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</si>
  <si>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</si>
  <si>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</si>
  <si>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</si>
  <si>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</si>
  <si>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</si>
  <si>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</si>
  <si>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</si>
  <si>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</si>
  <si>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</si>
  <si>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</si>
  <si>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</si>
  <si>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</si>
  <si>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</si>
  <si>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</si>
  <si>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</si>
  <si>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</si>
  <si>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</si>
  <si>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</si>
  <si>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</si>
  <si>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</si>
  <si>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</si>
  <si>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</si>
  <si>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</si>
  <si>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</si>
  <si>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</si>
  <si>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</si>
  <si>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</si>
  <si>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</si>
  <si>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</si>
  <si>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</si>
  <si>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</si>
  <si>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</si>
  <si>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</si>
  <si>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</si>
  <si>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</si>
  <si>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</si>
  <si>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</si>
  <si>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</si>
  <si>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</si>
  <si>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</si>
  <si>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</si>
  <si>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</si>
  <si>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</si>
  <si>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</si>
  <si>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</si>
  <si>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</si>
  <si>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</si>
  <si>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</si>
  <si>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</si>
  <si>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</si>
  <si>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</si>
  <si>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</si>
  <si>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</si>
  <si>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</si>
  <si>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</si>
  <si>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</si>
  <si>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</si>
  <si>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</si>
  <si>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</si>
  <si>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</si>
  <si>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</si>
  <si>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</si>
  <si>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</si>
  <si>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</si>
  <si>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</si>
  <si>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</si>
  <si>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</si>
  <si>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</si>
  <si>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</si>
  <si>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</si>
  <si>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</si>
  <si>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</si>
  <si>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</si>
  <si>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</si>
  <si>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</si>
  <si>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</si>
  <si>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</si>
  <si>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</si>
  <si>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</si>
  <si>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</si>
  <si>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</si>
  <si>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</si>
  <si>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</si>
  <si>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</si>
  <si>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</si>
  <si>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</si>
  <si>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</si>
  <si>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</si>
  <si>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</si>
  <si>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</si>
  <si>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</si>
  <si>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</si>
  <si>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</si>
  <si>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</si>
  <si>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</si>
  <si>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</si>
  <si>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</si>
  <si>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</si>
  <si>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</si>
  <si>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</si>
  <si>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</si>
  <si>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</si>
  <si>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</si>
  <si>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</si>
  <si>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</si>
  <si>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</si>
  <si>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</si>
  <si>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</si>
  <si>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</si>
  <si>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</si>
  <si>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</si>
  <si>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</si>
  <si>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</si>
  <si>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</si>
  <si>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</si>
  <si>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</si>
  <si>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</si>
  <si>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</si>
  <si>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</si>
  <si>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</si>
  <si>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</si>
  <si>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</si>
  <si>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</si>
  <si>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</si>
  <si>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</si>
  <si>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</si>
  <si>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</si>
  <si>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</si>
  <si>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</si>
  <si>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</si>
  <si>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</si>
  <si>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</si>
  <si>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</si>
  <si>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</si>
  <si>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</si>
  <si>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</si>
  <si>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</si>
  <si>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</si>
  <si>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</si>
  <si>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</si>
  <si>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</si>
  <si>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</si>
  <si>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</si>
  <si>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</si>
  <si>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</si>
  <si>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</si>
  <si>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</si>
  <si>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</si>
  <si>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</si>
  <si>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</si>
  <si>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</si>
  <si>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</si>
  <si>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</si>
  <si>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</si>
  <si>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</si>
  <si>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</si>
  <si>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</si>
  <si>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</si>
  <si>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</si>
  <si>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</si>
  <si>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</si>
  <si>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</si>
  <si>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</si>
  <si>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</si>
  <si>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</si>
  <si>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</si>
  <si>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</si>
  <si>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</si>
  <si>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</si>
  <si>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</si>
  <si>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</si>
  <si>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</si>
  <si>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</si>
  <si>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</si>
  <si>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</si>
  <si>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</si>
  <si>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</si>
  <si>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</si>
  <si>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</si>
  <si>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</si>
  <si>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</si>
  <si>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</si>
  <si>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</si>
  <si>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</si>
  <si>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</si>
  <si>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</si>
  <si>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</si>
  <si>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</si>
  <si>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</si>
  <si>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</si>
  <si>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</si>
  <si>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</si>
  <si>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</si>
  <si>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</si>
  <si>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</si>
  <si>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</si>
  <si>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</si>
  <si>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</si>
  <si>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</si>
  <si>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</si>
  <si>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</si>
  <si>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</si>
  <si>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</si>
  <si>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</si>
  <si>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</si>
  <si>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</si>
  <si>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</si>
  <si>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</si>
  <si>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</si>
  <si>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</si>
  <si>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</si>
  <si>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</si>
  <si>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</si>
  <si>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</si>
  <si>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</si>
  <si>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</si>
  <si>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</si>
  <si>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</si>
  <si>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</si>
  <si>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</si>
  <si>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</si>
  <si>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</si>
  <si>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</si>
  <si>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</si>
  <si>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</si>
  <si>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</si>
  <si>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</si>
  <si>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</si>
  <si>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</si>
  <si>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</si>
  <si>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</si>
  <si>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</si>
  <si>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</si>
  <si>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</si>
  <si>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</si>
  <si>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</si>
  <si>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</si>
  <si>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</si>
  <si>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</si>
  <si>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</si>
  <si>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</si>
  <si>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</si>
  <si>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</si>
  <si>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</si>
  <si>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</si>
  <si>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</si>
  <si>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</si>
  <si>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</si>
  <si>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</si>
  <si>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</si>
  <si>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</si>
  <si>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</si>
  <si>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</si>
  <si>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</si>
  <si>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</si>
  <si>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</si>
  <si>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</si>
  <si>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</si>
  <si>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</si>
  <si>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</si>
  <si>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</si>
  <si>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</si>
  <si>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</si>
  <si>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</si>
  <si>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</si>
  <si>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</si>
  <si>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</si>
  <si>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</si>
  <si>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</si>
  <si>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</si>
  <si>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</si>
  <si>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</si>
  <si>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</si>
  <si>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</si>
  <si>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</si>
  <si>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</si>
  <si>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</si>
  <si>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</si>
  <si>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</si>
  <si>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</si>
  <si>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</si>
  <si>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</si>
  <si>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</si>
  <si>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</si>
  <si>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</si>
  <si>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</si>
  <si>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</si>
  <si>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</si>
  <si>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</si>
  <si>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</si>
  <si>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</si>
  <si>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</si>
  <si>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</si>
  <si>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</si>
  <si>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</si>
  <si>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</si>
  <si>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</si>
  <si>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</si>
  <si>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</si>
  <si>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</si>
  <si>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</si>
  <si>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</si>
  <si>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</si>
  <si>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</si>
  <si>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</si>
  <si>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</si>
  <si>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</si>
  <si>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</si>
  <si>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</si>
  <si>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</si>
  <si>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</si>
  <si>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</si>
  <si>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</si>
  <si>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</si>
  <si>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</si>
  <si>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</si>
  <si>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</si>
  <si>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</si>
  <si>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</si>
  <si>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</si>
  <si>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</si>
  <si>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</si>
  <si>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</si>
  <si>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</si>
  <si>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</si>
  <si>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</si>
  <si>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</si>
  <si>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</si>
  <si>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</si>
  <si>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</si>
  <si>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</si>
  <si>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</si>
  <si>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</si>
  <si>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</si>
  <si>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</si>
  <si>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</si>
  <si>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</si>
  <si>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</si>
  <si>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</si>
  <si>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</si>
  <si>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</si>
  <si>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</si>
  <si>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</si>
  <si>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</si>
  <si>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</si>
  <si>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</si>
  <si>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</si>
  <si>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</si>
  <si>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</si>
  <si>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</si>
  <si>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</si>
  <si>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</si>
  <si>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</si>
  <si>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</si>
  <si>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</si>
  <si>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</si>
  <si>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</si>
  <si>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</si>
  <si>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</si>
  <si>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</si>
  <si>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</si>
  <si>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</si>
  <si>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</si>
  <si>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</si>
  <si>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</si>
  <si>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</si>
  <si>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</si>
  <si>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</si>
  <si>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</si>
  <si>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</si>
  <si>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</si>
  <si>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</si>
  <si>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</si>
  <si>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</si>
  <si>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</si>
  <si>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</si>
  <si>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</si>
  <si>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</si>
  <si>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</si>
  <si>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</si>
  <si>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</si>
  <si>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</si>
  <si>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</si>
  <si>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</si>
  <si>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</si>
  <si>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</si>
  <si>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</si>
  <si>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</si>
  <si>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</si>
  <si>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</si>
  <si>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</si>
  <si>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</si>
  <si>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</si>
  <si>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</si>
  <si>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</si>
  <si>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</si>
  <si>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</si>
  <si>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</si>
  <si>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</si>
  <si>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</si>
  <si>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</si>
  <si>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</si>
  <si>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</si>
  <si>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</si>
  <si>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</si>
  <si>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</si>
  <si>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</si>
  <si>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</si>
  <si>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</si>
  <si>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</si>
  <si>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</si>
  <si>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</si>
  <si>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</si>
  <si>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</si>
  <si>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</si>
  <si>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</si>
  <si>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</si>
  <si>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</si>
  <si>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</si>
  <si>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</si>
  <si>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</si>
  <si>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</si>
  <si>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</si>
  <si>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</si>
  <si>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</si>
  <si>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</si>
  <si>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</si>
  <si>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</si>
  <si>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</si>
  <si>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</si>
  <si>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</si>
  <si>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</si>
  <si>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</si>
  <si>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</si>
  <si>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</si>
  <si>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</si>
  <si>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</si>
  <si>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</si>
  <si>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</si>
  <si>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</si>
  <si>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</si>
  <si>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</si>
  <si>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</si>
  <si>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</si>
  <si>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</si>
  <si>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</si>
  <si>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</si>
  <si>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</si>
  <si>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</si>
  <si>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</si>
  <si>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</si>
  <si>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</si>
  <si>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</si>
  <si>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</si>
  <si>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</si>
  <si>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</si>
  <si>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</si>
  <si>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</si>
  <si>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</si>
  <si>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</si>
  <si>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</si>
  <si>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</si>
  <si>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</si>
  <si>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</si>
  <si>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</si>
  <si>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</si>
  <si>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</si>
  <si>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</si>
  <si>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</si>
  <si>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</si>
  <si>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</si>
  <si>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</si>
  <si>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</si>
  <si>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</si>
  <si>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</si>
  <si>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</si>
  <si>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</si>
  <si>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</si>
  <si>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</si>
  <si>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</si>
  <si>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</si>
  <si>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</si>
  <si>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</si>
  <si>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</si>
  <si>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</si>
  <si>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</si>
  <si>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</si>
  <si>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</si>
  <si>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</si>
  <si>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</si>
  <si>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</si>
  <si>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</si>
  <si>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</si>
  <si>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</si>
  <si>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</si>
  <si>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</si>
  <si>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</si>
  <si>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</si>
  <si>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</si>
  <si>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</si>
  <si>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</si>
  <si>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</si>
  <si>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</si>
  <si>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</si>
  <si>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</si>
  <si>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</si>
  <si>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</si>
  <si>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</si>
  <si>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</si>
  <si>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</si>
  <si>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</si>
  <si>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</si>
  <si>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</si>
  <si>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</si>
  <si>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</si>
  <si>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</si>
  <si>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</si>
  <si>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</si>
  <si>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</si>
  <si>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</si>
  <si>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</si>
  <si>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</si>
  <si>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</si>
  <si>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</si>
  <si>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</si>
  <si>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</si>
  <si>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</si>
  <si>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</si>
  <si>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</si>
  <si>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</si>
  <si>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</si>
  <si>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</si>
  <si>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</si>
  <si>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</si>
  <si>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</si>
  <si>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</si>
  <si>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</si>
  <si>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</si>
  <si>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</si>
  <si>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</si>
  <si>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</si>
  <si>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</si>
  <si>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</si>
  <si>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</si>
  <si>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</si>
  <si>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</si>
  <si>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</si>
  <si>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</si>
  <si>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</si>
  <si>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</si>
  <si>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</si>
  <si>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</si>
  <si>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</si>
  <si>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</si>
  <si>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</si>
  <si>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</si>
  <si>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</si>
  <si>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</si>
  <si>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</si>
  <si>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</si>
  <si>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</si>
  <si>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</si>
  <si>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</si>
  <si>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</si>
  <si>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</si>
  <si>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</si>
  <si>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</si>
  <si>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</si>
  <si>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</si>
  <si>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</si>
  <si>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</si>
  <si>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</si>
  <si>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</si>
  <si>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</si>
  <si>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</si>
  <si>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</si>
  <si>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</si>
  <si>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</si>
  <si>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</si>
  <si>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</si>
  <si>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</si>
  <si>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</si>
  <si>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</si>
  <si>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</si>
  <si>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</si>
  <si>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</si>
  <si>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</si>
  <si>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</si>
  <si>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</si>
  <si>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</si>
  <si>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</si>
  <si>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</si>
  <si>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</si>
  <si>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</si>
  <si>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</si>
  <si>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</si>
  <si>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</si>
  <si>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</si>
  <si>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</si>
  <si>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</si>
  <si>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</si>
  <si>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</si>
  <si>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</si>
  <si>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</si>
  <si>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</si>
  <si>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</si>
  <si>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</si>
  <si>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</si>
  <si>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</si>
  <si>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</si>
  <si>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</si>
  <si>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</si>
  <si>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</si>
  <si>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</si>
  <si>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</si>
  <si>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</si>
  <si>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</si>
  <si>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</si>
  <si>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</si>
  <si>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</si>
  <si>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</si>
  <si>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</si>
  <si>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</si>
  <si>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</si>
  <si>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</si>
  <si>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</si>
  <si>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</si>
  <si>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</si>
  <si>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</si>
  <si>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</si>
  <si>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</si>
  <si>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</si>
  <si>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</si>
  <si>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</si>
  <si>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</si>
  <si>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</si>
  <si>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</si>
  <si>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</si>
  <si>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</si>
  <si>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</si>
  <si>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</si>
  <si>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</si>
  <si>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</si>
  <si>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</si>
  <si>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</si>
  <si>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</si>
  <si>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</si>
  <si>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</si>
  <si>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</si>
  <si>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</si>
  <si>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</si>
  <si>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</si>
  <si>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</si>
  <si>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</si>
  <si>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</si>
  <si>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</si>
  <si>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</si>
  <si>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</si>
  <si>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</si>
  <si>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</si>
  <si>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</si>
  <si>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</si>
  <si>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</si>
  <si>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</si>
  <si>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</si>
  <si>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</si>
  <si>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</si>
  <si>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</si>
  <si>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</si>
  <si>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</si>
  <si>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</si>
  <si>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</si>
  <si>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</si>
  <si>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</si>
  <si>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</si>
  <si>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</si>
  <si>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</si>
  <si>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</si>
  <si>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</si>
  <si>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</si>
  <si>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</si>
  <si>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</si>
  <si>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</si>
  <si>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</si>
  <si>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</si>
  <si>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</si>
  <si>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</si>
  <si>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</si>
  <si>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</si>
  <si>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</si>
  <si>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</si>
  <si>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</si>
  <si>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</si>
  <si>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</si>
  <si>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</si>
  <si>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</si>
  <si>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</si>
  <si>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</si>
  <si>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</si>
  <si>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</si>
  <si>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</si>
  <si>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</si>
  <si>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</si>
  <si>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</si>
  <si>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</si>
  <si>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</si>
  <si>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</si>
  <si>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</si>
  <si>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</si>
  <si>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</si>
  <si>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</si>
  <si>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</si>
  <si>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</si>
  <si>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</si>
  <si>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</si>
  <si>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</si>
  <si>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</si>
  <si>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</si>
  <si>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</si>
  <si>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</si>
  <si>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</si>
  <si>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</si>
  <si>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</si>
  <si>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</si>
  <si>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</si>
  <si>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</si>
  <si>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</si>
  <si>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</si>
  <si>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</si>
  <si>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</si>
  <si>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</si>
  <si>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</si>
  <si>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</si>
  <si>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</si>
  <si>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</si>
  <si>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</si>
  <si>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</si>
  <si>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</si>
  <si>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</si>
  <si>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</si>
  <si>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</si>
  <si>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</si>
  <si>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</si>
  <si>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</si>
  <si>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</si>
  <si>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</si>
  <si>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</si>
  <si>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</si>
  <si>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</si>
  <si>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</si>
  <si>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</si>
  <si>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</si>
  <si>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</si>
  <si>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</si>
  <si>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</si>
  <si>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</si>
  <si>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</si>
  <si>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</si>
  <si>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</si>
  <si>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</si>
  <si>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</si>
  <si>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</si>
  <si>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</si>
  <si>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</si>
  <si>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</si>
  <si>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</si>
  <si>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</si>
  <si>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</si>
  <si>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 xml:space="preserve">   RATHER CLOUDY, COOL AND BREEZY.</t>
  </si>
  <si>
    <t xml:space="preserve">  TODAY - A GOOD DEAL OF SUNSHINE</t>
  </si>
  <si>
    <t xml:space="preserve">  TONIGHT - CLEAR TO PARTLY CLOUDY.</t>
  </si>
  <si>
    <t xml:space="preserve">  PARTLY TO MOSTLY SUNNY IN THE MORNING </t>
  </si>
  <si>
    <t xml:space="preserve">  FOLLOWED BY THICKENING CLOUDS.</t>
  </si>
  <si>
    <t xml:space="preserve">  MAINLY CLOUDY</t>
  </si>
  <si>
    <t xml:space="preserve">  PARTLY SUNNY</t>
  </si>
  <si>
    <t xml:space="preserve">  MOSTLY CLOUDY; IT MAY SHOWER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</si>
</sst>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D0DE801A-9695-8F60-47BE-B4ABFBD44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2519844-86CA-3170-04F1-C953FAA316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7B6B0B1-B274-9417-7694-5F84A8A5E4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BEFFE80E-26FF-85F9-F605-151538214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4B61941-DB0D-BB8C-7D83-3CC5C694F3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16C18867-3FE3-E62E-C074-DCEF0D478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4C63FE6-A01E-76AC-5AFB-3214CD9575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55784005-3962-F5F7-A236-E2D2AAE4F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AC178073-DB6A-D2A3-4545-F78373B0DA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208AB17-5C4C-D3D7-240C-EDA1DB0BD2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9622ADB2-1CA7-3F6C-7924-9A533A4443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9015E6B5-6916-FA96-D367-20BB6AAEC8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FD660478-BC93-D0F8-5551-D3CD1EFAB5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D2ACB253-8CF8-198F-8FFF-C411FC512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DF9901D3-011B-6F71-16AF-BF624738D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31769DC-8D4E-2859-0F40-7E40FC2A3A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981571E9-573F-0DD3-16F4-8D09F1755E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A4A74207-E4FE-68AE-D433-B098D052E6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19FA7514-8C0D-7BB5-1AC0-B757AEA0C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3FBCCE95-B4B0-A09C-1C7E-888FECD070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4AEF2526-23B8-55D8-20D8-30FDF87DB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7B15C398-F671-9CE9-EA6E-11CF41C11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C5CC9C60-604D-E5E5-C154-CB2541FF0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9B8BD6D6-8471-BB0C-3FDC-0E2CB82E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9307977F-E5E7-937F-E826-34A6D0E7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C7AF487B-E6E9-E9BD-AFAC-4D1ED816E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4A8FB185-1351-DAEE-7C71-E9C8AC64E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7909354B-0DB2-C53C-3A45-7B5E32221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014AEB95-3357-4861-C50D-4E631510F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67424177-0AB2-FA19-50B1-084CA2F43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1D3BDC8F-E5A5-F61E-63F2-BF20F0D3A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CD373AFE-93E5-26E7-F173-FBCCA1640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A1267C02-4D28-C45E-2AF8-AAB2854D0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A3433429-2917-38CC-2C92-5771DECB1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52008349-DD16-44A6-0F4C-66B53AFD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18447A2E-280A-29FA-347F-9C0931AC0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26751EE7-E1B6-5E22-D4BE-E562926AF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523F65B6-0267-2E02-6821-C93D83CE3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6E07BB46-1C18-5CAE-59B8-381FD2148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BCACA3EC-FD3C-4B99-1EAE-4B79656A0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9867CB83-89C5-F6E1-6D2B-B1A88668A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0EA8E2D4-DDFA-179A-44B2-5C7100912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D140FFF4-C601-DC80-EF7B-BD61CDB2F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3EE43F44-151F-A4B2-59CE-F73944278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841" name="Day_1">
          <a:extLst>
            <a:ext uri="{FF2B5EF4-FFF2-40B4-BE49-F238E27FC236}">
              <a16:creationId xmlns:a16="http://schemas.microsoft.com/office/drawing/2014/main" id="{A41D8B94-9A39-E994-EEFD-1E97BCF38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842" name="Day_2">
          <a:extLst>
            <a:ext uri="{FF2B5EF4-FFF2-40B4-BE49-F238E27FC236}">
              <a16:creationId xmlns:a16="http://schemas.microsoft.com/office/drawing/2014/main" id="{FF8DC16E-0DC5-5E77-41E7-AA3FF7446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843" name="Day_3">
          <a:extLst>
            <a:ext uri="{FF2B5EF4-FFF2-40B4-BE49-F238E27FC236}">
              <a16:creationId xmlns:a16="http://schemas.microsoft.com/office/drawing/2014/main" id="{57B4791E-BFA9-790C-62F2-0671A3695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844" name="Day_4">
          <a:extLst>
            <a:ext uri="{FF2B5EF4-FFF2-40B4-BE49-F238E27FC236}">
              <a16:creationId xmlns:a16="http://schemas.microsoft.com/office/drawing/2014/main" id="{921002FD-9D46-F70E-21FC-A4CAB2E59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845" name="Day_5">
          <a:extLst>
            <a:ext uri="{FF2B5EF4-FFF2-40B4-BE49-F238E27FC236}">
              <a16:creationId xmlns:a16="http://schemas.microsoft.com/office/drawing/2014/main" id="{F7D96F80-B546-AA51-40B7-68AF3DF59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846" name="Day_6">
          <a:extLst>
            <a:ext uri="{FF2B5EF4-FFF2-40B4-BE49-F238E27FC236}">
              <a16:creationId xmlns:a16="http://schemas.microsoft.com/office/drawing/2014/main" id="{CF2F19A4-64FF-AF51-F0E7-977DF45F1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F62EBAE8-813E-9828-538B-F1B4CD538C9B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3C15236C-80B1-596E-97D0-E71C21FE0C9E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321CE4FD-7567-CD5B-7A3A-394DD8F356FE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7027B7D2-0209-C410-D17A-0E2BD8868A86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BCB02AC7-9AD9-7A45-31EA-FDBB20A659C5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1C2E8252-C52E-5801-DAAE-80F8ACA762C4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A0374944-946D-68C2-1FF1-6CE809B25245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3F64535D-1630-68DD-BB4D-592F77ADCD63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D599E47E-6218-3227-299C-EAB3526B38C9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120F886C-E01B-48D6-007E-6A759125F643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C6426DAB-61F5-F954-95D7-7AE9F95AB177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8B6D8B0C-AEB9-EE2A-C152-328EEDB7D115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D593D612-93B9-D687-AEE6-24749E645E96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81062ABB-0EF1-7705-D8AC-1B65B506F466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836E2B9E-2204-8F58-D01A-B7F1EA05D7F8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1B2A5303-DAA8-3B58-559F-98AB5B4FABAA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324E511F-87B4-9AC4-08E7-752492832DC4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441715A4-29D7-071D-AF1C-7A6FEB0018C0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8C78756B-7CCF-A7EF-28FE-077C49EBE48C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A6B146C9-5E40-A3CA-4FED-391B69C6659A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65494D9F-4C62-6DDB-8AC4-6FE74C6ED3B0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72C3EDEB-B2A3-0646-1E1D-DEBC16C2F122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52531F7E-C7F3-78A4-17C1-F0DCA813D919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2FA5CE44-14DC-A0DF-F18C-43AF30BE1600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46DA7C63-0303-3583-6534-8CCD84F3ED75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286ACFFE-8AF4-3983-90F4-42B0BD5C3B39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867E6477-5E81-F709-C9A9-1B6B72FEC658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1ADB9F8B-4531-FE54-40E7-79DC77E52095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911BA03B-E653-38EC-FDFC-7DCF5BBF07DA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7DA53763-342F-0F5A-9E72-A8A51044CA83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0F0011E8-280C-AE19-44FF-EF1E8289112B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E4A74C67-D8AE-143D-376F-706AAA55EB4D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7947B16C-854B-AFDD-7742-75DC84BB7E9F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A2DC2DC8-88A3-43BE-3CB0-EAA5B2DA2503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C078BE4B-1F3A-6E39-2542-AE1636D8AD96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8DB8A26E-98A0-DA84-57A5-279E3F56955D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A6ED93B2-9AD9-3570-0927-B78CB2A9FB36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5B7AF869-2F01-96E5-DE18-BA1906628847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8BF8B3C3-F7F1-8783-27A8-CBD9F24D133C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4EE3492E-0E12-6EA8-96ED-A37DD5AA2BD5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90CD6F0A-3367-B170-6DCC-40FC4E41188C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669A88F2-FC3C-6073-C165-473974A2D3D9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52105370-7247-C440-8111-6E97E1741921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4FA271FB-BC31-1085-51D2-941B013E36D2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EC3B3D01-DB6E-0A54-E86C-41E4E5E16D33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A97578AC-F062-0CE6-6796-C438DBD7656E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92764D60-B12B-356E-4EC0-92A3C328358B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CDD4AA98-60B4-0B2A-1FB1-41F99E3C06D7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247EE83D-A1D4-73C7-8762-63C622EC1223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8C19DFAC-2714-F976-6910-2AC6A42F56AC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30533524-7C85-C247-8974-A5B8EE06DC7D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53156018-2E08-0C16-1D41-BE4C33CC68CF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664EC00F-3499-30CB-C3D7-561C897936B2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8021985F-C30D-E0D8-1A9E-6A2039623F19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90B7A50F-A74B-4781-329B-9962E6C21116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0BBB2586-5426-482E-0EF4-0FDF920B6B8A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3AE312F1-93F5-5CFA-9CB2-4B932D1F26DF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76B115DB-8A7F-17C6-CE3C-ACFD07A28327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E67025AD-0E36-1589-D5B9-A3451758DC90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B0361909-81DF-1A6A-3F02-88813FA657AD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C3F22E6D-8C8A-EF27-118F-D9CFB55B3F9B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89422647-B32C-719D-AFCE-C17B7E4CAB0D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94C6E0CE-6A18-8FB8-927B-62ACA348BA5F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9BEDB80A-543C-5856-CDA2-F2173DFEBD70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5EC24758-D60E-3723-1D8A-4605EEA33E03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F3B7AFA1-3FA5-B4EA-921C-F460B57B93FF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83CCEBA4-209D-B0FD-4FD0-2E32DAE65C55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5440FB42-22D0-D193-9563-9D85EF3B93F8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95E6471A-8C3D-F63A-F1B4-576C15A74236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878AEC56-C56B-2AD0-8065-8812418A1503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4F2BE00B-69E6-1222-A82B-0631A9E764BE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79239712-561C-D7A0-5183-3A31BFFC8565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F4C79D6F-3BDA-14E2-1541-684A7C517D7A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D2421922-3296-C96B-07CE-FA0D6A62C372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5150E166-F37E-150A-72DC-53550F98A92D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5814C5FE-FC5A-D249-5D27-C8AAE5833188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1103F3EC-0916-1BFE-6488-E3C04067215D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3B9BC391-2C92-07E0-D762-0FA2F554C602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91D198D4-EE79-5112-D5FA-6D2ACB8D066F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4F696FC2-0279-A8F0-1C0E-DAD10BA2DD75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AEE727E7-B460-1EC9-1949-9A6EC057E5D6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52A0FEB2-E8E3-6595-C6F9-015AD7100AF0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B75C02FE-406B-017E-4BA8-827C9E717DDD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CD20B19B-2DC0-5651-58CA-951E1FDC1EB9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08FD6927-D83B-08CA-DAD9-B77C28E7E058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019F857A-8858-D92A-EF6B-060255E0EFAD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4FD130A9-92E3-0E5B-F656-8CA3FAAA538D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687530A5-F700-8DAE-2177-515EE2F3B608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64EDF718-C2C4-708D-9AFE-9246B2DB2727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BF03E6E4-3B29-1FC8-543E-DC8724379A99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846B02F4-4123-C367-9735-F18AC124FB66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CF654F4F-AAF7-9812-B5C6-A78F9DC4E48C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0217A8D2-1D65-802E-3D31-1489E352973D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6CB19689-ED63-5DF3-4391-24904FF53369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12476ED0-756E-9551-5A41-5471A831FA84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84D9797E-8F51-610B-D797-251AF327E056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3EFDCD1B-AE55-1046-4167-29AEA30E5664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53E98E82-AC1E-90C2-C7CD-E6A9CE490D78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738EE6C1-31C1-7C8E-7669-7039D3CC3F89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B7FDD88A-6E7C-0858-D26C-CD7C9E2EB798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BC8EA110-9EBC-B6E1-F85B-DAAC45C8BFC2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E142B440-80F9-82BD-4766-CB2FAD4EDE2D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B2FDB42D-3D04-3350-A984-B01FF4B7841B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AF017ED4-945E-3A63-A450-8F962C9EDC15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B206F402-3283-98F3-6DAE-B00FD9341B0C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53F0837A-A0FE-7B38-3ED0-9816CBFFCE10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E271080B-A4B4-D69E-0939-025788D99D03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4AB394C4-F529-4A06-18B1-B13EE41E6904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6757CB54-0500-71CD-2044-8B77563AFFCC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09268764-D16A-A75D-ADE5-B2F0EED430A1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7F0C3F4B-7830-26CF-6FDB-69FD355093BA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8B4F5FB4-2614-9FDB-0085-052D34A6F3D0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2425FE01-1FBB-8621-32FA-950AA43C7A1C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FCE96510-677F-90A2-D612-58331EFC5451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0F38F08B-4072-B16E-BF8C-D69D88A33C82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ED540AAB-CA1F-5B16-98F8-C9BCF6752711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D5DBB92F-9EF6-3555-D72E-11A029BCAF7E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5E86EC6D-E0F2-7A61-492B-3B7CD26058D8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92BDF8BD-099A-494F-27F4-4E410F021A14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19B5800F-2530-779E-47C8-76F9A31DFE7E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9C84C845-4436-BD9B-BB8D-777BB3DFA15D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202B46BB-E01C-325B-3814-FD593B678591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2230986F-EDF3-AD8B-4442-C19958F53079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6CC533DF-8CC3-898B-45AB-0BDBA5182CB2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B2557FF4-7557-ECC6-5F0F-1BDC1D2D9F48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61B16D83-F3F8-5D7C-2F76-A9FA4AD219BB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8CA66A0C-35B2-AE04-26AA-41E1C1817314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B2CFEC9E-E76C-5F05-0C76-40FE3A2573F7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1AB809B9-ACEA-58FB-DA6B-A9446A588753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F4F2A6AD-7F33-F7E0-0CC2-3C3ACC90B64A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05" t="s">
        <v>9</v>
      </c>
      <c r="B1" s="777"/>
    </row>
    <row r="2" spans="1:88">
      <c r="A2" s="1005"/>
      <c r="B2" t="s">
        <v>9</v>
      </c>
    </row>
    <row r="3" spans="1:88" ht="15.75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THU</v>
      </c>
      <c r="I1" s="844">
        <f>D4</f>
        <v>37147</v>
      </c>
      <c r="J1" s="110"/>
    </row>
    <row r="2" spans="1:10" ht="24.95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5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  <c r="J3" s="110"/>
    </row>
    <row r="4" spans="1:10" ht="24.95" customHeight="1" thickBot="1">
      <c r="A4" s="810" t="s">
        <v>152</v>
      </c>
      <c r="B4" s="811"/>
      <c r="C4" s="811"/>
      <c r="D4" s="812">
        <f>Weather_Input!A5</f>
        <v>37147</v>
      </c>
      <c r="E4" s="812">
        <f>Weather_Input!A6</f>
        <v>37148</v>
      </c>
      <c r="F4" s="812">
        <f>Weather_Input!A7</f>
        <v>37149</v>
      </c>
      <c r="G4" s="812">
        <f>Weather_Input!A8</f>
        <v>37150</v>
      </c>
      <c r="H4" s="812">
        <f>Weather_Input!A9</f>
        <v>37151</v>
      </c>
      <c r="I4" s="813">
        <f>Weather_Input!A10</f>
        <v>37152</v>
      </c>
      <c r="J4" s="110"/>
    </row>
    <row r="5" spans="1:10" s="111" customFormat="1" ht="24.95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67/55/61</v>
      </c>
      <c r="E5" s="845" t="str">
        <f>TEXT(Weather_Input!B6,"0")&amp;"/"&amp;TEXT(Weather_Input!C6,"0") &amp; "/" &amp; TEXT((Weather_Input!B6+Weather_Input!C6)/2,"0")</f>
        <v>67/45/56</v>
      </c>
      <c r="F5" s="845" t="str">
        <f>TEXT(Weather_Input!B7,"0")&amp;"/"&amp;TEXT(Weather_Input!C7,"0") &amp; "/" &amp; TEXT((Weather_Input!B7+Weather_Input!C7)/2,"0")</f>
        <v>67/47/57</v>
      </c>
      <c r="G5" s="845" t="str">
        <f>TEXT(Weather_Input!B8,"0")&amp;"/"&amp;TEXT(Weather_Input!C8,"0") &amp; "/" &amp; TEXT((Weather_Input!B8+Weather_Input!C8)/2,"0")</f>
        <v>70/51/61</v>
      </c>
      <c r="H5" s="845" t="str">
        <f>TEXT(Weather_Input!B9,"0")&amp;"/"&amp;TEXT(Weather_Input!C9,"0") &amp; "/" &amp; TEXT((Weather_Input!B9+Weather_Input!C9)/2,"0")</f>
        <v>74/53/64</v>
      </c>
      <c r="I5" s="846" t="str">
        <f>TEXT(Weather_Input!B10,"0")&amp;"/"&amp;TEXT(Weather_Input!C10,"0") &amp; "/" &amp; TEXT((Weather_Input!B10+Weather_Input!C10)/2,"0")</f>
        <v>74/60/67</v>
      </c>
      <c r="J5" s="110"/>
    </row>
    <row r="6" spans="1:10" ht="24.95" customHeight="1">
      <c r="A6" s="817" t="s">
        <v>133</v>
      </c>
      <c r="B6" s="805"/>
      <c r="C6" s="805"/>
      <c r="D6" s="815">
        <f ca="1">VLOOKUP(D4,NSG_Sendouts,CELL("Col",NSG_Deliveries!C5),FALSE)/1000</f>
        <v>39.700000000000003</v>
      </c>
      <c r="E6" s="815">
        <f ca="1">VLOOKUP(E4,NSG_Sendouts,CELL("Col",NSG_Deliveries!C6),FALSE)/1000</f>
        <v>45</v>
      </c>
      <c r="F6" s="815">
        <f ca="1">VLOOKUP(F4,NSG_Sendouts,CELL("Col",NSG_Deliveries!C7),FALSE)/1000</f>
        <v>40</v>
      </c>
      <c r="G6" s="815">
        <f ca="1">VLOOKUP(G4,NSG_Sendouts,CELL("Col",NSG_Deliveries!C8),FALSE)/1000</f>
        <v>37</v>
      </c>
      <c r="H6" s="815">
        <f ca="1">VLOOKUP(H4,NSG_Sendouts,CELL("Col",NSG_Deliveries!C9),FALSE)/1000</f>
        <v>35</v>
      </c>
      <c r="I6" s="820">
        <f ca="1">VLOOKUP(I4,NSG_Sendouts,CELL("Col",NSG_Deliveries!C10),FALSE)/1000</f>
        <v>34</v>
      </c>
      <c r="J6" s="111"/>
    </row>
    <row r="7" spans="1:10" ht="24.95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5" customHeight="1">
      <c r="A8" s="814"/>
      <c r="B8" s="805" t="s">
        <v>136</v>
      </c>
      <c r="C8" s="819" t="s">
        <v>86</v>
      </c>
      <c r="D8" s="815">
        <f>NSG_Requirements!J7/1000</f>
        <v>7.9050000000000002</v>
      </c>
      <c r="E8" s="815">
        <f>NSG_Requirements!J8/1000</f>
        <v>1.5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5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5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5" customHeight="1" thickBot="1">
      <c r="A11" s="849" t="s">
        <v>142</v>
      </c>
      <c r="B11" s="839"/>
      <c r="C11" s="839"/>
      <c r="D11" s="824">
        <f t="shared" ref="D11:I11" ca="1" si="1">SUM(D6:D10)</f>
        <v>47.605000000000004</v>
      </c>
      <c r="E11" s="824">
        <f t="shared" ca="1" si="1"/>
        <v>46.5</v>
      </c>
      <c r="F11" s="824">
        <f t="shared" ca="1" si="1"/>
        <v>40</v>
      </c>
      <c r="G11" s="824">
        <f t="shared" ca="1" si="1"/>
        <v>37</v>
      </c>
      <c r="H11" s="824">
        <f t="shared" ca="1" si="1"/>
        <v>35</v>
      </c>
      <c r="I11" s="825">
        <f t="shared" ca="1" si="1"/>
        <v>34</v>
      </c>
      <c r="J11" s="110"/>
    </row>
    <row r="12" spans="1:10" ht="24.95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5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5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5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5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5" customHeight="1">
      <c r="A17" s="814"/>
      <c r="B17" s="805" t="s">
        <v>134</v>
      </c>
      <c r="C17" s="819" t="s">
        <v>742</v>
      </c>
      <c r="D17" s="815">
        <f>NSG_Supplies!F7/1000</f>
        <v>1.4970000000000001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5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5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26.498999999999999</v>
      </c>
      <c r="E19" s="815">
        <f>NSG_Supplies!Q8/1000</f>
        <v>26.498999999999999</v>
      </c>
      <c r="F19" s="815">
        <f>NSG_Supplies!Q9/1000</f>
        <v>26.498999999999999</v>
      </c>
      <c r="G19" s="815">
        <f>NSG_Supplies!Q10/1000</f>
        <v>26.498999999999999</v>
      </c>
      <c r="H19" s="815">
        <f>NSG_Supplies!Q11/1000</f>
        <v>26.498999999999999</v>
      </c>
      <c r="I19" s="816">
        <f>NSG_Supplies!Q12/1000</f>
        <v>26.498999999999999</v>
      </c>
      <c r="J19" s="110"/>
    </row>
    <row r="20" spans="1:13" ht="24.95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5" customHeight="1" thickBot="1">
      <c r="A21" s="1198" t="s">
        <v>148</v>
      </c>
      <c r="B21" s="1199"/>
      <c r="C21" s="1199"/>
      <c r="D21" s="1200">
        <f t="shared" ref="D21:I21" si="2">SUM(D14:D20)</f>
        <v>47.995999999999995</v>
      </c>
      <c r="E21" s="1200">
        <f t="shared" si="2"/>
        <v>46.498999999999995</v>
      </c>
      <c r="F21" s="1200">
        <f t="shared" si="2"/>
        <v>46.498999999999995</v>
      </c>
      <c r="G21" s="1200">
        <f t="shared" si="2"/>
        <v>46.498999999999995</v>
      </c>
      <c r="H21" s="1200">
        <f t="shared" si="2"/>
        <v>46.498999999999995</v>
      </c>
      <c r="I21" s="1201">
        <f t="shared" si="2"/>
        <v>46.498999999999995</v>
      </c>
      <c r="J21" s="110"/>
      <c r="K21" s="111"/>
      <c r="L21" s="93"/>
      <c r="M21" s="111"/>
    </row>
    <row r="22" spans="1:13" ht="24.95" customHeight="1">
      <c r="A22" s="854" t="s">
        <v>149</v>
      </c>
      <c r="B22" s="855"/>
      <c r="C22" s="855"/>
      <c r="D22" s="856">
        <f t="shared" ref="D22:I22" ca="1" si="3">IF(D21-D11&lt;0,0,D21-D11)</f>
        <v>0.39099999999999113</v>
      </c>
      <c r="E22" s="856">
        <f t="shared" ca="1" si="3"/>
        <v>0</v>
      </c>
      <c r="F22" s="856">
        <f t="shared" ca="1" si="3"/>
        <v>6.4989999999999952</v>
      </c>
      <c r="G22" s="856">
        <f t="shared" ca="1" si="3"/>
        <v>9.4989999999999952</v>
      </c>
      <c r="H22" s="856">
        <f t="shared" ca="1" si="3"/>
        <v>11.498999999999995</v>
      </c>
      <c r="I22" s="857">
        <f t="shared" ca="1" si="3"/>
        <v>12.498999999999995</v>
      </c>
      <c r="J22" s="110"/>
      <c r="K22" s="111"/>
      <c r="L22" s="93"/>
      <c r="M22" s="111"/>
    </row>
    <row r="23" spans="1:13" ht="24.95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1.0000000000047748E-3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56" t="s">
        <v>680</v>
      </c>
      <c r="B24" s="1057"/>
      <c r="C24" s="1057"/>
      <c r="D24" s="1058">
        <f>NSG_Supplies!R7/1000</f>
        <v>16.641999999999999</v>
      </c>
      <c r="E24" s="1058">
        <f>NSG_Supplies!R8/1000</f>
        <v>16.641999999999999</v>
      </c>
      <c r="F24" s="1058">
        <f>NSG_Supplies!R9/1000</f>
        <v>16.641999999999999</v>
      </c>
      <c r="G24" s="1058">
        <f>NSG_Supplies!R10/1000</f>
        <v>16.641999999999999</v>
      </c>
      <c r="H24" s="1058">
        <f>NSG_Supplies!R11/1000</f>
        <v>16.641999999999999</v>
      </c>
      <c r="I24" s="1059">
        <f>NSG_Supplies!R12/1000</f>
        <v>16.641999999999999</v>
      </c>
    </row>
    <row r="25" spans="1:13" ht="24.95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5" customHeight="1" thickTop="1" thickBot="1">
      <c r="A26" s="861" t="s">
        <v>156</v>
      </c>
      <c r="B26" s="862"/>
      <c r="C26" s="862"/>
      <c r="D26" s="863">
        <f>Weather_Input!D5</f>
        <v>13.2</v>
      </c>
      <c r="E26" s="863">
        <f>Weather_Input!D6</f>
        <v>9</v>
      </c>
      <c r="F26" s="863">
        <f>Weather_Input!D7</f>
        <v>8</v>
      </c>
      <c r="G26" s="864"/>
      <c r="H26" s="859"/>
      <c r="I26" s="859"/>
    </row>
    <row r="27" spans="1:13" ht="15.75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37147</v>
      </c>
      <c r="N1" s="1175" t="str">
        <f>CHOOSE(WEEKDAY(M1),"SUN","MON","TUE","WED","THU","FRI","SAT")</f>
        <v>THU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75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67</v>
      </c>
      <c r="K3" s="918">
        <f>Weather_Input!C5</f>
        <v>55</v>
      </c>
      <c r="L3" s="587" t="s">
        <v>9</v>
      </c>
      <c r="M3" s="260" t="s">
        <v>9</v>
      </c>
      <c r="N3" s="260"/>
      <c r="O3" s="258"/>
    </row>
    <row r="4" spans="1:17" ht="15.75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/>
      <c r="K4" s="1213"/>
      <c r="L4" s="425"/>
      <c r="M4" s="1011"/>
      <c r="N4" s="425"/>
      <c r="O4" s="778"/>
    </row>
    <row r="5" spans="1:17" ht="16.5" thickBot="1">
      <c r="A5" s="1020" t="s">
        <v>3</v>
      </c>
      <c r="B5" s="315">
        <f>PGL_Supplies!X7/1000</f>
        <v>69.284000000000006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205</v>
      </c>
      <c r="L5" s="585"/>
      <c r="M5" s="260"/>
      <c r="N5" s="585"/>
      <c r="O5" s="258"/>
    </row>
    <row r="6" spans="1:17" ht="16.5" thickBot="1">
      <c r="A6" s="542" t="s">
        <v>411</v>
      </c>
      <c r="B6" s="1015">
        <f>+B5-B3+B2-B4</f>
        <v>69.284000000000006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5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10.425000000000001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69.284000000000006</v>
      </c>
      <c r="L9" s="1009"/>
      <c r="M9" s="1011"/>
      <c r="N9" s="425"/>
      <c r="O9" s="276" t="s">
        <v>9</v>
      </c>
    </row>
    <row r="10" spans="1:17" ht="15.75" thickBot="1">
      <c r="A10" s="617" t="s">
        <v>618</v>
      </c>
      <c r="B10" s="315">
        <f>PGL_Supplies!Y7/1000</f>
        <v>10.425000000000001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5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-115.73099999999999</v>
      </c>
      <c r="L11" s="585"/>
      <c r="M11" s="260" t="s">
        <v>9</v>
      </c>
      <c r="N11" s="585"/>
      <c r="O11" s="258"/>
    </row>
    <row r="12" spans="1:17" ht="16.5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115.3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208.20400000000001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5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5" thickBot="1">
      <c r="A16" s="416" t="s">
        <v>418</v>
      </c>
      <c r="B16" s="315">
        <f>PGL_Supplies!G7/1000</f>
        <v>0.20899999999999999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16.646000000000001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0.64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0</v>
      </c>
      <c r="L17" s="585"/>
      <c r="M17" s="260"/>
      <c r="N17" s="585"/>
      <c r="O17" s="258"/>
    </row>
    <row r="18" spans="1:15" ht="16.5" thickBot="1">
      <c r="A18" s="416" t="s">
        <v>653</v>
      </c>
      <c r="B18" s="315">
        <f>PGL_Requirements!P7/1000</f>
        <v>1.7295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5" thickBot="1">
      <c r="A19" s="501" t="s">
        <v>420</v>
      </c>
      <c r="B19" s="1166">
        <f>-B13+B14+B16-B17-B15+B20+B21</f>
        <v>-115.73099999999999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5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181.40300000000002</v>
      </c>
      <c r="L20" s="604" t="s">
        <v>9</v>
      </c>
      <c r="M20" s="494" t="s">
        <v>9</v>
      </c>
      <c r="N20" s="604" t="s">
        <v>9</v>
      </c>
      <c r="O20" s="605"/>
    </row>
    <row r="21" spans="1:15" ht="16.5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75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23.59699999999998</v>
      </c>
      <c r="L23" s="257"/>
      <c r="M23" s="597" t="s">
        <v>9</v>
      </c>
      <c r="N23" s="257"/>
      <c r="O23" s="287"/>
    </row>
    <row r="24" spans="1:15" ht="16.5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5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1.7295</v>
      </c>
      <c r="L25" s="923"/>
      <c r="M25" s="1182"/>
      <c r="N25" s="924" t="s">
        <v>9</v>
      </c>
      <c r="O25" s="251"/>
    </row>
    <row r="26" spans="1:15" ht="17.25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25.326499999999982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5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4.5119999999999996</v>
      </c>
      <c r="L28" s="298"/>
      <c r="M28" s="919" t="s">
        <v>9</v>
      </c>
      <c r="N28" s="497"/>
      <c r="O28" s="929" t="s">
        <v>9</v>
      </c>
    </row>
    <row r="29" spans="1:15" ht="16.5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75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-32.97</v>
      </c>
      <c r="L30" s="1119"/>
      <c r="M30" s="1023">
        <f>-PGL_Supplies!AB7/1000</f>
        <v>-32.97</v>
      </c>
      <c r="N30" s="1120"/>
      <c r="O30" s="1179">
        <f>-PGL_Supplies!AB7/1000</f>
        <v>-32.97</v>
      </c>
    </row>
    <row r="31" spans="1:15" ht="16.5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5" thickBot="1">
      <c r="A32" s="416" t="s">
        <v>103</v>
      </c>
      <c r="B32" s="938">
        <f>PGL_Supplies!AA7/1000+NSG_Supplies!M7/1000</f>
        <v>198.20400000000001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75" thickBot="1">
      <c r="A33" s="1076" t="s">
        <v>557</v>
      </c>
      <c r="B33" s="938">
        <f>PGL_Supplies!R7/1000</f>
        <v>20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5" thickBot="1">
      <c r="A34" s="1131" t="s">
        <v>615</v>
      </c>
      <c r="B34" s="1156">
        <f>-B30+B31+B32+B33*0.5</f>
        <v>208.20400000000001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208.20400000000001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5" thickBot="1">
      <c r="A39" s="1078" t="s">
        <v>2</v>
      </c>
      <c r="B39" s="1178">
        <f>B35+B36+B37</f>
        <v>208.20400000000001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7.25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75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THU</v>
      </c>
      <c r="G1" s="1181">
        <f>Weather_Input!A5</f>
        <v>37147</v>
      </c>
      <c r="H1" s="572" t="s">
        <v>243</v>
      </c>
      <c r="I1" s="576"/>
    </row>
    <row r="2" spans="1:9" ht="20.25">
      <c r="A2" s="621" t="s">
        <v>9</v>
      </c>
      <c r="B2" s="765" t="s">
        <v>509</v>
      </c>
      <c r="C2" s="908"/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0.25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67</v>
      </c>
      <c r="C4" s="737">
        <f>Weather_Input!C5</f>
        <v>55</v>
      </c>
      <c r="D4" s="631"/>
      <c r="E4" s="632"/>
      <c r="F4" s="631"/>
      <c r="G4" s="632"/>
      <c r="H4" s="633"/>
      <c r="I4" s="634"/>
    </row>
    <row r="5" spans="1:9" ht="24" thickBot="1">
      <c r="A5" s="635" t="s">
        <v>133</v>
      </c>
      <c r="B5" s="636"/>
      <c r="C5" s="637">
        <f>NSG_Deliveries!C5/1000</f>
        <v>39.700000000000003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4" thickBot="1">
      <c r="A7" s="645" t="s">
        <v>83</v>
      </c>
      <c r="B7" s="636"/>
      <c r="C7" s="742">
        <f>C5-C9-C11-C12</f>
        <v>27.605000000000004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12.094999999999999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3.25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3.25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4" thickBot="1">
      <c r="A19" s="682" t="s">
        <v>396</v>
      </c>
      <c r="B19" s="683"/>
      <c r="C19" s="684">
        <f>C7+C12</f>
        <v>27.605000000000004</v>
      </c>
      <c r="D19" s="685"/>
      <c r="E19" s="686"/>
      <c r="F19" s="685"/>
      <c r="G19" s="685" t="s">
        <v>9</v>
      </c>
      <c r="H19" s="683"/>
      <c r="I19" s="687"/>
    </row>
    <row r="20" spans="1:9" ht="20.25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25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25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25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25">
      <c r="A24" s="688" t="s">
        <v>405</v>
      </c>
      <c r="B24" s="693"/>
      <c r="C24" s="690">
        <f>-NSG_Supplies!F7/1000</f>
        <v>-1.4970000000000001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25">
      <c r="A25" s="688" t="s">
        <v>182</v>
      </c>
      <c r="B25" s="696"/>
      <c r="C25" s="690">
        <f>-NSG_Supplies!Q7/1000</f>
        <v>-26.498999999999999</v>
      </c>
      <c r="D25" s="697"/>
      <c r="E25" s="690">
        <f>-NSG_Supplies!Q7/1000</f>
        <v>-26.498999999999999</v>
      </c>
      <c r="F25" s="697"/>
      <c r="G25" s="690">
        <f>-NSG_Supplies!Q7/1000</f>
        <v>-26.498999999999999</v>
      </c>
      <c r="H25" s="696"/>
      <c r="I25" s="753">
        <f>-NSG_Supplies!Q7/1000</f>
        <v>-26.498999999999999</v>
      </c>
    </row>
    <row r="26" spans="1:9" ht="20.25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0.25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25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25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25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25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25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25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25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25">
      <c r="A40" s="688" t="s">
        <v>474</v>
      </c>
      <c r="B40" s="787">
        <f>NSG_Requirements!J7/1000</f>
        <v>7.9050000000000002</v>
      </c>
      <c r="C40" s="697"/>
      <c r="D40" s="715"/>
      <c r="E40" s="698"/>
      <c r="F40" s="622"/>
      <c r="G40" s="694"/>
      <c r="H40" s="694"/>
      <c r="I40" s="713"/>
    </row>
    <row r="41" spans="1:9" ht="20.25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25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25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" thickBot="1">
      <c r="A45" s="720" t="s">
        <v>472</v>
      </c>
      <c r="B45" s="789">
        <f>B44+B41-B40</f>
        <v>12.094999999999999</v>
      </c>
      <c r="C45" s="728"/>
      <c r="D45" s="727"/>
      <c r="E45" s="729"/>
      <c r="F45" s="622"/>
      <c r="G45" s="694"/>
      <c r="H45" s="694"/>
      <c r="I45" s="713"/>
    </row>
    <row r="46" spans="1:9" ht="2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25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25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25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25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37147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67</v>
      </c>
      <c r="C5" s="257">
        <f>Weather_Input!C5</f>
        <v>55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205</v>
      </c>
      <c r="C8" s="265">
        <f>NSG_Deliveries!C5/1000</f>
        <v>39.700000000000003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126.39100000000001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-46.015999999999991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0.20899999999999999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16.646000000000001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39.700000000000003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1.7295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39.700000000000003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0.64</v>
      </c>
      <c r="C27" s="301">
        <f>NSG_Requirements!P7/1000</f>
        <v>0</v>
      </c>
      <c r="D27" s="301">
        <f>PGL_Requirements!Q7/1000</f>
        <v>0.64</v>
      </c>
      <c r="E27" s="301">
        <f>NSG_Requirements!P7/1000</f>
        <v>0</v>
      </c>
      <c r="F27" s="301">
        <f>PGL_Requirements!Q7/1000</f>
        <v>0.64</v>
      </c>
      <c r="G27" s="301">
        <f>NSG_Requirements!P7/1000</f>
        <v>0</v>
      </c>
      <c r="H27" s="302">
        <f>+B27</f>
        <v>0.64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-32.97</v>
      </c>
      <c r="C32" s="306">
        <f>-NSG_Supplies!Q7/1000</f>
        <v>-26.498999999999999</v>
      </c>
      <c r="D32" s="306">
        <f>B32</f>
        <v>-32.97</v>
      </c>
      <c r="E32" s="306">
        <f>C32</f>
        <v>-26.498999999999999</v>
      </c>
      <c r="F32" s="306">
        <f>B32</f>
        <v>-32.97</v>
      </c>
      <c r="G32" s="306">
        <f>C32</f>
        <v>-26.498999999999999</v>
      </c>
      <c r="H32" s="311">
        <f>B32</f>
        <v>-32.97</v>
      </c>
      <c r="I32" s="312">
        <f>C32</f>
        <v>-26.498999999999999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-16.641999999999999</v>
      </c>
      <c r="D33" s="306">
        <f>B33</f>
        <v>0</v>
      </c>
      <c r="E33" s="306">
        <f>C33</f>
        <v>-16.641999999999999</v>
      </c>
      <c r="F33" s="306">
        <f>B33</f>
        <v>0</v>
      </c>
      <c r="G33" s="306">
        <f>C33</f>
        <v>-16.641999999999999</v>
      </c>
      <c r="H33" s="311">
        <f>B33</f>
        <v>0</v>
      </c>
      <c r="I33" s="312">
        <f>C33</f>
        <v>-16.641999999999999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4.5119999999999996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-1.4970000000000001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115.3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0.20899999999999999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1.7295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1.7295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0.20899999999999999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126.39100000000001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126.39100000000001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10.425000000000001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69.284000000000006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115.3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-46.015999999999991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THU</v>
      </c>
      <c r="H73" s="397">
        <f>Weather_Input!A5</f>
        <v>37147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75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75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5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5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0.20899999999999999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126.39100000000001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69.284000000000006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75" thickBot="1">
      <c r="A104" s="283" t="s">
        <v>104</v>
      </c>
      <c r="B104" s="598" t="s">
        <v>9</v>
      </c>
      <c r="C104" s="606">
        <f>PGL_Supplies!B7/1000</f>
        <v>16.646000000000001</v>
      </c>
      <c r="D104" s="584"/>
      <c r="E104" s="260"/>
      <c r="F104" s="585"/>
      <c r="G104" s="260"/>
      <c r="H104" s="585"/>
      <c r="I104" s="258"/>
    </row>
    <row r="105" spans="1:9" ht="16.5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5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75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5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75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75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-10.425000000000001</v>
      </c>
      <c r="C116" s="410">
        <f>-NSG_Supplies!V7/1000</f>
        <v>0</v>
      </c>
      <c r="D116" s="306">
        <f>-PGL_Supplies!Y7/1000</f>
        <v>-10.425000000000001</v>
      </c>
      <c r="E116" s="306">
        <f>-NSG_Supplies!V7/1000</f>
        <v>0</v>
      </c>
      <c r="F116" s="306">
        <f>-PGL_Supplies!Y7/1000</f>
        <v>-10.425000000000001</v>
      </c>
      <c r="G116" s="306">
        <f>-NSG_Supplies!V7/1000</f>
        <v>0</v>
      </c>
      <c r="H116" s="311">
        <f>-PGL_Supplies!Y7/1000</f>
        <v>-10.425000000000001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75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75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75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-16.641999999999999</v>
      </c>
      <c r="D123" s="304"/>
      <c r="E123" s="304"/>
      <c r="F123" s="304"/>
      <c r="G123" s="304"/>
      <c r="H123" s="308"/>
      <c r="I123" s="309"/>
    </row>
    <row r="124" spans="1:9" ht="16.5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10.425000000000001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4.5119999999999996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10.425000000000001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75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5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5.75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75" thickBot="1">
      <c r="A140" s="416" t="s">
        <v>361</v>
      </c>
      <c r="B140" s="315">
        <f>PGL_Supplies!U7/1000</f>
        <v>126.39100000000001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5" thickBot="1">
      <c r="A141" s="542" t="s">
        <v>411</v>
      </c>
      <c r="B141" s="544">
        <f>-B135+B136+B137-B138+B139+B140</f>
        <v>126.39100000000001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5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115.3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75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75" thickBot="1">
      <c r="A146" s="416" t="s">
        <v>418</v>
      </c>
      <c r="B146" s="315">
        <f>PGL_Supplies!G7/1000</f>
        <v>0.20899999999999999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5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75" thickBot="1">
      <c r="A148" s="416" t="s">
        <v>419</v>
      </c>
      <c r="B148" s="315">
        <f>PGL_Requirements!P7/1000</f>
        <v>1.7295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5" thickBot="1">
      <c r="A149" s="501" t="s">
        <v>420</v>
      </c>
      <c r="B149" s="502">
        <f>B144+B146</f>
        <v>0.20899999999999999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75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5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5.75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75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75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75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5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75" thickBot="1">
      <c r="A160" s="416" t="s">
        <v>361</v>
      </c>
      <c r="B160" s="594">
        <f>PGL_Supplies!X7/1000</f>
        <v>69.284000000000006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5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5" thickBot="1">
      <c r="A162" s="390" t="s">
        <v>420</v>
      </c>
      <c r="B162" s="595">
        <f>B154+B156+B158+B159+B160-B153-B155-B157-B161</f>
        <v>69.284000000000006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.75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75">
      <c r="D11" s="192" t="s">
        <v>249</v>
      </c>
    </row>
    <row r="12" spans="1:10" ht="15.75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75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37148.45346099537</v>
      </c>
      <c r="F22" s="161" t="s">
        <v>256</v>
      </c>
      <c r="G22" s="186">
        <f ca="1">NOW()</f>
        <v>37148.45346099537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75" thickBot="1"/>
    <row r="26" spans="2:9" ht="15.75" thickBot="1">
      <c r="B26" s="204" t="s">
        <v>9</v>
      </c>
      <c r="C26" s="161" t="s">
        <v>260</v>
      </c>
    </row>
    <row r="27" spans="2:9" ht="15.75" thickBot="1">
      <c r="B27" s="204" t="s">
        <v>9</v>
      </c>
      <c r="C27" s="161" t="s">
        <v>261</v>
      </c>
    </row>
    <row r="28" spans="2:9" ht="15.75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75">
      <c r="B34" s="161" t="s">
        <v>263</v>
      </c>
      <c r="E34" s="185">
        <v>0</v>
      </c>
      <c r="F34" t="s">
        <v>264</v>
      </c>
    </row>
    <row r="36" spans="2:8" ht="15.75">
      <c r="B36" s="161" t="s">
        <v>265</v>
      </c>
      <c r="E36" s="185">
        <v>0</v>
      </c>
      <c r="F36" t="s">
        <v>264</v>
      </c>
    </row>
    <row r="38" spans="2:8" ht="15.75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75">
      <c r="E39" s="163">
        <f>+E38+1</f>
        <v>35917</v>
      </c>
      <c r="F39" s="185">
        <v>0</v>
      </c>
      <c r="G39" t="s">
        <v>264</v>
      </c>
    </row>
    <row r="40" spans="2:8" ht="15.75">
      <c r="E40" s="163">
        <f>+E39+1</f>
        <v>35918</v>
      </c>
      <c r="F40" s="185">
        <v>0</v>
      </c>
      <c r="G40" t="s">
        <v>264</v>
      </c>
    </row>
    <row r="41" spans="2:8" ht="15.75">
      <c r="E41" s="163">
        <f>+E40+1</f>
        <v>35919</v>
      </c>
      <c r="F41" s="185">
        <v>0</v>
      </c>
      <c r="G41" t="s">
        <v>264</v>
      </c>
    </row>
    <row r="42" spans="2:8" ht="15.75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37147</v>
      </c>
      <c r="C5" s="15"/>
      <c r="D5" s="22" t="s">
        <v>274</v>
      </c>
      <c r="E5" s="23">
        <f>Weather_Input!B5</f>
        <v>67</v>
      </c>
      <c r="F5" s="24" t="s">
        <v>275</v>
      </c>
      <c r="G5" s="25">
        <f>Weather_Input!H5</f>
        <v>2</v>
      </c>
      <c r="H5" s="26" t="s">
        <v>276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161</v>
      </c>
      <c r="E6" s="23">
        <f>Weather_Input!C5</f>
        <v>55</v>
      </c>
      <c r="F6" s="24" t="s">
        <v>277</v>
      </c>
      <c r="G6" s="25">
        <f>Weather_Input!F5</f>
        <v>10</v>
      </c>
      <c r="H6" s="26" t="s">
        <v>278</v>
      </c>
      <c r="I6" s="27">
        <f ca="1">G6-(VLOOKUP(B5,DD_Normal_Data,CELL("Col",C7),FALSE))</f>
        <v>-14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59.9</v>
      </c>
      <c r="F7" s="24" t="s">
        <v>280</v>
      </c>
      <c r="G7" s="25">
        <f>Weather_Input!G5</f>
        <v>10</v>
      </c>
      <c r="H7" s="26" t="s">
        <v>280</v>
      </c>
      <c r="I7" s="120">
        <f ca="1">G7-(VLOOKUP(B5,DD_Normal_Data,CELL("Col",D4),FALSE))</f>
        <v>-22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 RATHER CLOUDY, COOL AND BREEZY.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37148</v>
      </c>
      <c r="C10" s="15"/>
      <c r="D10" s="150" t="s">
        <v>274</v>
      </c>
      <c r="E10" s="23">
        <f>Weather_Input!B6</f>
        <v>67</v>
      </c>
      <c r="F10" s="24" t="s">
        <v>275</v>
      </c>
      <c r="G10" s="25">
        <f>IF(E12&lt;65,65-(Weather_Input!B6+Weather_Input!C6)/2,0)</f>
        <v>9</v>
      </c>
      <c r="H10" s="26" t="s">
        <v>276</v>
      </c>
      <c r="I10" s="27">
        <f ca="1">G10-(VLOOKUP(B10,DD_Normal_Data,CELL("Col",B11),FALSE))</f>
        <v>6</v>
      </c>
    </row>
    <row r="11" spans="1:109" ht="15">
      <c r="A11" s="18"/>
      <c r="B11" s="21"/>
      <c r="C11" s="15"/>
      <c r="D11" s="22" t="s">
        <v>161</v>
      </c>
      <c r="E11" s="23">
        <f>Weather_Input!C6</f>
        <v>45</v>
      </c>
      <c r="F11" s="24" t="s">
        <v>277</v>
      </c>
      <c r="G11" s="25">
        <f>IF(DAY(B10)=1,G10,G6+G10)</f>
        <v>19</v>
      </c>
      <c r="H11" s="30" t="s">
        <v>278</v>
      </c>
      <c r="I11" s="27">
        <f ca="1">G11-(VLOOKUP(B10,DD_Normal_Data,CELL("Col",C12),FALSE))</f>
        <v>-8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56</v>
      </c>
      <c r="F12" s="24" t="s">
        <v>280</v>
      </c>
      <c r="G12" s="25">
        <f>IF(AND(DAY(B10)=1,MONTH(B10)=8),G10,G7+G10)</f>
        <v>19</v>
      </c>
      <c r="H12" s="26" t="s">
        <v>280</v>
      </c>
      <c r="I12" s="27">
        <f ca="1">G12-(VLOOKUP(B10,DD_Normal_Data,CELL("Col",D9),FALSE))</f>
        <v>-16</v>
      </c>
    </row>
    <row r="13" spans="1:109" ht="15">
      <c r="A13" s="18"/>
      <c r="B13" s="21"/>
      <c r="C13" s="15"/>
      <c r="D13" s="32" t="str">
        <f>IF(Weather_Input!I6=""," ",Weather_Input!I6)</f>
        <v xml:space="preserve">  TODAY - A GOOD DEAL OF SUNSHINE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CLEAR TO PARTLY CLOUDY.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37149</v>
      </c>
      <c r="C15" s="15"/>
      <c r="D15" s="22" t="s">
        <v>274</v>
      </c>
      <c r="E15" s="23">
        <f>Weather_Input!B7</f>
        <v>67</v>
      </c>
      <c r="F15" s="24" t="s">
        <v>275</v>
      </c>
      <c r="G15" s="25">
        <f>IF(E17&lt;65,65-(Weather_Input!B7+Weather_Input!C7)/2,0)</f>
        <v>8</v>
      </c>
      <c r="H15" s="26" t="s">
        <v>276</v>
      </c>
      <c r="I15" s="27">
        <f ca="1">G15-(VLOOKUP(B15,DD_Normal_Data,CELL("Col",B16),FALSE))</f>
        <v>5</v>
      </c>
    </row>
    <row r="16" spans="1:109" ht="15">
      <c r="A16" s="18"/>
      <c r="B16" s="20"/>
      <c r="C16" s="15"/>
      <c r="D16" s="22" t="s">
        <v>161</v>
      </c>
      <c r="E16" s="23">
        <f>Weather_Input!C7</f>
        <v>47</v>
      </c>
      <c r="F16" s="24" t="s">
        <v>277</v>
      </c>
      <c r="G16" s="25">
        <f>IF(DAY(B15)=1,G15,G11+G15)</f>
        <v>27</v>
      </c>
      <c r="H16" s="30" t="s">
        <v>278</v>
      </c>
      <c r="I16" s="27">
        <f ca="1">G16-(VLOOKUP(B15,DD_Normal_Data,CELL("Col",C17),FALSE))</f>
        <v>-3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57</v>
      </c>
      <c r="F17" s="24" t="s">
        <v>280</v>
      </c>
      <c r="G17" s="25">
        <f>IF(AND(DAY(B15)=1,MONTH(B15)=8),G15,G12+G15)</f>
        <v>27</v>
      </c>
      <c r="H17" s="26" t="s">
        <v>280</v>
      </c>
      <c r="I17" s="27">
        <f ca="1">G17-(VLOOKUP(B15,DD_Normal_Data,CELL("Col",D14),FALSE))</f>
        <v>-11</v>
      </c>
    </row>
    <row r="18" spans="1:109" ht="15">
      <c r="A18" s="18"/>
      <c r="B18" s="20"/>
      <c r="C18" s="15"/>
      <c r="D18" s="32" t="str">
        <f>IF(Weather_Input!I7=""," ",Weather_Input!I7)</f>
        <v xml:space="preserve">  PARTLY TO MOSTLY SUNNY IN THE MORNING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 FOLLOWED BY THICKENING CLOUDS.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37150</v>
      </c>
      <c r="C20" s="15"/>
      <c r="D20" s="22" t="s">
        <v>274</v>
      </c>
      <c r="E20" s="23">
        <f>Weather_Input!B8</f>
        <v>70</v>
      </c>
      <c r="F20" s="24" t="s">
        <v>275</v>
      </c>
      <c r="G20" s="25">
        <f>IF(E22&lt;65,65-(Weather_Input!B8+Weather_Input!C8)/2,0)</f>
        <v>4.5</v>
      </c>
      <c r="H20" s="26" t="s">
        <v>276</v>
      </c>
      <c r="I20" s="27">
        <f ca="1">G20-(VLOOKUP(B20,DD_Normal_Data,CELL("Col",B21),FALSE))</f>
        <v>1.5</v>
      </c>
    </row>
    <row r="21" spans="1:109" ht="15">
      <c r="A21" s="18"/>
      <c r="B21" s="21"/>
      <c r="C21" s="15"/>
      <c r="D21" s="22" t="s">
        <v>161</v>
      </c>
      <c r="E21" s="23">
        <f>Weather_Input!C8</f>
        <v>51</v>
      </c>
      <c r="F21" s="24" t="s">
        <v>277</v>
      </c>
      <c r="G21" s="25">
        <f>IF(DAY(B20)=1,G20,G16+G20)</f>
        <v>31.5</v>
      </c>
      <c r="H21" s="30" t="s">
        <v>278</v>
      </c>
      <c r="I21" s="27">
        <f ca="1">G21-(VLOOKUP(B20,DD_Normal_Data,CELL("Col",C22),FALSE))</f>
        <v>-1.5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60.5</v>
      </c>
      <c r="F22" s="24" t="s">
        <v>280</v>
      </c>
      <c r="G22" s="25">
        <f>IF(AND(DAY(B20)=1,MONTH(B20)=8),G20,G17+G20)</f>
        <v>31.5</v>
      </c>
      <c r="H22" s="26" t="s">
        <v>280</v>
      </c>
      <c r="I22" s="27">
        <f ca="1">G22-(VLOOKUP(B20,DD_Normal_Data,CELL("Col",D19),FALSE))</f>
        <v>-9.5</v>
      </c>
    </row>
    <row r="23" spans="1:109" ht="15">
      <c r="A23" s="18"/>
      <c r="B23" s="21"/>
      <c r="C23" s="15"/>
      <c r="D23" s="32" t="str">
        <f>IF(Weather_Input!I8=""," ",Weather_Input!I8)</f>
        <v xml:space="preserve">  MAINLY CLOUDY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37151</v>
      </c>
      <c r="C25" s="15"/>
      <c r="D25" s="22" t="s">
        <v>274</v>
      </c>
      <c r="E25" s="23">
        <f>Weather_Input!B9</f>
        <v>74</v>
      </c>
      <c r="F25" s="24" t="s">
        <v>275</v>
      </c>
      <c r="G25" s="25">
        <f>IF(E27&lt;65,65-(Weather_Input!B9+Weather_Input!C9)/2,0)</f>
        <v>1.5</v>
      </c>
      <c r="H25" s="26" t="s">
        <v>276</v>
      </c>
      <c r="I25" s="27">
        <f ca="1">G25-(VLOOKUP(B25,DD_Normal_Data,CELL("Col",B26),FALSE))</f>
        <v>-2.5</v>
      </c>
    </row>
    <row r="26" spans="1:109" ht="15">
      <c r="A26" s="18"/>
      <c r="B26" s="21"/>
      <c r="C26" s="15"/>
      <c r="D26" s="22" t="s">
        <v>161</v>
      </c>
      <c r="E26" s="23">
        <f>Weather_Input!C9</f>
        <v>53</v>
      </c>
      <c r="F26" s="24" t="s">
        <v>277</v>
      </c>
      <c r="G26" s="25">
        <f>IF(DAY(B25)=1,G25,G21+G25)</f>
        <v>33</v>
      </c>
      <c r="H26" s="30" t="s">
        <v>278</v>
      </c>
      <c r="I26" s="27">
        <f ca="1">G26-(VLOOKUP(B25,DD_Normal_Data,CELL("Col",C27),FALSE))</f>
        <v>-4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63.5</v>
      </c>
      <c r="F27" s="24" t="s">
        <v>280</v>
      </c>
      <c r="G27" s="25">
        <f>IF(AND(DAY(B25)=1,MONTH(B25)=8),G25,G22+G25)</f>
        <v>33</v>
      </c>
      <c r="H27" s="26" t="s">
        <v>280</v>
      </c>
      <c r="I27" s="27">
        <f ca="1">G27-(VLOOKUP(B25,DD_Normal_Data,CELL("Col",D24),FALSE))</f>
        <v>-12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37152</v>
      </c>
      <c r="C30" s="15"/>
      <c r="D30" s="22" t="s">
        <v>274</v>
      </c>
      <c r="E30" s="23">
        <f>Weather_Input!B10</f>
        <v>74</v>
      </c>
      <c r="F30" s="24" t="s">
        <v>275</v>
      </c>
      <c r="G30" s="25">
        <f>IF(E32&lt;65,65-(Weather_Input!B10+Weather_Input!C10)/2,0)</f>
        <v>0</v>
      </c>
      <c r="H30" s="26" t="s">
        <v>276</v>
      </c>
      <c r="I30" s="27">
        <f ca="1">G30-(VLOOKUP(B30,DD_Normal_Data,CELL("Col",B31),FALSE))</f>
        <v>-4</v>
      </c>
    </row>
    <row r="31" spans="1:109" ht="15">
      <c r="A31" s="15"/>
      <c r="B31" s="15"/>
      <c r="C31" s="15"/>
      <c r="D31" s="22" t="s">
        <v>161</v>
      </c>
      <c r="E31" s="23">
        <f>Weather_Input!C10</f>
        <v>60</v>
      </c>
      <c r="F31" s="24" t="s">
        <v>277</v>
      </c>
      <c r="G31" s="25">
        <f>IF(DAY(B30)=1,G30,G26+G30)</f>
        <v>33</v>
      </c>
      <c r="H31" s="30" t="s">
        <v>278</v>
      </c>
      <c r="I31" s="27">
        <f ca="1">G31-(VLOOKUP(B30,DD_Normal_Data,CELL("Col",C32),FALSE))</f>
        <v>-8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67</v>
      </c>
      <c r="F32" s="24" t="s">
        <v>280</v>
      </c>
      <c r="G32" s="25">
        <f>IF(AND(DAY(B30)=1,MONTH(B30)=8),G30,G27+G30)</f>
        <v>33</v>
      </c>
      <c r="H32" s="26" t="s">
        <v>280</v>
      </c>
      <c r="I32" s="27">
        <f ca="1">G32-(VLOOKUP(B30,DD_Normal_Data,CELL("Col",D29),FALSE))</f>
        <v>-16</v>
      </c>
    </row>
    <row r="33" spans="1:9" ht="15">
      <c r="A33" s="15"/>
      <c r="B33" s="34"/>
      <c r="C33" s="15"/>
      <c r="D33" s="32" t="str">
        <f>IF(Weather_Input!I10=""," ",Weather_Input!I10)</f>
        <v xml:space="preserve">  MOSTLY CLOUDY; IT MAY SHOWER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37147</v>
      </c>
      <c r="C36" s="89">
        <f>B10</f>
        <v>37148</v>
      </c>
      <c r="D36" s="89">
        <f>B15</f>
        <v>37149</v>
      </c>
      <c r="E36" s="89">
        <f xml:space="preserve">       B20</f>
        <v>37150</v>
      </c>
      <c r="F36" s="89">
        <f>B25</f>
        <v>37151</v>
      </c>
      <c r="G36" s="89">
        <f>B30</f>
        <v>37152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205</v>
      </c>
      <c r="C37" s="41">
        <f ca="1">(VLOOKUP(C36,PGL_Sendouts,(CELL("COL",PGL_Deliveries!C7))))/1000</f>
        <v>220</v>
      </c>
      <c r="D37" s="41">
        <f ca="1">(VLOOKUP(D36,PGL_Sendouts,(CELL("COL",PGL_Deliveries!C8))))/1000</f>
        <v>200</v>
      </c>
      <c r="E37" s="41">
        <f ca="1">(VLOOKUP(E36,PGL_Sendouts,(CELL("COL",PGL_Deliveries!C9))))/1000</f>
        <v>205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285</v>
      </c>
      <c r="B38" s="41">
        <f>PGL_6_Day_Report!D25</f>
        <v>342.6345</v>
      </c>
      <c r="C38" s="41">
        <f>PGL_6_Day_Report!E25</f>
        <v>350.40000000000003</v>
      </c>
      <c r="D38" s="41">
        <f>PGL_6_Day_Report!F25</f>
        <v>345.85300000000007</v>
      </c>
      <c r="E38" s="41">
        <f>PGL_6_Day_Report!G25</f>
        <v>350.85300000000007</v>
      </c>
      <c r="F38" s="41">
        <f>PGL_6_Day_Report!H25</f>
        <v>340.85300000000007</v>
      </c>
      <c r="G38" s="41">
        <f>PGL_6_Day_Report!I25</f>
        <v>335.85300000000007</v>
      </c>
      <c r="H38" s="14"/>
      <c r="I38" s="15"/>
    </row>
    <row r="39" spans="1:9" ht="15">
      <c r="A39" s="42" t="s">
        <v>103</v>
      </c>
      <c r="B39" s="41">
        <f>SUM(PGL_Supplies!Y7:AD7)/1000</f>
        <v>246.62700000000001</v>
      </c>
      <c r="C39" s="41">
        <f>SUM(PGL_Supplies!Y8:AD8)/1000</f>
        <v>205.06</v>
      </c>
      <c r="D39" s="41">
        <f>SUM(PGL_Supplies!Y9:AD9)/1000</f>
        <v>205.06</v>
      </c>
      <c r="E39" s="41">
        <f>SUM(PGL_Supplies!Y10:AD10)/1000</f>
        <v>205.06</v>
      </c>
      <c r="F39" s="41">
        <f>SUM(PGL_Supplies!Y11:AD11)/1000</f>
        <v>205.06</v>
      </c>
      <c r="G39" s="41">
        <f>SUM(PGL_Supplies!Y12:AD12)/1000</f>
        <v>205.06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11.065</v>
      </c>
      <c r="C41" s="41">
        <f>SUM(PGL_Requirements!Q7:T7)/1000</f>
        <v>11.065</v>
      </c>
      <c r="D41" s="41">
        <f>SUM(PGL_Requirements!Q7:T7)/1000</f>
        <v>11.065</v>
      </c>
      <c r="E41" s="41">
        <f>SUM(PGL_Requirements!Q7:T7)/1000</f>
        <v>11.065</v>
      </c>
      <c r="F41" s="41">
        <f>SUM(PGL_Requirements!Q7:T7)/1000</f>
        <v>11.065</v>
      </c>
      <c r="G41" s="41">
        <f>SUM(PGL_Requirements!Q7:T7)/1000</f>
        <v>11.065</v>
      </c>
      <c r="H41" s="14"/>
      <c r="I41" s="15"/>
    </row>
    <row r="42" spans="1:9" ht="15">
      <c r="A42" s="15" t="s">
        <v>126</v>
      </c>
      <c r="B42" s="41">
        <f>PGL_Supplies!U7/1000</f>
        <v>126.39100000000001</v>
      </c>
      <c r="C42" s="41">
        <f>PGL_Supplies!U8/1000</f>
        <v>125.459</v>
      </c>
      <c r="D42" s="41">
        <f>PGL_Supplies!U9/1000</f>
        <v>125.459</v>
      </c>
      <c r="E42" s="41">
        <f>PGL_Supplies!U10/1000</f>
        <v>125.459</v>
      </c>
      <c r="F42" s="41">
        <f>PGL_Supplies!U11/1000</f>
        <v>125.459</v>
      </c>
      <c r="G42" s="41">
        <f>PGL_Supplies!U12/1000</f>
        <v>125.459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37147</v>
      </c>
      <c r="C44" s="89">
        <f t="shared" si="0"/>
        <v>37148</v>
      </c>
      <c r="D44" s="89">
        <f t="shared" si="0"/>
        <v>37149</v>
      </c>
      <c r="E44" s="89">
        <f t="shared" si="0"/>
        <v>37150</v>
      </c>
      <c r="F44" s="89">
        <f t="shared" si="0"/>
        <v>37151</v>
      </c>
      <c r="G44" s="89">
        <f t="shared" si="0"/>
        <v>37152</v>
      </c>
      <c r="H44" s="14"/>
      <c r="I44" s="15"/>
    </row>
    <row r="45" spans="1:9" ht="15">
      <c r="A45" s="15" t="s">
        <v>54</v>
      </c>
      <c r="B45" s="41">
        <f ca="1">NSG_6_Day_Report!D6</f>
        <v>39.700000000000003</v>
      </c>
      <c r="C45" s="41">
        <f ca="1">NSG_6_Day_Report!E6</f>
        <v>45</v>
      </c>
      <c r="D45" s="41">
        <f ca="1">NSG_6_Day_Report!F6</f>
        <v>40</v>
      </c>
      <c r="E45" s="41">
        <f ca="1">NSG_6_Day_Report!G6</f>
        <v>37</v>
      </c>
      <c r="F45" s="41">
        <f ca="1">NSG_6_Day_Report!H6</f>
        <v>35</v>
      </c>
      <c r="G45" s="41">
        <f ca="1">NSG_6_Day_Report!I6</f>
        <v>34</v>
      </c>
      <c r="H45" s="14"/>
      <c r="I45" s="15"/>
    </row>
    <row r="46" spans="1:9" ht="15">
      <c r="A46" s="42" t="s">
        <v>285</v>
      </c>
      <c r="B46" s="41">
        <f ca="1">NSG_6_Day_Report!D11</f>
        <v>47.605000000000004</v>
      </c>
      <c r="C46" s="41">
        <f ca="1">NSG_6_Day_Report!E11</f>
        <v>46.5</v>
      </c>
      <c r="D46" s="41">
        <f ca="1">NSG_6_Day_Report!F11</f>
        <v>40</v>
      </c>
      <c r="E46" s="41">
        <f ca="1">NSG_6_Day_Report!G11</f>
        <v>37</v>
      </c>
      <c r="F46" s="41">
        <f ca="1">NSG_6_Day_Report!H11</f>
        <v>35</v>
      </c>
      <c r="G46" s="41">
        <f ca="1">NSG_6_Day_Report!I11</f>
        <v>34</v>
      </c>
      <c r="H46" s="14"/>
      <c r="I46" s="15"/>
    </row>
    <row r="47" spans="1:9" ht="15">
      <c r="A47" s="42" t="s">
        <v>103</v>
      </c>
      <c r="B47" s="41">
        <f>SUM(NSG_Supplies!O7:Q7)/1000</f>
        <v>46.499000000000002</v>
      </c>
      <c r="C47" s="41">
        <f>SUM(NSG_Supplies!O8:Q8)/1000</f>
        <v>46.499000000000002</v>
      </c>
      <c r="D47" s="41">
        <f>SUM(NSG_Supplies!O9:Q9)/1000</f>
        <v>46.499000000000002</v>
      </c>
      <c r="E47" s="41">
        <f>SUM(NSG_Supplies!O10:Q10)/1000</f>
        <v>46.499000000000002</v>
      </c>
      <c r="F47" s="41">
        <f>SUM(NSG_Supplies!O11:Q11)/1000</f>
        <v>46.499000000000002</v>
      </c>
      <c r="G47" s="41">
        <f>SUM(NSG_Supplies!O12:Q12)/1000</f>
        <v>46.499000000000002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16.641999999999999</v>
      </c>
      <c r="C50" s="41">
        <f>NSG_Supplies!R8/1000</f>
        <v>16.641999999999999</v>
      </c>
      <c r="D50" s="41">
        <f>NSG_Supplies!R9/1000</f>
        <v>16.641999999999999</v>
      </c>
      <c r="E50" s="41">
        <f>NSG_Supplies!R10/1000</f>
        <v>16.641999999999999</v>
      </c>
      <c r="F50" s="41">
        <f>NSG_Supplies!R11/1000</f>
        <v>16.641999999999999</v>
      </c>
      <c r="G50" s="41">
        <f>NSG_Supplies!R12/1000</f>
        <v>16.641999999999999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37147</v>
      </c>
      <c r="C52" s="89">
        <f t="shared" si="1"/>
        <v>37148</v>
      </c>
      <c r="D52" s="89">
        <f t="shared" si="1"/>
        <v>37149</v>
      </c>
      <c r="E52" s="89">
        <f t="shared" si="1"/>
        <v>37150</v>
      </c>
      <c r="F52" s="89">
        <f t="shared" si="1"/>
        <v>37151</v>
      </c>
      <c r="G52" s="89">
        <f t="shared" si="1"/>
        <v>37152</v>
      </c>
      <c r="H52" s="14"/>
      <c r="I52" s="15"/>
    </row>
    <row r="53" spans="1:9" ht="15">
      <c r="A53" s="92" t="s">
        <v>289</v>
      </c>
      <c r="B53" s="41">
        <f>PGL_Requirements!O7/1000</f>
        <v>115.3</v>
      </c>
      <c r="C53" s="41">
        <f>PGL_Requirements!O8/1000</f>
        <v>120</v>
      </c>
      <c r="D53" s="41">
        <f>PGL_Requirements!O9/1000</f>
        <v>120</v>
      </c>
      <c r="E53" s="41">
        <f>PGL_Requirements!O10/1000</f>
        <v>120</v>
      </c>
      <c r="F53" s="41">
        <f>PGL_Requirements!O11/1000</f>
        <v>120</v>
      </c>
      <c r="G53" s="41">
        <f>PGL_Requirements!O12/1000</f>
        <v>120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43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26"/>
    </row>
    <row r="3" spans="1:8" ht="15.75" thickBot="1">
      <c r="A3" s="96" t="s">
        <v>295</v>
      </c>
    </row>
    <row r="4" spans="1:8">
      <c r="A4" s="97"/>
      <c r="B4" s="1027" t="str">
        <f>Six_Day_Summary!A10</f>
        <v>Friday</v>
      </c>
      <c r="C4" s="1028" t="str">
        <f>Six_Day_Summary!A15</f>
        <v>Saturday</v>
      </c>
      <c r="D4" s="1028" t="str">
        <f>Six_Day_Summary!A20</f>
        <v>Sunday</v>
      </c>
      <c r="E4" s="1028" t="str">
        <f>Six_Day_Summary!A25</f>
        <v>Monday</v>
      </c>
      <c r="F4" s="1029" t="str">
        <f>Six_Day_Summary!A30</f>
        <v>Tuesday</v>
      </c>
      <c r="G4" s="98"/>
    </row>
    <row r="5" spans="1:8">
      <c r="A5" s="101" t="s">
        <v>296</v>
      </c>
      <c r="B5" s="1030">
        <f>Weather_Input!A6</f>
        <v>37148</v>
      </c>
      <c r="C5" s="1031">
        <f>Weather_Input!A7</f>
        <v>37149</v>
      </c>
      <c r="D5" s="1031">
        <f>Weather_Input!A8</f>
        <v>37150</v>
      </c>
      <c r="E5" s="1031">
        <f>Weather_Input!A9</f>
        <v>37151</v>
      </c>
      <c r="F5" s="1032">
        <f>Weather_Input!A10</f>
        <v>37152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-0.53599999999999959</v>
      </c>
      <c r="C6" s="1033">
        <f>PGL_Supplies!AB9/1000+PGL_Supplies!K9/1000-PGL_Requirements!N9/1000+C15-PGL_Requirements!S9/1000</f>
        <v>-2.8559999999999999</v>
      </c>
      <c r="D6" s="1033">
        <f>PGL_Supplies!AB10/1000+PGL_Supplies!K10/1000-PGL_Requirements!N10/1000+D15-PGL_Requirements!S10/1000</f>
        <v>-2.8559999999999999</v>
      </c>
      <c r="E6" s="1033">
        <f>PGL_Supplies!AB11/1000+PGL_Supplies!K11/1000-PGL_Requirements!N11/1000+E15-PGL_Requirements!S11/1000</f>
        <v>-2.8559999999999999</v>
      </c>
      <c r="F6" s="1034">
        <f>PGL_Supplies!AB12/1000+PGL_Supplies!K12/1000-PGL_Requirements!N12/1000+F15-PGL_Requirements!S12/1000</f>
        <v>-2.8559999999999999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75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5.75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Friday</v>
      </c>
      <c r="C21" s="1043" t="str">
        <f t="shared" si="0"/>
        <v>Saturday</v>
      </c>
      <c r="D21" s="1043" t="str">
        <f t="shared" si="0"/>
        <v>Sunday</v>
      </c>
      <c r="E21" s="1043" t="str">
        <f t="shared" si="0"/>
        <v>Monday</v>
      </c>
      <c r="F21" s="1044" t="str">
        <f t="shared" si="0"/>
        <v>Tuesday</v>
      </c>
      <c r="G21" s="98"/>
    </row>
    <row r="22" spans="1:7">
      <c r="A22" s="105" t="s">
        <v>296</v>
      </c>
      <c r="B22" s="1045">
        <f t="shared" si="0"/>
        <v>37148</v>
      </c>
      <c r="C22" s="1045">
        <f t="shared" si="0"/>
        <v>37149</v>
      </c>
      <c r="D22" s="1045">
        <f t="shared" si="0"/>
        <v>37150</v>
      </c>
      <c r="E22" s="1045">
        <f t="shared" si="0"/>
        <v>37151</v>
      </c>
      <c r="F22" s="1046">
        <f t="shared" si="0"/>
        <v>37152</v>
      </c>
      <c r="G22" s="98"/>
    </row>
    <row r="23" spans="1:7">
      <c r="A23" s="98" t="s">
        <v>297</v>
      </c>
      <c r="B23" s="1039">
        <f>NSG_Supplies!Q8/1000+NSG_Supplies!F8/1000-NSG_Requirements!H8/1000</f>
        <v>26.498999999999999</v>
      </c>
      <c r="C23" s="1039">
        <f>NSG_Supplies!Q9/1000+NSG_Supplies!F9/1000-NSG_Requirements!H9/1000</f>
        <v>26.498999999999999</v>
      </c>
      <c r="D23" s="1039">
        <f>NSG_Supplies!Q10/1000+NSG_Supplies!F10/1000-NSG_Requirements!H10/1000</f>
        <v>26.498999999999999</v>
      </c>
      <c r="E23" s="1039">
        <f>NSG_Supplies!Q12/1000+NSG_Supplies!F11/1000-NSG_Requirements!H11/1000</f>
        <v>26.498999999999999</v>
      </c>
      <c r="F23" s="1034">
        <f>NSG_Supplies!Q12/1000+NSG_Supplies!F12/1000-NSG_Requirements!H12/1000</f>
        <v>26.498999999999999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75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38"/>
      <c r="B1" s="1227" t="s">
        <v>763</v>
      </c>
      <c r="C1" s="1228">
        <f>Weather_Input!A6</f>
        <v>37148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1.5</v>
      </c>
      <c r="E4" s="1237"/>
      <c r="F4" s="169" t="s">
        <v>768</v>
      </c>
      <c r="G4" s="60"/>
      <c r="H4" s="151">
        <f>PGL_Requirements!O8/1000</f>
        <v>120</v>
      </c>
      <c r="I4" s="173">
        <f>AVERAGE(H4/1.025)</f>
        <v>117.07317073170732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18.5</v>
      </c>
      <c r="D5" s="427"/>
      <c r="E5" s="1240">
        <f>AVERAGE(C5/24)</f>
        <v>0.77083333333333337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5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10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184.46299999999999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104.023</v>
      </c>
      <c r="D11" s="764"/>
      <c r="E11" s="1248"/>
      <c r="F11" s="1249" t="s">
        <v>778</v>
      </c>
      <c r="G11" s="1250">
        <f>G8+G10</f>
        <v>194.46299999999999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104.023</v>
      </c>
      <c r="D14" s="427"/>
      <c r="E14" s="1240">
        <f>AVERAGE(C14/24)</f>
        <v>4.3342916666666662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10.425000000000001</v>
      </c>
      <c r="D15" s="60"/>
      <c r="E15" s="158"/>
      <c r="F15" s="1252" t="s">
        <v>785</v>
      </c>
      <c r="G15" s="1250">
        <f>SUM(G11)-G16-G17-H13</f>
        <v>194.46299999999999</v>
      </c>
      <c r="H15" s="427" t="s">
        <v>9</v>
      </c>
      <c r="I15" s="1240">
        <f>AVERAGE(G15/24)</f>
        <v>8.1026249999999997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10.425000000000001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10.425000000000001</v>
      </c>
      <c r="D20" s="1260" t="s">
        <v>9</v>
      </c>
      <c r="E20" s="1240">
        <f>AVERAGE(C20/24)</f>
        <v>0.43437500000000001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25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0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30.027999999999999</v>
      </c>
      <c r="H25" s="421"/>
      <c r="I25" s="1262">
        <f>AVERAGE(G25/24)</f>
        <v>1.2511666666666665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52" customWidth="1"/>
    <col min="2" max="2" width="8.109375" style="952" customWidth="1"/>
    <col min="3" max="3" width="7.88671875" style="952" customWidth="1"/>
    <col min="4" max="4" width="5.88671875" style="952" customWidth="1"/>
    <col min="5" max="5" width="4.44140625" style="952" customWidth="1"/>
    <col min="6" max="6" width="5.21875" style="952" customWidth="1"/>
    <col min="7" max="7" width="9" style="952" customWidth="1"/>
    <col min="8" max="11" width="8.88671875" style="952"/>
    <col min="12" max="12" width="14.88671875" style="952" customWidth="1"/>
    <col min="13" max="13" width="5.6640625" style="952" customWidth="1"/>
    <col min="14" max="16384" width="8.88671875" style="952"/>
  </cols>
  <sheetData>
    <row r="1" spans="1:22" ht="22.5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37148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300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18.5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5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5" customHeight="1">
      <c r="A9" s="909">
        <f>PGL_Supplies!H8/1000</f>
        <v>3</v>
      </c>
      <c r="H9" s="909">
        <f>NSG_Supplies!Q8/1000+NSG_Supplies!F8/1000-NSG_Requirements!H8/1000</f>
        <v>26.498999999999999</v>
      </c>
      <c r="I9" s="958"/>
      <c r="K9" s="887" t="s">
        <v>610</v>
      </c>
      <c r="L9" s="909">
        <f>NSG_Deliveries!C6/1000</f>
        <v>45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5" customHeight="1">
      <c r="A11" s="909">
        <f>Billy_Sheet!C17</f>
        <v>10.425000000000001</v>
      </c>
      <c r="B11" s="958"/>
      <c r="H11" s="909">
        <f>NSG_Supplies!T8/1000</f>
        <v>0</v>
      </c>
      <c r="K11" s="890" t="s">
        <v>611</v>
      </c>
      <c r="L11" s="915">
        <f>SUM(K4+K17+K19+H11+H9-L9)</f>
        <v>-1.0000000000047748E-3</v>
      </c>
      <c r="N11" s="890"/>
      <c r="O11" s="915"/>
      <c r="U11" s="889"/>
      <c r="V11" s="903"/>
    </row>
    <row r="12" spans="1:22" ht="14.45" customHeight="1">
      <c r="A12" s="887" t="s">
        <v>658</v>
      </c>
      <c r="H12" s="909"/>
      <c r="U12" s="889"/>
      <c r="V12" s="909"/>
    </row>
    <row r="13" spans="1:22" ht="14.45" customHeight="1">
      <c r="A13" s="956">
        <f>PGL_Supplies!X8/1000</f>
        <v>104.023</v>
      </c>
      <c r="H13" s="909"/>
      <c r="U13" s="889"/>
      <c r="V13" s="909"/>
    </row>
    <row r="14" spans="1:22" ht="14.45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500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194.46299999999999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30.027999999999999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220</v>
      </c>
      <c r="L26" s="887" t="s">
        <v>610</v>
      </c>
      <c r="M26" s="909">
        <f>NSG_Deliveries!C6/1000</f>
        <v>45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222.93900000000002</v>
      </c>
      <c r="L28" s="890" t="s">
        <v>650</v>
      </c>
      <c r="M28" s="915">
        <f>SUM(J2+K17+K19+H11+H9-M26)</f>
        <v>1.4989999999999952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37147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-0.53599999999999959</v>
      </c>
    </row>
    <row r="30" spans="1:17" ht="10.5" customHeight="1">
      <c r="A30" s="892"/>
      <c r="B30" s="909"/>
      <c r="C30" s="890"/>
      <c r="D30" s="909"/>
      <c r="F30" s="1006">
        <f>PGL_Requirements!A8</f>
        <v>37148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2.40300000000002</v>
      </c>
    </row>
    <row r="32" spans="1:17">
      <c r="A32" s="909">
        <f>PGL_Supplies!G8/1000</f>
        <v>1</v>
      </c>
      <c r="G32" s="909">
        <f>PGL_Requirements!O8/1000</f>
        <v>120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515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342.93900000000002</v>
      </c>
      <c r="B40" s="903"/>
      <c r="C40" s="902"/>
      <c r="D40" s="903"/>
      <c r="E40" s="903"/>
      <c r="F40" s="969"/>
      <c r="G40" s="969">
        <f>SUM(G30:G35)</f>
        <v>120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222.93900000000002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300</v>
      </c>
      <c r="E45" s="974"/>
      <c r="F45" s="975">
        <v>6.7000000000000004E-2</v>
      </c>
      <c r="G45" s="976">
        <f>(C45-D45)*F45</f>
        <v>7.37</v>
      </c>
      <c r="H45" s="976">
        <f>(D45-B45)*F45</f>
        <v>3.35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507.5</v>
      </c>
      <c r="E48" s="974"/>
      <c r="F48" s="975">
        <v>0.161</v>
      </c>
      <c r="G48" s="976">
        <f>(C48-D48)*F48</f>
        <v>39.042500000000004</v>
      </c>
      <c r="H48" s="976">
        <f>(D48-B48)*F48</f>
        <v>33.407499999999999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61.922499999999999</v>
      </c>
      <c r="H49" s="976">
        <f>SUM(H45:H48)</f>
        <v>43.807499999999997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G6" sqref="G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37147</v>
      </c>
      <c r="B5" s="11">
        <v>67</v>
      </c>
      <c r="C5" s="49">
        <v>55</v>
      </c>
      <c r="D5" s="49">
        <v>13.2</v>
      </c>
      <c r="E5" s="11">
        <v>59.9</v>
      </c>
      <c r="F5" s="11">
        <v>10</v>
      </c>
      <c r="G5" s="11">
        <v>10</v>
      </c>
      <c r="H5" s="11">
        <v>2</v>
      </c>
      <c r="I5" s="867" t="s">
        <v>820</v>
      </c>
      <c r="J5" s="867" t="s">
        <v>9</v>
      </c>
      <c r="K5" s="11">
        <v>2</v>
      </c>
      <c r="L5" s="11">
        <v>1</v>
      </c>
      <c r="N5" s="15" t="str">
        <f>I5&amp;" "&amp;I5</f>
        <v xml:space="preserve">   RATHER CLOUDY, COOL AND BREEZY.    RATHER CLOUDY, COOL AND BREEZY.</v>
      </c>
      <c r="AE5" s="15">
        <v>1</v>
      </c>
      <c r="AH5" s="15" t="s">
        <v>32</v>
      </c>
    </row>
    <row r="6" spans="1:34" ht="16.5" customHeight="1">
      <c r="A6" s="86">
        <f>A5+1</f>
        <v>37148</v>
      </c>
      <c r="B6" s="11">
        <v>67</v>
      </c>
      <c r="C6" s="49">
        <v>45</v>
      </c>
      <c r="D6" s="49">
        <v>9</v>
      </c>
      <c r="E6" s="11" t="s">
        <v>9</v>
      </c>
      <c r="F6" s="11" t="s">
        <v>9</v>
      </c>
      <c r="G6" s="11"/>
      <c r="H6" s="11" t="s">
        <v>9</v>
      </c>
      <c r="I6" s="867" t="s">
        <v>821</v>
      </c>
      <c r="J6" s="867" t="s">
        <v>822</v>
      </c>
      <c r="K6" s="11">
        <v>3</v>
      </c>
      <c r="L6" s="11" t="s">
        <v>558</v>
      </c>
      <c r="N6" s="15" t="str">
        <f>I6&amp;" "&amp;J6</f>
        <v xml:space="preserve">  TODAY - A GOOD DEAL OF SUNSHINE   TONIGHT - CLEAR TO PARTLY CLOUDY.</v>
      </c>
      <c r="AE6" s="15">
        <v>1</v>
      </c>
      <c r="AH6" s="15" t="s">
        <v>33</v>
      </c>
    </row>
    <row r="7" spans="1:34" ht="16.5" customHeight="1">
      <c r="A7" s="86">
        <f>A6+1</f>
        <v>37149</v>
      </c>
      <c r="B7" s="11">
        <v>67</v>
      </c>
      <c r="C7" s="49">
        <v>47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823</v>
      </c>
      <c r="J7" s="867" t="s">
        <v>824</v>
      </c>
      <c r="K7" s="11">
        <v>3</v>
      </c>
      <c r="L7" s="11" t="s">
        <v>20</v>
      </c>
      <c r="N7" s="15" t="str">
        <f>I7&amp;" "&amp;J7</f>
        <v xml:space="preserve">  PARTLY TO MOSTLY SUNNY IN THE MORNING    FOLLOWED BY THICKENING CLOUDS.</v>
      </c>
    </row>
    <row r="8" spans="1:34" ht="16.5" customHeight="1">
      <c r="A8" s="86">
        <f>A7+1</f>
        <v>37150</v>
      </c>
      <c r="B8" s="11">
        <v>70</v>
      </c>
      <c r="C8" s="49">
        <v>51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825</v>
      </c>
      <c r="J8" s="867" t="s">
        <v>9</v>
      </c>
      <c r="K8" s="11">
        <v>2</v>
      </c>
      <c r="L8" s="11"/>
      <c r="N8" s="15" t="str">
        <f>I8&amp;" "&amp;J8</f>
        <v xml:space="preserve">  MAINLY CLOUDY  </v>
      </c>
    </row>
    <row r="9" spans="1:34" ht="16.5" customHeight="1">
      <c r="A9" s="86">
        <f>A8+1</f>
        <v>37151</v>
      </c>
      <c r="B9" s="11">
        <v>74</v>
      </c>
      <c r="C9" s="49">
        <v>53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67" t="s">
        <v>826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PARTLY SUNNY  </v>
      </c>
    </row>
    <row r="10" spans="1:34" ht="16.5" customHeight="1">
      <c r="A10" s="86">
        <f>A9+1</f>
        <v>37152</v>
      </c>
      <c r="B10" s="11">
        <v>74</v>
      </c>
      <c r="C10" s="49">
        <v>60</v>
      </c>
      <c r="D10" s="49">
        <v>6</v>
      </c>
      <c r="E10" s="11" t="s">
        <v>9</v>
      </c>
      <c r="F10" s="11" t="s">
        <v>9</v>
      </c>
      <c r="G10" s="11"/>
      <c r="H10" s="11" t="s">
        <v>9</v>
      </c>
      <c r="I10" s="867" t="s">
        <v>827</v>
      </c>
      <c r="J10" s="867" t="s">
        <v>9</v>
      </c>
      <c r="K10" s="11">
        <v>2</v>
      </c>
      <c r="L10" s="11" t="s">
        <v>382</v>
      </c>
      <c r="N10" s="15" t="str">
        <f>I10&amp;" "&amp;J10</f>
        <v xml:space="preserve">  MOSTLY CLOUDY; IT MAY SHOWER  </v>
      </c>
    </row>
    <row r="11" spans="1:34" ht="16.5" customHeight="1">
      <c r="G11"/>
    </row>
    <row r="12" spans="1:34" ht="15.75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518</v>
      </c>
      <c r="B2" s="181">
        <f>PGL_Deliveries!V5/1000</f>
        <v>203.9</v>
      </c>
      <c r="C2" s="60"/>
      <c r="D2" s="118" t="s">
        <v>309</v>
      </c>
      <c r="E2" s="417">
        <f>Weather_Input!A5</f>
        <v>37147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75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177.172</v>
      </c>
      <c r="C5" s="63"/>
      <c r="F5" s="179"/>
      <c r="H5"/>
      <c r="I5"/>
      <c r="J5"/>
      <c r="K5"/>
      <c r="L5"/>
      <c r="M5"/>
    </row>
    <row r="6" spans="1:13" ht="15.75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5" thickBot="1">
      <c r="A7" s="176" t="s">
        <v>524</v>
      </c>
      <c r="B7" s="220">
        <f>SUM(B5:B6)</f>
        <v>177.172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0.79700000000000004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66.137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1.006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0.27400000000000002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3</v>
      </c>
      <c r="C12" s="63"/>
      <c r="D12" s="115" t="s">
        <v>198</v>
      </c>
      <c r="E12" s="151">
        <f>PGL_Deliveries!T5/1000</f>
        <v>4.3140000000000001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1.9750000000000001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206.971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0.14899999999999999</v>
      </c>
      <c r="C15" s="63"/>
      <c r="D15" s="115" t="s">
        <v>204</v>
      </c>
      <c r="E15" s="151">
        <f>PGL_Deliveries!F5/1000</f>
        <v>15.332000000000001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-115.73099999999999</v>
      </c>
      <c r="C16" s="63"/>
      <c r="D16" s="115" t="s">
        <v>205</v>
      </c>
      <c r="E16" s="151">
        <f>PGL_Deliveries!H5/1000</f>
        <v>1.321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0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16.646000000000001</v>
      </c>
      <c r="C18" s="63" t="s">
        <v>9</v>
      </c>
      <c r="D18" s="115" t="s">
        <v>208</v>
      </c>
      <c r="E18" s="151">
        <f>PGL_Deliveries!L5/1000</f>
        <v>1.196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0.51300000000000001</v>
      </c>
      <c r="F19" s="168"/>
      <c r="H19"/>
      <c r="I19"/>
      <c r="J19"/>
      <c r="K19"/>
      <c r="L19"/>
      <c r="M19"/>
    </row>
    <row r="20" spans="1:13" ht="15.75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5" thickBot="1">
      <c r="A21" s="1267" t="s">
        <v>529</v>
      </c>
      <c r="B21" s="866">
        <f>SUM(B8:B20)-C17-C19-C20</f>
        <v>177.17200000000003</v>
      </c>
      <c r="C21" s="1268"/>
      <c r="D21" s="175" t="s">
        <v>530</v>
      </c>
      <c r="E21" s="174">
        <f>SUM(E7:E20)</f>
        <v>26.728000000000005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69.284000000000006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75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1.7295</v>
      </c>
      <c r="F23" s="168"/>
      <c r="H23"/>
      <c r="I23"/>
      <c r="J23"/>
      <c r="K23"/>
      <c r="L23"/>
      <c r="M23"/>
    </row>
    <row r="24" spans="1:13" ht="16.5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28.457500000000007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69.284000000000006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10.425000000000001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10.425000000000001</v>
      </c>
      <c r="D27" s="242" t="s">
        <v>538</v>
      </c>
      <c r="E27" s="60" t="s">
        <v>9</v>
      </c>
      <c r="F27" s="173">
        <f>PGL_Deliveries!AS5/1000</f>
        <v>4.5119999999999996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32.97</v>
      </c>
      <c r="F30" s="168"/>
      <c r="H30"/>
      <c r="I30"/>
      <c r="J30"/>
      <c r="K30"/>
      <c r="L30"/>
      <c r="M30"/>
    </row>
    <row r="31" spans="1:13" ht="15.75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5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28.457999999999998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75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0.14899999999999999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198.20400000000001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115.3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20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0.20899999999999999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75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67</v>
      </c>
      <c r="F45" s="1116"/>
    </row>
    <row r="46" spans="1:13" ht="15">
      <c r="A46" s="169" t="s">
        <v>548</v>
      </c>
      <c r="B46" s="151">
        <f>PGL_Deliveries!AY5/1000</f>
        <v>1.7295</v>
      </c>
      <c r="C46" s="63"/>
      <c r="D46" s="169" t="s">
        <v>550</v>
      </c>
      <c r="E46" s="230">
        <f>Weather_Input!C5</f>
        <v>55</v>
      </c>
      <c r="F46" s="158"/>
    </row>
    <row r="47" spans="1:13" ht="15">
      <c r="A47" s="172" t="s">
        <v>655</v>
      </c>
      <c r="B47" s="67"/>
      <c r="C47" s="1202">
        <f>PGL_Requirements!Q7/1000</f>
        <v>0.64</v>
      </c>
      <c r="D47" s="170" t="s">
        <v>551</v>
      </c>
      <c r="E47" s="60">
        <f>Weather_Input!E5</f>
        <v>59.9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13.2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1.02</v>
      </c>
      <c r="F49" s="158"/>
    </row>
    <row r="50" spans="1:6" ht="15.75" outlineLevel="2" thickBot="1">
      <c r="A50" s="167" t="s">
        <v>555</v>
      </c>
      <c r="B50" s="205">
        <f>PGL_Deliveries!AM5/1000</f>
        <v>3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tabSelected="1"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22" t="s">
        <v>4</v>
      </c>
      <c r="B3" s="235">
        <f>NSG_Deliveries!H5/1000</f>
        <v>40.091000000000001</v>
      </c>
      <c r="C3" s="117"/>
      <c r="D3" s="222" t="s">
        <v>309</v>
      </c>
      <c r="E3" s="420">
        <f>Weather_Input!A5</f>
        <v>37147</v>
      </c>
      <c r="F3" s="117"/>
      <c r="G3"/>
      <c r="J3"/>
      <c r="K3"/>
    </row>
    <row r="4" spans="1:11" ht="15.75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27.995999999999999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27.995999999999999</v>
      </c>
      <c r="C8" s="158"/>
      <c r="D8" s="785" t="s">
        <v>570</v>
      </c>
      <c r="E8" s="779">
        <f>NSG_Deliveries!F5/1000</f>
        <v>12.095000000000001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7.9050000000000002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26.498999999999999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1.4970000000000001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27.995999999999999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1" max="1" width="0.6640625" customWidth="1"/>
    <col min="2" max="2" width="1.33203125" style="772" customWidth="1"/>
    <col min="3" max="3" width="22.6640625" customWidth="1"/>
    <col min="4" max="4" width="0.77734375" customWidth="1"/>
    <col min="5" max="5" width="21.44140625" customWidth="1"/>
    <col min="6" max="6" width="1.109375" customWidth="1"/>
    <col min="7" max="7" width="23.8867187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208.20400000000001</v>
      </c>
      <c r="E5" s="1263">
        <f>SUM(PGL_Nine_to_Nine!F24)*2</f>
        <v>0</v>
      </c>
      <c r="G5" s="1263">
        <f>SUM(C5-E5)</f>
        <v>208.20400000000001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335</v>
      </c>
      <c r="B1" s="51">
        <f>Weather_Input!A5</f>
        <v>37147</v>
      </c>
      <c r="C1" s="4"/>
    </row>
    <row r="2" spans="1:19">
      <c r="A2" s="109" t="s">
        <v>336</v>
      </c>
      <c r="B2" s="4"/>
      <c r="C2" s="4"/>
    </row>
    <row r="3" spans="1:19" ht="15.75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37146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65179</v>
      </c>
      <c r="O6" s="199">
        <v>0</v>
      </c>
      <c r="P6" s="199">
        <v>56793615</v>
      </c>
      <c r="Q6" s="199">
        <v>15045098</v>
      </c>
      <c r="R6" s="199">
        <v>41748517</v>
      </c>
      <c r="S6" s="199">
        <v>0</v>
      </c>
    </row>
    <row r="7" spans="1:19">
      <c r="A7" s="4">
        <f>B1</f>
        <v>37147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74163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56867778</v>
      </c>
      <c r="Q7">
        <f>IF(O7&gt;0,Q6+O7,Q6)</f>
        <v>15045098</v>
      </c>
      <c r="R7">
        <f>IF(P7&gt;Q7,P7-Q7,0)</f>
        <v>41822680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topLeftCell="AX1" zoomScale="75" workbookViewId="0">
      <selection activeCell="BK5" sqref="BK5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9" width="7.88671875" customWidth="1"/>
    <col min="20" max="21" width="9.5546875" customWidth="1"/>
    <col min="22" max="36" width="7.88671875" customWidth="1"/>
    <col min="42" max="42" width="4.77734375" customWidth="1"/>
    <col min="43" max="52" width="7.88671875" customWidth="1"/>
    <col min="53" max="53" width="4.77734375" customWidth="1"/>
    <col min="58" max="58" width="4.77734375" customWidth="1"/>
    <col min="61" max="61" width="4.7773437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37147</v>
      </c>
      <c r="B5" s="1">
        <f>(Weather_Input!B5+Weather_Input!C5)/2</f>
        <v>61</v>
      </c>
      <c r="C5" s="868">
        <v>205000</v>
      </c>
      <c r="D5" s="869">
        <v>177172</v>
      </c>
      <c r="E5" s="869">
        <v>0</v>
      </c>
      <c r="F5" s="869">
        <v>15332</v>
      </c>
      <c r="G5" s="869">
        <v>0</v>
      </c>
      <c r="H5" s="869">
        <v>1321</v>
      </c>
      <c r="I5" s="869">
        <v>0</v>
      </c>
      <c r="J5" s="869">
        <v>0</v>
      </c>
      <c r="K5" s="869">
        <v>0</v>
      </c>
      <c r="L5" s="869">
        <v>1196</v>
      </c>
      <c r="M5" s="869">
        <v>513</v>
      </c>
      <c r="N5" s="869">
        <v>0</v>
      </c>
      <c r="O5" s="869">
        <v>1006</v>
      </c>
      <c r="P5" s="869">
        <v>0</v>
      </c>
      <c r="Q5" s="869">
        <v>797</v>
      </c>
      <c r="R5" s="869">
        <v>274</v>
      </c>
      <c r="S5" s="869">
        <v>1975</v>
      </c>
      <c r="T5" s="874">
        <v>4314</v>
      </c>
      <c r="U5" s="1047">
        <v>0</v>
      </c>
      <c r="V5" s="868">
        <f>SUM(D5:T5)-U5</f>
        <v>203900</v>
      </c>
      <c r="W5" s="868">
        <v>66137</v>
      </c>
      <c r="X5" s="11">
        <v>0</v>
      </c>
      <c r="Y5" s="11">
        <v>0</v>
      </c>
      <c r="Z5" s="11">
        <v>0</v>
      </c>
      <c r="AA5" s="11">
        <v>206971</v>
      </c>
      <c r="AB5" s="11">
        <v>0</v>
      </c>
      <c r="AC5" s="11">
        <v>0</v>
      </c>
      <c r="AD5" s="11">
        <v>0</v>
      </c>
      <c r="AE5" s="11">
        <v>0</v>
      </c>
      <c r="AF5" s="11">
        <v>149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3000</v>
      </c>
      <c r="AN5" s="11">
        <v>0</v>
      </c>
      <c r="AO5" s="1">
        <v>1020</v>
      </c>
      <c r="AP5" s="1"/>
      <c r="AQ5" s="1">
        <v>0</v>
      </c>
      <c r="AR5" s="1">
        <v>16646</v>
      </c>
      <c r="AS5" s="1">
        <v>4512</v>
      </c>
      <c r="AT5" s="1">
        <v>0</v>
      </c>
      <c r="AU5" s="1">
        <v>0</v>
      </c>
      <c r="AV5" s="1">
        <v>209</v>
      </c>
      <c r="AW5" s="1">
        <v>115300</v>
      </c>
      <c r="AX5" s="1">
        <v>640</v>
      </c>
      <c r="AY5" s="610">
        <f>AW5*0.015</f>
        <v>1729.5</v>
      </c>
      <c r="AZ5" s="1">
        <v>0</v>
      </c>
      <c r="BA5" s="1"/>
      <c r="BB5" s="1">
        <v>0</v>
      </c>
      <c r="BC5" s="1">
        <v>970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37148</v>
      </c>
      <c r="B6" s="886">
        <f>(Weather_Input!B6+Weather_Input!C6)/2</f>
        <v>56</v>
      </c>
      <c r="C6" s="868">
        <v>220000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37149</v>
      </c>
      <c r="B7" s="886">
        <f>(Weather_Input!B7+Weather_Input!C7)/2</f>
        <v>57</v>
      </c>
      <c r="C7" s="868">
        <v>200000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37150</v>
      </c>
      <c r="B8" s="886">
        <f>(Weather_Input!B8+Weather_Input!C8)/2</f>
        <v>60.5</v>
      </c>
      <c r="C8" s="868">
        <v>205000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37151</v>
      </c>
      <c r="B9" s="886">
        <f>(Weather_Input!B9+Weather_Input!C9)/2</f>
        <v>63.5</v>
      </c>
      <c r="C9" s="868">
        <v>195000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37152</v>
      </c>
      <c r="B10" s="886">
        <f>(Weather_Input!B10+Weather_Input!C10)/2</f>
        <v>67</v>
      </c>
      <c r="C10" s="868">
        <v>190000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E1" zoomScale="75" workbookViewId="0">
      <selection activeCell="P5" sqref="P5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37147</v>
      </c>
      <c r="B5" s="1">
        <f>(Weather_Input!B5+Weather_Input!C5)/2</f>
        <v>61</v>
      </c>
      <c r="C5" s="868">
        <v>39700</v>
      </c>
      <c r="D5" s="868">
        <v>0</v>
      </c>
      <c r="E5" s="868">
        <v>27996</v>
      </c>
      <c r="F5" s="868">
        <v>12095</v>
      </c>
      <c r="G5" s="868">
        <v>0</v>
      </c>
      <c r="H5" s="876">
        <f>SUM(D5:G5)</f>
        <v>40091</v>
      </c>
      <c r="I5" s="1">
        <v>1003</v>
      </c>
      <c r="J5" s="1" t="s">
        <v>9</v>
      </c>
      <c r="K5" s="1">
        <v>0</v>
      </c>
      <c r="L5" s="1">
        <v>1497</v>
      </c>
      <c r="M5" s="1">
        <v>7905</v>
      </c>
      <c r="N5" s="1">
        <v>0</v>
      </c>
    </row>
    <row r="6" spans="1:14">
      <c r="A6" s="12">
        <f>A5+1</f>
        <v>37148</v>
      </c>
      <c r="B6" s="886">
        <f>(Weather_Input!B6+Weather_Input!C6)/2</f>
        <v>56</v>
      </c>
      <c r="C6" s="868">
        <v>45000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37149</v>
      </c>
      <c r="B7" s="886">
        <f>(Weather_Input!B7+Weather_Input!C7)/2</f>
        <v>57</v>
      </c>
      <c r="C7" s="868">
        <v>40000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37150</v>
      </c>
      <c r="B8" s="886">
        <f>(Weather_Input!B8+Weather_Input!C8)/2</f>
        <v>60.5</v>
      </c>
      <c r="C8" s="868">
        <v>37000</v>
      </c>
      <c r="D8" s="871" t="s">
        <v>9</v>
      </c>
      <c r="E8" s="871"/>
      <c r="F8" s="871"/>
      <c r="G8" s="871"/>
      <c r="H8" s="15"/>
    </row>
    <row r="9" spans="1:14">
      <c r="A9" s="12">
        <f>A8+1</f>
        <v>37151</v>
      </c>
      <c r="B9" s="886">
        <f>(Weather_Input!B9+Weather_Input!C9)/2</f>
        <v>63.5</v>
      </c>
      <c r="C9" s="868">
        <v>35000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37152</v>
      </c>
      <c r="B10" s="886">
        <f>(Weather_Input!B10+Weather_Input!C10)/2</f>
        <v>67</v>
      </c>
      <c r="C10" s="868">
        <v>34000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topLeftCell="K1" zoomScale="75" workbookViewId="0">
      <selection activeCell="V7" sqref="V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3" width="9" bestFit="1" customWidth="1"/>
    <col min="34" max="34" width="10.109375" bestFit="1" customWidth="1"/>
  </cols>
  <sheetData>
    <row r="1" spans="1:87">
      <c r="A1" s="10"/>
      <c r="B1" s="5"/>
      <c r="C1" s="5"/>
      <c r="D1" s="5"/>
      <c r="E1" s="5"/>
      <c r="F1" s="5"/>
      <c r="G1" s="5"/>
    </row>
    <row r="2" spans="1:87" s="1" customFormat="1" ht="12.75">
      <c r="A2" s="10"/>
      <c r="B2" s="10"/>
      <c r="C2" s="10"/>
      <c r="D2" s="10"/>
      <c r="E2" s="10"/>
      <c r="F2" s="10"/>
      <c r="G2" s="10"/>
    </row>
    <row r="3" spans="1:87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2.75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2.75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2.75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2.75">
      <c r="A7" s="798">
        <f>Weather_Input!A5</f>
        <v>37147</v>
      </c>
      <c r="B7" s="877">
        <v>0</v>
      </c>
      <c r="C7" s="608">
        <v>0</v>
      </c>
      <c r="D7" s="608">
        <v>0</v>
      </c>
      <c r="E7" s="877">
        <v>5028</v>
      </c>
      <c r="F7" s="877">
        <v>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4512</v>
      </c>
      <c r="O7" s="608">
        <v>115300</v>
      </c>
      <c r="P7" s="610">
        <f t="shared" ref="P7:P12" si="0">O7*0.015</f>
        <v>1729.5</v>
      </c>
      <c r="Q7" s="608">
        <v>640</v>
      </c>
      <c r="R7" s="608">
        <v>0</v>
      </c>
      <c r="S7" s="608">
        <v>0</v>
      </c>
      <c r="T7" s="607">
        <v>10425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2.75">
      <c r="A8" s="798">
        <f>A7+1</f>
        <v>37148</v>
      </c>
      <c r="B8" s="877">
        <v>0</v>
      </c>
      <c r="C8" s="608">
        <v>0</v>
      </c>
      <c r="D8" s="608">
        <v>0</v>
      </c>
      <c r="E8" s="877">
        <v>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8000</v>
      </c>
      <c r="O8" s="608">
        <v>120000</v>
      </c>
      <c r="P8" s="610">
        <f t="shared" si="0"/>
        <v>1800</v>
      </c>
      <c r="Q8" s="608">
        <v>600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2.75">
      <c r="A9" s="798">
        <f>A8+1</f>
        <v>37149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8000</v>
      </c>
      <c r="O9" s="608">
        <v>120000</v>
      </c>
      <c r="P9" s="610">
        <f t="shared" si="0"/>
        <v>1800</v>
      </c>
      <c r="Q9" s="608">
        <v>600</v>
      </c>
      <c r="R9" s="608">
        <v>0</v>
      </c>
      <c r="S9" s="608">
        <v>0</v>
      </c>
      <c r="T9" s="607">
        <v>10425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2.75">
      <c r="A10" s="798">
        <f>A9+1</f>
        <v>37150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8000</v>
      </c>
      <c r="O10" s="608">
        <v>120000</v>
      </c>
      <c r="P10" s="610">
        <f t="shared" si="0"/>
        <v>1800</v>
      </c>
      <c r="Q10" s="608">
        <v>600</v>
      </c>
      <c r="R10" s="608">
        <v>0</v>
      </c>
      <c r="S10" s="608">
        <v>0</v>
      </c>
      <c r="T10" s="607">
        <v>10425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2.75">
      <c r="A11" s="798">
        <f>A10+1</f>
        <v>37151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120000</v>
      </c>
      <c r="P11" s="610">
        <f t="shared" si="0"/>
        <v>1800</v>
      </c>
      <c r="Q11" s="608">
        <v>600</v>
      </c>
      <c r="R11" s="608">
        <v>0</v>
      </c>
      <c r="S11" s="608">
        <v>0</v>
      </c>
      <c r="T11" s="607">
        <v>10425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2.75">
      <c r="A12" s="798">
        <f>A11+1</f>
        <v>37152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120000</v>
      </c>
      <c r="P12" s="610">
        <f t="shared" si="0"/>
        <v>1800</v>
      </c>
      <c r="Q12" s="608">
        <v>600</v>
      </c>
      <c r="R12" s="608">
        <v>0</v>
      </c>
      <c r="S12" s="608">
        <v>0</v>
      </c>
      <c r="T12" s="607">
        <v>10425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E1" zoomScale="75" workbookViewId="0">
      <selection activeCell="P7" sqref="P7"/>
    </sheetView>
  </sheetViews>
  <sheetFormatPr defaultColWidth="8.77734375" defaultRowHeight="12.75"/>
  <cols>
    <col min="1" max="14" width="8.77734375" style="1" customWidth="1"/>
    <col min="15" max="15" width="9.5546875" style="1" customWidth="1"/>
    <col min="16" max="17" width="8.77734375" style="1" customWidth="1"/>
    <col min="18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37147</v>
      </c>
      <c r="B7" s="610">
        <v>16646</v>
      </c>
      <c r="C7" s="610">
        <v>0</v>
      </c>
      <c r="D7" s="610">
        <v>0</v>
      </c>
      <c r="E7" s="610">
        <v>0</v>
      </c>
      <c r="F7" s="877">
        <v>0</v>
      </c>
      <c r="G7" s="608">
        <v>209</v>
      </c>
      <c r="H7" s="608">
        <v>3000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20000</v>
      </c>
      <c r="S7" s="1266">
        <v>10000</v>
      </c>
      <c r="T7" s="608">
        <v>0</v>
      </c>
      <c r="U7" s="609">
        <v>126391</v>
      </c>
      <c r="V7" s="609">
        <v>0</v>
      </c>
      <c r="W7" s="607">
        <v>0</v>
      </c>
      <c r="X7" s="880">
        <v>69284</v>
      </c>
      <c r="Y7" s="609">
        <v>10425</v>
      </c>
      <c r="Z7" s="1">
        <v>0</v>
      </c>
      <c r="AA7" s="607">
        <v>198204</v>
      </c>
      <c r="AB7" s="607">
        <v>32970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37148</v>
      </c>
      <c r="B8" s="610">
        <v>0</v>
      </c>
      <c r="C8" s="610">
        <v>0</v>
      </c>
      <c r="D8" s="610">
        <v>0</v>
      </c>
      <c r="E8" s="610">
        <v>0</v>
      </c>
      <c r="F8" s="877">
        <v>25000</v>
      </c>
      <c r="G8" s="608">
        <v>1000</v>
      </c>
      <c r="H8" s="608">
        <v>3000</v>
      </c>
      <c r="I8" s="608">
        <v>0</v>
      </c>
      <c r="J8" s="880">
        <v>0</v>
      </c>
      <c r="K8" s="609">
        <v>2320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20000</v>
      </c>
      <c r="S8" s="1266">
        <v>10000</v>
      </c>
      <c r="T8" s="608">
        <v>0</v>
      </c>
      <c r="U8" s="609">
        <v>125459</v>
      </c>
      <c r="V8" s="609">
        <v>0</v>
      </c>
      <c r="W8" s="607">
        <v>0</v>
      </c>
      <c r="X8" s="880">
        <v>104023</v>
      </c>
      <c r="Y8" s="609">
        <v>10425</v>
      </c>
      <c r="Z8" s="1">
        <v>0</v>
      </c>
      <c r="AA8" s="607">
        <v>184463</v>
      </c>
      <c r="AB8" s="607">
        <v>5144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37149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30000</v>
      </c>
      <c r="S9" s="1266">
        <v>15000</v>
      </c>
      <c r="T9" s="608">
        <v>0</v>
      </c>
      <c r="U9" s="609">
        <v>125459</v>
      </c>
      <c r="V9" s="609">
        <v>0</v>
      </c>
      <c r="W9" s="607">
        <v>0</v>
      </c>
      <c r="X9" s="880">
        <v>104023</v>
      </c>
      <c r="Y9" s="609">
        <v>10425</v>
      </c>
      <c r="Z9" s="1">
        <v>0</v>
      </c>
      <c r="AA9" s="607">
        <v>184463</v>
      </c>
      <c r="AB9" s="607">
        <v>5144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f>A9+1</f>
        <v>37150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30000</v>
      </c>
      <c r="S10" s="1266">
        <v>15000</v>
      </c>
      <c r="T10" s="608">
        <v>0</v>
      </c>
      <c r="U10" s="609">
        <v>125459</v>
      </c>
      <c r="V10" s="609">
        <v>0</v>
      </c>
      <c r="W10" s="607">
        <v>0</v>
      </c>
      <c r="X10" s="880">
        <v>104023</v>
      </c>
      <c r="Y10" s="609">
        <v>10425</v>
      </c>
      <c r="Z10" s="1">
        <v>0</v>
      </c>
      <c r="AA10" s="607">
        <v>184463</v>
      </c>
      <c r="AB10" s="607">
        <v>5144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37151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30000</v>
      </c>
      <c r="S11" s="1266">
        <v>15000</v>
      </c>
      <c r="T11" s="608">
        <v>0</v>
      </c>
      <c r="U11" s="609">
        <v>125459</v>
      </c>
      <c r="V11" s="609">
        <v>0</v>
      </c>
      <c r="W11" s="607">
        <v>0</v>
      </c>
      <c r="X11" s="880">
        <v>104023</v>
      </c>
      <c r="Y11" s="609">
        <v>10425</v>
      </c>
      <c r="Z11" s="1">
        <v>0</v>
      </c>
      <c r="AA11" s="607">
        <v>184463</v>
      </c>
      <c r="AB11" s="607">
        <v>5144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37152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125459</v>
      </c>
      <c r="V12" s="609">
        <v>0</v>
      </c>
      <c r="W12" s="607">
        <v>0</v>
      </c>
      <c r="X12" s="880">
        <v>104023</v>
      </c>
      <c r="Y12" s="609">
        <v>10425</v>
      </c>
      <c r="Z12" s="1">
        <v>0</v>
      </c>
      <c r="AA12" s="607">
        <v>184463</v>
      </c>
      <c r="AB12" s="607">
        <v>5144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B1" zoomScale="75" workbookViewId="0">
      <selection activeCell="M7" sqref="M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2.75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2.75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2.75">
      <c r="A7" s="799">
        <f>Weather_Input!A5</f>
        <v>37147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7905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37147</v>
      </c>
      <c r="AG7" s="607"/>
      <c r="AH7" s="607"/>
      <c r="AI7" s="607"/>
      <c r="AJ7" s="607"/>
      <c r="AK7" s="607"/>
    </row>
    <row r="8" spans="1:128" s="1" customFormat="1" ht="12.75">
      <c r="A8" s="799">
        <f>Weather_Input!A6</f>
        <v>37148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1500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37148</v>
      </c>
      <c r="AG8" s="607"/>
      <c r="AH8" s="607"/>
      <c r="AI8" s="607"/>
      <c r="AJ8" s="607"/>
      <c r="AK8" s="607"/>
    </row>
    <row r="9" spans="1:128" s="1" customFormat="1" ht="12.75">
      <c r="A9" s="798">
        <f>A8+1</f>
        <v>37149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37149</v>
      </c>
      <c r="AG9" s="607"/>
      <c r="AH9" s="607"/>
      <c r="AI9" s="607"/>
      <c r="AJ9" s="607"/>
      <c r="AK9" s="607"/>
    </row>
    <row r="10" spans="1:128" s="1" customFormat="1" ht="12.75">
      <c r="A10" s="798">
        <f>A9+1</f>
        <v>37150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37150</v>
      </c>
      <c r="AG10" s="607"/>
      <c r="AH10" s="607"/>
      <c r="AI10" s="607"/>
      <c r="AJ10" s="607"/>
      <c r="AK10" s="607"/>
    </row>
    <row r="11" spans="1:128" s="1" customFormat="1" ht="12.75">
      <c r="A11" s="798">
        <f>A10+1</f>
        <v>37151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37151</v>
      </c>
      <c r="AG11" s="607"/>
      <c r="AH11" s="607"/>
      <c r="AI11" s="607"/>
      <c r="AJ11" s="607"/>
      <c r="AK11" s="607"/>
    </row>
    <row r="12" spans="1:128" s="1" customFormat="1" ht="12.75">
      <c r="A12" s="798">
        <f>A11+1</f>
        <v>37152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37152</v>
      </c>
      <c r="AG12" s="607"/>
      <c r="AH12" s="607"/>
      <c r="AI12" s="607"/>
      <c r="AJ12" s="607"/>
      <c r="AK12" s="607"/>
    </row>
    <row r="13" spans="1:128" s="1" customFormat="1" ht="12.75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2.75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K7" sqref="K7"/>
    </sheetView>
  </sheetViews>
  <sheetFormatPr defaultColWidth="8.77734375" defaultRowHeight="12.75"/>
  <cols>
    <col min="1" max="16384" width="8.7773437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37147</v>
      </c>
      <c r="B7" s="610">
        <v>0</v>
      </c>
      <c r="C7" s="611">
        <v>0</v>
      </c>
      <c r="D7" s="610">
        <v>0</v>
      </c>
      <c r="E7" s="610">
        <v>0</v>
      </c>
      <c r="F7" s="610">
        <v>1497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26499</v>
      </c>
      <c r="R7" s="610">
        <v>16642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37148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26499</v>
      </c>
      <c r="R8" s="610">
        <v>16642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37149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26499</v>
      </c>
      <c r="R9" s="610">
        <v>16642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37150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26499</v>
      </c>
      <c r="R10" s="610">
        <v>16642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37151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26499</v>
      </c>
      <c r="R11" s="610">
        <v>16642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37152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26499</v>
      </c>
      <c r="R12" s="610">
        <v>16642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activeCell="A11" sqref="A11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THU</v>
      </c>
      <c r="I1" s="803">
        <f>D4</f>
        <v>37147</v>
      </c>
    </row>
    <row r="2" spans="1:256" ht="18.95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95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</row>
    <row r="4" spans="1:256" ht="18.95" customHeight="1" thickBot="1">
      <c r="A4" s="810"/>
      <c r="B4" s="811"/>
      <c r="C4" s="811"/>
      <c r="D4" s="449">
        <f>Weather_Input!A5</f>
        <v>37147</v>
      </c>
      <c r="E4" s="449">
        <f>Weather_Input!A6</f>
        <v>37148</v>
      </c>
      <c r="F4" s="449">
        <f>Weather_Input!A7</f>
        <v>37149</v>
      </c>
      <c r="G4" s="449">
        <f>Weather_Input!A8</f>
        <v>37150</v>
      </c>
      <c r="H4" s="449">
        <f>Weather_Input!A9</f>
        <v>37151</v>
      </c>
      <c r="I4" s="450">
        <f>Weather_Input!A10</f>
        <v>37152</v>
      </c>
    </row>
    <row r="5" spans="1:256" ht="18.95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67/55/61</v>
      </c>
      <c r="E5" s="451" t="str">
        <f>TEXT(Weather_Input!B6,"0")&amp;"/"&amp;TEXT(Weather_Input!C6,"0") &amp; "/" &amp; TEXT((Weather_Input!B6+Weather_Input!C6)/2,"0")</f>
        <v>67/45/56</v>
      </c>
      <c r="F5" s="451" t="str">
        <f>TEXT(Weather_Input!B7,"0")&amp;"/"&amp;TEXT(Weather_Input!C7,"0") &amp; "/" &amp; TEXT((Weather_Input!B7+Weather_Input!C7)/2,"0")</f>
        <v>67/47/57</v>
      </c>
      <c r="G5" s="451" t="str">
        <f>TEXT(Weather_Input!B8,"0")&amp;"/"&amp;TEXT(Weather_Input!C8,"0") &amp; "/" &amp; TEXT((Weather_Input!B8+Weather_Input!C8)/2,"0")</f>
        <v>70/51/61</v>
      </c>
      <c r="H5" s="451" t="str">
        <f>TEXT(Weather_Input!B9,"0")&amp;"/"&amp;TEXT(Weather_Input!C9,"0") &amp; "/" &amp; TEXT((Weather_Input!B9+Weather_Input!C9)/2,"0")</f>
        <v>74/53/64</v>
      </c>
      <c r="I5" s="452" t="str">
        <f>TEXT(Weather_Input!B10,"0")&amp;"/"&amp;TEXT(Weather_Input!C10,"0") &amp; "/" &amp; TEXT((Weather_Input!B10+Weather_Input!C10)/2,"0")</f>
        <v>74/60/67</v>
      </c>
    </row>
    <row r="6" spans="1:256" ht="18.95" customHeight="1">
      <c r="A6" s="817" t="s">
        <v>133</v>
      </c>
      <c r="B6" s="805"/>
      <c r="C6" s="805"/>
      <c r="D6" s="451">
        <f>PGL_Deliveries!C5/1000</f>
        <v>205</v>
      </c>
      <c r="E6" s="451">
        <f>PGL_Deliveries!C6/1000</f>
        <v>220</v>
      </c>
      <c r="F6" s="451">
        <f>PGL_Deliveries!C7/1000</f>
        <v>200</v>
      </c>
      <c r="G6" s="451">
        <f>PGL_Deliveries!C8/1000</f>
        <v>205</v>
      </c>
      <c r="H6" s="451">
        <f>PGL_Deliveries!C9/1000</f>
        <v>195</v>
      </c>
      <c r="I6" s="452">
        <f>PGL_Deliveries!C10/1000</f>
        <v>190</v>
      </c>
    </row>
    <row r="7" spans="1:256" ht="18.95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95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95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95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95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115.3</v>
      </c>
      <c r="E11" s="451">
        <f>PGL_Requirements!O8/1000</f>
        <v>120</v>
      </c>
      <c r="F11" s="451">
        <f>PGL_Requirements!O9/1000</f>
        <v>120</v>
      </c>
      <c r="G11" s="451">
        <f>PGL_Requirements!O10/1000</f>
        <v>120</v>
      </c>
      <c r="H11" s="451">
        <f>PGL_Requirements!O11/1000</f>
        <v>120</v>
      </c>
      <c r="I11" s="452">
        <f>PGL_Requirements!O12/1000</f>
        <v>120</v>
      </c>
    </row>
    <row r="12" spans="1:256" ht="18.95" customHeight="1">
      <c r="A12" s="814"/>
      <c r="B12" s="805"/>
      <c r="C12" s="805" t="s">
        <v>96</v>
      </c>
      <c r="D12" s="451">
        <f>PGL_Requirements!P7/1000</f>
        <v>1.7295</v>
      </c>
      <c r="E12" s="451">
        <f>PGL_Requirements!P8/1000</f>
        <v>1.8</v>
      </c>
      <c r="F12" s="451">
        <f>PGL_Requirements!P9/1000</f>
        <v>1.8</v>
      </c>
      <c r="G12" s="451">
        <f>PGL_Requirements!P10/1000</f>
        <v>1.8</v>
      </c>
      <c r="H12" s="451">
        <f>PGL_Requirements!P11/1000</f>
        <v>1.8</v>
      </c>
      <c r="I12" s="452">
        <f>PGL_Requirements!P12/1000</f>
        <v>1.8</v>
      </c>
    </row>
    <row r="13" spans="1:256" ht="18.95" customHeight="1">
      <c r="A13" s="814"/>
      <c r="C13" s="805" t="s">
        <v>651</v>
      </c>
      <c r="D13" s="451">
        <f>PGL_Requirements!Q7/1000</f>
        <v>0.64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95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95" customHeight="1">
      <c r="A15" s="814"/>
      <c r="B15" s="805" t="s">
        <v>136</v>
      </c>
      <c r="C15" s="805" t="s">
        <v>730</v>
      </c>
      <c r="D15" s="451">
        <f>PGL_Requirements!T7/1000</f>
        <v>10.425000000000001</v>
      </c>
      <c r="E15" s="451">
        <f>PGL_Requirements!T8/1000</f>
        <v>0</v>
      </c>
      <c r="F15" s="451">
        <f>PGL_Requirements!T9/1000</f>
        <v>10.425000000000001</v>
      </c>
      <c r="G15" s="451">
        <f>PGL_Requirements!T10/1000</f>
        <v>10.425000000000001</v>
      </c>
      <c r="H15" s="451">
        <f>PGL_Requirements!T11/1000</f>
        <v>10.425000000000001</v>
      </c>
      <c r="I15" s="452">
        <f>PGL_Requirements!T12/1000</f>
        <v>10.425000000000001</v>
      </c>
    </row>
    <row r="16" spans="1:256" ht="18.95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95" customHeight="1">
      <c r="A17" s="814"/>
      <c r="B17" s="805" t="s">
        <v>134</v>
      </c>
      <c r="C17" s="805" t="s">
        <v>86</v>
      </c>
      <c r="D17" s="451">
        <f>PGL_Requirements!N7/1000</f>
        <v>4.5119999999999996</v>
      </c>
      <c r="E17" s="451">
        <f>PGL_Requirements!N8/1000</f>
        <v>8</v>
      </c>
      <c r="F17" s="451">
        <f>PGL_Requirements!N9/1000</f>
        <v>8</v>
      </c>
      <c r="G17" s="451">
        <f>PGL_Requirements!N10/1000</f>
        <v>8</v>
      </c>
      <c r="H17" s="451">
        <f>PGL_Requirements!N11/1000</f>
        <v>8</v>
      </c>
      <c r="I17" s="452">
        <f>PGL_Requirements!N12/1000</f>
        <v>8</v>
      </c>
    </row>
    <row r="18" spans="1:10" ht="18.95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95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95" customHeight="1">
      <c r="A20" s="817" t="s">
        <v>140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95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95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95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95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0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95" customHeight="1" thickBot="1">
      <c r="A25" s="822" t="s">
        <v>142</v>
      </c>
      <c r="B25" s="823"/>
      <c r="C25" s="823"/>
      <c r="D25" s="455">
        <f t="shared" ref="D25:I25" si="1">SUM(D6:D24)</f>
        <v>342.6345</v>
      </c>
      <c r="E25" s="455">
        <f t="shared" si="1"/>
        <v>350.40000000000003</v>
      </c>
      <c r="F25" s="455">
        <f t="shared" si="1"/>
        <v>345.85300000000007</v>
      </c>
      <c r="G25" s="455">
        <f t="shared" si="1"/>
        <v>350.85300000000007</v>
      </c>
      <c r="H25" s="455">
        <f t="shared" si="1"/>
        <v>340.85300000000007</v>
      </c>
      <c r="I25" s="1060">
        <f t="shared" si="1"/>
        <v>335.85300000000007</v>
      </c>
    </row>
    <row r="26" spans="1:10" ht="18.95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95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95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95" customHeight="1">
      <c r="A29" s="814"/>
      <c r="B29" s="805"/>
      <c r="C29" s="805" t="s">
        <v>89</v>
      </c>
      <c r="D29" s="451">
        <f>PGL_Supplies!G7/1000</f>
        <v>0.20899999999999999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95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95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95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95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2.3199999999999998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95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95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95" customHeight="1">
      <c r="A36" s="817" t="s">
        <v>729</v>
      </c>
      <c r="B36" s="805" t="s">
        <v>384</v>
      </c>
      <c r="C36" s="805"/>
      <c r="D36" s="451">
        <f>PGL_Supplies!S7/1000</f>
        <v>10</v>
      </c>
      <c r="E36" s="451">
        <f>PGL_Supplies!S8/1000</f>
        <v>10</v>
      </c>
      <c r="F36" s="451">
        <f>PGL_Supplies!S9/1000</f>
        <v>15</v>
      </c>
      <c r="G36" s="451">
        <f>PGL_Supplies!S10/1000</f>
        <v>15</v>
      </c>
      <c r="H36" s="451">
        <f>PGL_Supplies!S11/1000</f>
        <v>15</v>
      </c>
      <c r="I36" s="452">
        <f>PGL_Supplies!S12/1000</f>
        <v>0</v>
      </c>
    </row>
    <row r="37" spans="1:10" ht="18.95" customHeight="1">
      <c r="A37" s="831" t="s">
        <v>673</v>
      </c>
      <c r="B37" s="805" t="s">
        <v>657</v>
      </c>
      <c r="C37" s="805"/>
      <c r="D37" s="451">
        <f>PGL_Supplies!X7/1000</f>
        <v>69.284000000000006</v>
      </c>
      <c r="E37" s="451">
        <f>PGL_Supplies!X8/1000</f>
        <v>104.023</v>
      </c>
      <c r="F37" s="451">
        <f>PGL_Supplies!X9/1000</f>
        <v>104.023</v>
      </c>
      <c r="G37" s="451">
        <f>PGL_Supplies!X10/1000</f>
        <v>104.023</v>
      </c>
      <c r="H37" s="451">
        <f>PGL_Supplies!X11/1000</f>
        <v>104.023</v>
      </c>
      <c r="I37" s="452">
        <f>PGL_Supplies!X12/1000</f>
        <v>104.023</v>
      </c>
    </row>
    <row r="38" spans="1:10" ht="18.95" customHeight="1">
      <c r="A38" s="817"/>
      <c r="B38" s="805" t="s">
        <v>136</v>
      </c>
      <c r="C38" s="818"/>
      <c r="D38" s="451">
        <f>PGL_Supplies!Y7/1000</f>
        <v>10.425000000000001</v>
      </c>
      <c r="E38" s="451">
        <f>PGL_Supplies!Y8/1000</f>
        <v>10.425000000000001</v>
      </c>
      <c r="F38" s="451">
        <f>PGL_Supplies!Y9/1000</f>
        <v>10.425000000000001</v>
      </c>
      <c r="G38" s="451">
        <f>PGL_Supplies!Y10/1000</f>
        <v>10.425000000000001</v>
      </c>
      <c r="H38" s="451">
        <f>PGL_Supplies!Y11/1000</f>
        <v>10.425000000000001</v>
      </c>
      <c r="I38" s="452">
        <f>PGL_Supplies!Y12/1000</f>
        <v>10.425000000000001</v>
      </c>
    </row>
    <row r="39" spans="1:10" ht="18.95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95" customHeight="1">
      <c r="A40" s="817"/>
      <c r="B40" s="805" t="s">
        <v>384</v>
      </c>
      <c r="C40" s="818"/>
      <c r="D40" s="451">
        <f>PGL_Supplies!AA7/1000</f>
        <v>198.20400000000001</v>
      </c>
      <c r="E40" s="451">
        <f>PGL_Supplies!AA8/1000</f>
        <v>184.46299999999999</v>
      </c>
      <c r="F40" s="451">
        <f>PGL_Supplies!AA9/1000</f>
        <v>184.46299999999999</v>
      </c>
      <c r="G40" s="451">
        <f>PGL_Supplies!AA10/1000</f>
        <v>184.46299999999999</v>
      </c>
      <c r="H40" s="451">
        <f>PGL_Supplies!AA11/1000</f>
        <v>184.46299999999999</v>
      </c>
      <c r="I40" s="452">
        <f>PGL_Supplies!AA12/1000</f>
        <v>184.46299999999999</v>
      </c>
    </row>
    <row r="41" spans="1:10" ht="18.95" customHeight="1">
      <c r="A41" s="817"/>
      <c r="B41" s="805" t="s">
        <v>134</v>
      </c>
      <c r="C41" s="805"/>
      <c r="D41" s="451">
        <f>PGL_Supplies!AB7/1000</f>
        <v>32.97</v>
      </c>
      <c r="E41" s="451">
        <f>PGL_Supplies!AB8/1000</f>
        <v>5.1440000000000001</v>
      </c>
      <c r="F41" s="451">
        <f>PGL_Supplies!AB9/1000</f>
        <v>5.1440000000000001</v>
      </c>
      <c r="G41" s="451">
        <f>PGL_Supplies!AB10/1000</f>
        <v>5.1440000000000001</v>
      </c>
      <c r="H41" s="451">
        <f>PGL_Supplies!AB11/1000</f>
        <v>5.1440000000000001</v>
      </c>
      <c r="I41" s="452">
        <f>PGL_Supplies!AB12/1000</f>
        <v>5.1440000000000001</v>
      </c>
    </row>
    <row r="42" spans="1:10" ht="18.95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95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95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95" customHeight="1">
      <c r="A45" s="817" t="s">
        <v>684</v>
      </c>
      <c r="B45" s="805"/>
      <c r="C45" s="805"/>
      <c r="D45" s="451">
        <f>PGL_Supplies!B7/1000</f>
        <v>16.646000000000001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95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95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95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95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25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95" customHeight="1" thickBot="1">
      <c r="A50" s="834" t="s">
        <v>148</v>
      </c>
      <c r="B50" s="835"/>
      <c r="C50" s="835"/>
      <c r="D50" s="461">
        <f t="shared" ref="D50:I50" si="2">SUM(D28:D49)</f>
        <v>345.76600000000002</v>
      </c>
      <c r="E50" s="461">
        <f t="shared" si="2"/>
        <v>350.40300000000002</v>
      </c>
      <c r="F50" s="461">
        <f t="shared" si="2"/>
        <v>328.08300000000003</v>
      </c>
      <c r="G50" s="461">
        <f t="shared" si="2"/>
        <v>328.08300000000003</v>
      </c>
      <c r="H50" s="461">
        <f t="shared" si="2"/>
        <v>328.08300000000003</v>
      </c>
      <c r="I50" s="1062">
        <f t="shared" si="2"/>
        <v>313.08300000000003</v>
      </c>
    </row>
    <row r="51" spans="1:9" ht="18.95" customHeight="1">
      <c r="A51" s="836" t="s">
        <v>149</v>
      </c>
      <c r="B51" s="837"/>
      <c r="C51" s="837"/>
      <c r="D51" s="462">
        <f t="shared" ref="D51:I51" si="3">IF(D50-D25&lt;0,0,D50-D25)</f>
        <v>3.1315000000000168</v>
      </c>
      <c r="E51" s="462">
        <f t="shared" si="3"/>
        <v>2.9999999999859028E-3</v>
      </c>
      <c r="F51" s="462">
        <f t="shared" si="3"/>
        <v>0</v>
      </c>
      <c r="G51" s="462">
        <f t="shared" si="3"/>
        <v>0</v>
      </c>
      <c r="H51" s="462">
        <f t="shared" si="3"/>
        <v>0</v>
      </c>
      <c r="I51" s="1063">
        <f t="shared" si="3"/>
        <v>0</v>
      </c>
    </row>
    <row r="52" spans="1:9" ht="18.95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0</v>
      </c>
      <c r="F52" s="463">
        <f t="shared" si="4"/>
        <v>17.770000000000039</v>
      </c>
      <c r="G52" s="463">
        <f t="shared" si="4"/>
        <v>22.770000000000039</v>
      </c>
      <c r="H52" s="463">
        <f t="shared" si="4"/>
        <v>12.770000000000039</v>
      </c>
      <c r="I52" s="1064">
        <f t="shared" si="4"/>
        <v>22.770000000000039</v>
      </c>
    </row>
    <row r="53" spans="1:9" ht="18.95" customHeight="1" thickTop="1" thickBot="1">
      <c r="A53" s="1051" t="s">
        <v>675</v>
      </c>
      <c r="B53" s="1052"/>
      <c r="C53" s="1052"/>
      <c r="D53" s="1053">
        <f>PGL_Supplies!U7/1000</f>
        <v>126.39100000000001</v>
      </c>
      <c r="E53" s="1053">
        <f>PGL_Supplies!U8/1000</f>
        <v>125.459</v>
      </c>
      <c r="F53" s="1053">
        <f>PGL_Supplies!U9/1000</f>
        <v>125.459</v>
      </c>
      <c r="G53" s="1053">
        <f>PGL_Supplies!U10/1000</f>
        <v>125.459</v>
      </c>
      <c r="H53" s="1053">
        <f>PGL_Supplies!U11/1000</f>
        <v>125.459</v>
      </c>
      <c r="I53" s="1054">
        <f>PGL_Supplies!U12/1000</f>
        <v>125.459</v>
      </c>
    </row>
    <row r="54" spans="1:9" ht="18.95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2001-09-14T15:52:59Z</cp:lastPrinted>
  <dcterms:created xsi:type="dcterms:W3CDTF">1997-07-16T16:14:22Z</dcterms:created>
  <dcterms:modified xsi:type="dcterms:W3CDTF">2023-09-10T17:00:11Z</dcterms:modified>
</cp:coreProperties>
</file>