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1B93EF-04EE-44CB-B1B4-627F2519AFEC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PGL_Requirements!$H$3:$AH$12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PGL_Requirements!$H$3:$AH$12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H7" i="5"/>
  <c r="A8" i="5"/>
  <c r="P8" i="5"/>
  <c r="AH8" i="5"/>
  <c r="A9" i="5"/>
  <c r="P9" i="5"/>
  <c r="AH9" i="5"/>
  <c r="A10" i="5"/>
  <c r="P10" i="5"/>
  <c r="AH10" i="5"/>
  <c r="A11" i="5"/>
  <c r="P11" i="5"/>
  <c r="AH11" i="5"/>
  <c r="A12" i="5"/>
  <c r="P12" i="5"/>
  <c r="AH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<sst xmlns="http://schemas.openxmlformats.org/spreadsheetml/2006/main" count="2085" uniqueCount="827">
  <si>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</si>
  <si>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</si>
  <si>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</si>
  <si>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</si>
  <si>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</si>
  <si>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</si>
  <si>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</si>
  <si>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</si>
  <si>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</si>
  <si>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</si>
  <si>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</si>
  <si>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</si>
  <si>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</si>
  <si>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</si>
  <si>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</si>
  <si>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</si>
  <si>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</si>
  <si>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</si>
  <si>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</si>
  <si>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</si>
  <si>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</si>
  <si>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</si>
  <si>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</si>
  <si>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</si>
  <si>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</si>
  <si>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</si>
  <si>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</si>
  <si>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</si>
  <si>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</si>
  <si>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</si>
  <si>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</si>
  <si>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</si>
  <si>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</si>
  <si>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</si>
  <si>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</si>
  <si>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</si>
  <si>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</si>
  <si>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</si>
  <si>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</si>
  <si>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</si>
  <si>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</si>
  <si>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</si>
  <si>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</si>
  <si>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</si>
  <si>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</si>
  <si>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</si>
  <si>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</si>
  <si>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</si>
  <si>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</si>
  <si>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</si>
  <si>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</si>
  <si>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</si>
  <si>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</si>
  <si>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</si>
  <si>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</si>
  <si>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</si>
  <si>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</si>
  <si>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</si>
  <si>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</si>
  <si>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</si>
  <si>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</si>
  <si>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</si>
  <si>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</si>
  <si>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</si>
  <si>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</si>
  <si>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</si>
  <si>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</si>
  <si>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</si>
  <si>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</si>
  <si>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</si>
  <si>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</si>
  <si>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</si>
  <si>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</si>
  <si>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</si>
  <si>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</si>
  <si>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</si>
  <si>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</si>
  <si>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</si>
  <si>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</si>
  <si>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</si>
  <si>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</si>
  <si>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</si>
  <si>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</si>
  <si>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</si>
  <si>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</si>
  <si>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</si>
  <si>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</si>
  <si>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</si>
  <si>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</si>
  <si>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</si>
  <si>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</si>
  <si>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</si>
  <si>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</si>
  <si>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</si>
  <si>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</si>
  <si>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</si>
  <si>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</si>
  <si>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</si>
  <si>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</si>
  <si>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</si>
  <si>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</si>
  <si>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</si>
  <si>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</si>
  <si>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</si>
  <si>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</si>
  <si>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</si>
  <si>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</si>
  <si>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</si>
  <si>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</si>
  <si>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</si>
  <si>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</si>
  <si>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</si>
  <si>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</si>
  <si>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</si>
  <si>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</si>
  <si>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</si>
  <si>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</si>
  <si>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</si>
  <si>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</si>
  <si>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</si>
  <si>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</si>
  <si>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</si>
  <si>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</si>
  <si>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</si>
  <si>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</si>
  <si>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</si>
  <si>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</si>
  <si>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</si>
  <si>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</si>
  <si>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</si>
  <si>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</si>
  <si>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</si>
  <si>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</si>
  <si>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</si>
  <si>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</si>
  <si>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</si>
  <si>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</si>
  <si>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</si>
  <si>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</si>
  <si>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</si>
  <si>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</si>
  <si>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</si>
  <si>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</si>
  <si>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</si>
  <si>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</si>
  <si>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</si>
  <si>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</si>
  <si>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</si>
  <si>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</si>
  <si>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</si>
  <si>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</si>
  <si>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</si>
  <si>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</si>
  <si>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</si>
  <si>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</si>
  <si>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</si>
  <si>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</si>
  <si>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</si>
  <si>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</si>
  <si>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</si>
  <si>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</si>
  <si>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</si>
  <si>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</si>
  <si>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</si>
  <si>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</si>
  <si>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</si>
  <si>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</si>
  <si>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</si>
  <si>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</si>
  <si>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</si>
  <si>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</si>
  <si>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</si>
  <si>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</si>
  <si>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</si>
  <si>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</si>
  <si>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</si>
  <si>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</si>
  <si>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</si>
  <si>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</si>
  <si>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</si>
  <si>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</si>
  <si>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</si>
  <si>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</si>
  <si>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</si>
  <si>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</si>
  <si>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</si>
  <si>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</si>
  <si>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</si>
  <si>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</si>
  <si>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</si>
  <si>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</si>
  <si>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</si>
  <si>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</si>
  <si>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</si>
  <si>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</si>
  <si>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</si>
  <si>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</si>
  <si>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</si>
  <si>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</si>
  <si>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</si>
  <si>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</si>
  <si>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</si>
  <si>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</si>
  <si>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</si>
  <si>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</si>
  <si>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</si>
  <si>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</si>
  <si>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</si>
  <si>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</si>
  <si>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</si>
  <si>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</si>
  <si>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</si>
  <si>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</si>
  <si>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</si>
  <si>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</si>
  <si>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</si>
  <si>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</si>
  <si>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</si>
  <si>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</si>
  <si>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</si>
  <si>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</si>
  <si>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</si>
  <si>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</si>
  <si>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</si>
  <si>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</si>
  <si>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</si>
  <si>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</si>
  <si>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</si>
  <si>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</si>
  <si>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</si>
  <si>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</si>
  <si>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</si>
  <si>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</si>
  <si>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</si>
  <si>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</si>
  <si>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</si>
  <si>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</si>
  <si>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</si>
  <si>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</si>
  <si>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</si>
  <si>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</si>
  <si>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</si>
  <si>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</si>
  <si>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</si>
  <si>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</si>
  <si>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</si>
  <si>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</si>
  <si>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</si>
  <si>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</si>
  <si>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</si>
  <si>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</si>
  <si>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</si>
  <si>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</si>
  <si>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</si>
  <si>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</si>
  <si>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</si>
  <si>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</si>
  <si>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</si>
  <si>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</si>
  <si>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</si>
  <si>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</si>
  <si>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</si>
  <si>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</si>
  <si>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</si>
  <si>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</si>
  <si>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</si>
  <si>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</si>
  <si>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</si>
  <si>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</si>
  <si>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</si>
  <si>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</si>
  <si>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</si>
  <si>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</si>
  <si>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</si>
  <si>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</si>
  <si>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</si>
  <si>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</si>
  <si>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</si>
  <si>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</si>
  <si>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</si>
  <si>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</si>
  <si>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</si>
  <si>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</si>
  <si>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</si>
  <si>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</si>
  <si>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</si>
  <si>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</si>
  <si>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</si>
  <si>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</si>
  <si>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</si>
  <si>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</si>
  <si>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</si>
  <si>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</si>
  <si>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</si>
  <si>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</si>
  <si>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</si>
  <si>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</si>
  <si>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</si>
  <si>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</si>
  <si>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</si>
  <si>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</si>
  <si>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</si>
  <si>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</si>
  <si>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</si>
  <si>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</si>
  <si>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</si>
  <si>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</si>
  <si>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</si>
  <si>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</si>
  <si>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</si>
  <si>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</si>
  <si>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</si>
  <si>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</si>
  <si>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</si>
  <si>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</si>
  <si>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</si>
  <si>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</si>
  <si>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</si>
  <si>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</si>
  <si>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</si>
  <si>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</si>
  <si>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</si>
  <si>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</si>
  <si>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</si>
  <si>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</si>
  <si>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</si>
  <si>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</si>
  <si>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</si>
  <si>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</si>
  <si>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</si>
  <si>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</si>
  <si>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</si>
  <si>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</si>
  <si>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</si>
  <si>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</si>
  <si>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</si>
  <si>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</si>
  <si>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</si>
  <si>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</si>
  <si>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</si>
  <si>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</si>
  <si>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</si>
  <si>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</si>
  <si>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</si>
  <si>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</si>
  <si>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</si>
  <si>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</si>
  <si>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</si>
  <si>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</si>
  <si>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</si>
  <si>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</si>
  <si>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</si>
  <si>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</si>
  <si>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</si>
  <si>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</si>
  <si>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</si>
  <si>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</si>
  <si>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</si>
  <si>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</si>
  <si>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</si>
  <si>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</si>
  <si>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</si>
  <si>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</si>
  <si>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</si>
  <si>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</si>
  <si>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</si>
  <si>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</si>
  <si>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</si>
  <si>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</si>
  <si>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</si>
  <si>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</si>
  <si>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</si>
  <si>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</si>
  <si>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</si>
  <si>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</si>
  <si>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</si>
  <si>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</si>
  <si>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</si>
  <si>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</si>
  <si>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</si>
  <si>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</si>
  <si>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</si>
  <si>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</si>
  <si>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</si>
  <si>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</si>
  <si>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</si>
  <si>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</si>
  <si>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</si>
  <si>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</si>
  <si>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</si>
  <si>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</si>
  <si>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</si>
  <si>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</si>
  <si>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</si>
  <si>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</si>
  <si>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</si>
  <si>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</si>
  <si>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</si>
  <si>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</si>
  <si>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</si>
  <si>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</si>
  <si>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</si>
  <si>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</si>
  <si>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</si>
  <si>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</si>
  <si>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</si>
  <si>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</si>
  <si>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</si>
  <si>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</si>
  <si>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</si>
  <si>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</si>
  <si>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</si>
  <si>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</si>
  <si>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</si>
  <si>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</si>
  <si>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</si>
  <si>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</si>
  <si>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</si>
  <si>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</si>
  <si>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</si>
  <si>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</si>
  <si>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</si>
  <si>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</si>
  <si>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</si>
  <si>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</si>
  <si>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</si>
  <si>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</si>
  <si>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</si>
  <si>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</si>
  <si>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</si>
  <si>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</si>
  <si>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</si>
  <si>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</si>
  <si>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</si>
  <si>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</si>
  <si>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</si>
  <si>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</si>
  <si>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</si>
  <si>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</si>
  <si>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</si>
  <si>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</si>
  <si>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</si>
  <si>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</si>
  <si>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</si>
  <si>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</si>
  <si>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</si>
  <si>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</si>
  <si>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</si>
  <si>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</si>
  <si>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</si>
  <si>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</si>
  <si>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</si>
  <si>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</si>
  <si>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</si>
  <si>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</si>
  <si>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</si>
  <si>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</si>
  <si>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</si>
  <si>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</si>
  <si>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</si>
  <si>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</si>
  <si>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</si>
  <si>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</si>
  <si>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</si>
  <si>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</si>
  <si>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</si>
  <si>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</si>
  <si>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</si>
  <si>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</si>
  <si>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</si>
  <si>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</si>
  <si>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</si>
  <si>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</si>
  <si>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</si>
  <si>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</si>
  <si>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</si>
  <si>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</si>
  <si>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</si>
  <si>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</si>
  <si>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</si>
  <si>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</si>
  <si>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</si>
  <si>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</si>
  <si>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</si>
  <si>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</si>
  <si>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</si>
  <si>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</si>
  <si>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</si>
  <si>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</si>
  <si>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</si>
  <si>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</si>
  <si>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</si>
  <si>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</si>
  <si>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</si>
  <si>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</si>
  <si>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</si>
  <si>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</si>
  <si>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</si>
  <si>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</si>
  <si>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</si>
  <si>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</si>
  <si>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</si>
  <si>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</si>
  <si>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</si>
  <si>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</si>
  <si>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</si>
  <si>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</si>
  <si>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</si>
  <si>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</si>
  <si>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</si>
  <si>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</si>
  <si>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</si>
  <si>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</si>
  <si>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</si>
  <si>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</si>
  <si>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</si>
  <si>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</si>
  <si>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</si>
  <si>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</si>
  <si>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</si>
  <si>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</si>
  <si>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</si>
  <si>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</si>
  <si>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</si>
  <si>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</si>
  <si>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</si>
  <si>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</si>
  <si>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</si>
  <si>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</si>
  <si>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</si>
  <si>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</si>
  <si>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</si>
  <si>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</si>
  <si>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</si>
  <si>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</si>
  <si>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</si>
  <si>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</si>
  <si>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</si>
  <si>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</si>
  <si>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</si>
  <si>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</si>
  <si>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</si>
  <si>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</si>
  <si>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</si>
  <si>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</si>
  <si>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</si>
  <si>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</si>
  <si>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</si>
  <si>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</si>
  <si>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</si>
  <si>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</si>
  <si>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</si>
  <si>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</si>
  <si>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</si>
  <si>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</si>
  <si>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</si>
  <si>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</si>
  <si>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</si>
  <si>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</si>
  <si>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</si>
  <si>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</si>
  <si>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</si>
  <si>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</si>
  <si>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</si>
  <si>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</si>
  <si>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</si>
  <si>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</si>
  <si>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</si>
  <si>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</si>
  <si>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</si>
  <si>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</si>
  <si>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</si>
  <si>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</si>
  <si>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</si>
  <si>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</si>
  <si>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</si>
  <si>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</si>
  <si>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</si>
  <si>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</si>
  <si>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</si>
  <si>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</si>
  <si>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</si>
  <si>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</si>
  <si>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</si>
  <si>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</si>
  <si>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</si>
  <si>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</si>
  <si>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</si>
  <si>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</si>
  <si>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</si>
  <si>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</si>
  <si>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</si>
  <si>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</si>
  <si>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</si>
  <si>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</si>
  <si>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</si>
  <si>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</si>
  <si>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</si>
  <si>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</si>
  <si>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</si>
  <si>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</si>
  <si>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</si>
  <si>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</si>
  <si>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</si>
  <si>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</si>
  <si>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</si>
  <si>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</si>
  <si>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</si>
  <si>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</si>
  <si>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</si>
  <si>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</si>
  <si>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</si>
  <si>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</si>
  <si>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</si>
  <si>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</si>
  <si>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</si>
  <si>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</si>
  <si>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</si>
  <si>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</si>
  <si>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</si>
  <si>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</si>
  <si>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</si>
  <si>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</si>
  <si>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</si>
  <si>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</si>
  <si>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</si>
  <si>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</si>
  <si>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</si>
  <si>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</si>
  <si>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</si>
  <si>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</si>
  <si>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</si>
  <si>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</si>
  <si>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</si>
  <si>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</si>
  <si>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</si>
  <si>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</si>
  <si>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</si>
  <si>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</si>
  <si>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</si>
  <si>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</si>
  <si>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</si>
  <si>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</si>
  <si>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</si>
  <si>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</si>
  <si>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</si>
  <si>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</si>
  <si>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</si>
  <si>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</si>
  <si>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</si>
  <si>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</si>
  <si>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</si>
  <si>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</si>
  <si>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</si>
  <si>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</si>
  <si>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</si>
  <si>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</si>
  <si>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</si>
  <si>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</si>
  <si>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</si>
  <si>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</si>
  <si>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</si>
  <si>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</si>
  <si>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</si>
  <si>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</si>
  <si>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</si>
  <si>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</si>
  <si>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</si>
  <si>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</si>
  <si>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</si>
  <si>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</si>
  <si>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</si>
  <si>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</si>
  <si>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</si>
  <si>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</si>
  <si>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</si>
  <si>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</si>
  <si>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</si>
  <si>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</si>
  <si>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</si>
  <si>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</si>
  <si>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</si>
  <si>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</si>
  <si>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</si>
  <si>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</si>
  <si>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</si>
  <si>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</si>
  <si>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</si>
  <si>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</si>
  <si>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</si>
  <si>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</si>
  <si>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</si>
  <si>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</si>
  <si>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</si>
  <si>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</si>
  <si>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</si>
  <si>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</si>
  <si>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</si>
  <si>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</si>
  <si>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</si>
  <si>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</si>
  <si>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</si>
  <si>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</si>
  <si>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</si>
  <si>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</si>
  <si>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</si>
  <si>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</si>
  <si>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</si>
  <si>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</si>
  <si>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</si>
  <si>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</si>
  <si>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</si>
  <si>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</si>
  <si>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</si>
  <si>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</si>
  <si>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</si>
  <si>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</si>
  <si>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</si>
  <si>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</si>
  <si>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</si>
  <si>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</si>
  <si>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</si>
  <si>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</si>
  <si>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</si>
  <si>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</si>
  <si>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</si>
  <si>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</si>
  <si>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</si>
  <si>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</si>
  <si>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</si>
  <si>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</si>
  <si>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</si>
  <si>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</si>
  <si>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</si>
  <si>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</si>
  <si>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</si>
  <si>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</si>
  <si>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</si>
  <si>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</si>
  <si>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</si>
  <si>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</si>
  <si>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</si>
  <si>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</si>
  <si>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</si>
  <si>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</si>
  <si>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</si>
  <si>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</si>
  <si>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</si>
  <si>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</si>
  <si>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</si>
  <si>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</si>
  <si>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</si>
  <si>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</si>
  <si>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</si>
  <si>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</si>
  <si>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</si>
  <si>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</si>
  <si>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</si>
  <si>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</si>
  <si>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</si>
  <si>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</si>
  <si>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</si>
  <si>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</si>
  <si>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</si>
  <si>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</si>
  <si>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</si>
  <si>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</si>
  <si>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</si>
  <si>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</si>
  <si>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</si>
  <si>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</si>
  <si>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</si>
  <si>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</si>
  <si>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</si>
  <si>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</si>
  <si>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</si>
  <si>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</si>
  <si>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</si>
  <si>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</si>
  <si>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</si>
  <si>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</si>
  <si>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</si>
  <si>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</si>
  <si>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</si>
  <si>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</si>
  <si>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</si>
  <si>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</si>
  <si>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</si>
  <si>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</si>
  <si>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</si>
  <si>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</si>
  <si>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</si>
  <si>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</si>
  <si>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</si>
  <si>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</si>
  <si>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</si>
  <si>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</si>
  <si>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</si>
  <si>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</si>
  <si>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</si>
  <si>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</si>
  <si>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</si>
  <si>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</si>
  <si>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</si>
  <si>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</si>
  <si>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</si>
  <si>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</si>
  <si>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</si>
  <si>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</si>
  <si>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</si>
  <si>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</si>
  <si>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</si>
  <si>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</si>
  <si>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</si>
  <si>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</si>
  <si>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Will Lincoln run? 815-478-3799</t>
  </si>
  <si>
    <t>YES</t>
  </si>
  <si>
    <t>NO</t>
  </si>
  <si>
    <t>Time on</t>
  </si>
  <si>
    <t>Will Elwood run? 815-423-9973</t>
  </si>
  <si>
    <t xml:space="preserve">  TODAY - A GOOD DEAL OF SUNSHINE</t>
  </si>
  <si>
    <t xml:space="preserve">  TONIGHT - CLEAR TO PARTLY CLOUDY.</t>
  </si>
  <si>
    <t xml:space="preserve">  PARTLY TO MOSTLY SUNNY IN THE MORNING </t>
  </si>
  <si>
    <t xml:space="preserve">  FOLLOWED BY THICKENING CLOUDS.</t>
  </si>
  <si>
    <t xml:space="preserve">  MAINLY CLOUDY</t>
  </si>
  <si>
    <t xml:space="preserve">  PARTLY SUNNY</t>
  </si>
  <si>
    <t xml:space="preserve">  MOSTLY CLOUDY; IT MAY SHOWER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</si>
</sst>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2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2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9EAC0E35-56CB-9950-3CBC-7A2A4EBE84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BA56578-129D-AD3D-5455-9E3F4F8026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344B1946-585D-5A08-065E-67B49B335E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990815A3-DCBD-FC71-83E5-F0ED672CD3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85803DE0-6E64-3A5A-3416-D7E3A952D6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75F1BE01-40ED-0A1E-DD98-4C9C3109FE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4EB3BEDA-DE67-EDCB-23CD-567B83D645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97294B3B-65CB-65A8-42D1-B8950E54E0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1FB1F725-8600-62B6-E5C4-847A4B9CD9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5B8360B3-BAB1-7749-FC13-62A14363F4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50468DF-01F4-0DE6-BC67-4C2A814CC0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72405FE6-3379-7046-0CCB-DE91F3243E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76CA6943-82FD-0F45-C326-26C6F36F2E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9AE42984-87C1-0C9E-1B9B-030B10A205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8970CD80-7694-217E-A068-8E0C0BE408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9371C5EA-E48E-7DE8-E1AB-123109A46D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DD54F21A-4F29-3318-84CF-93A8B6A20F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5889E573-98F6-4449-108A-34EC5DCED1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5E98049D-F89F-48B2-5344-A386F37E79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B4A3C55E-AB8A-064C-F67B-8EF0C5E0F5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C7EB5776-753E-8757-5377-056D07B52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BB0A1525-5DC4-454A-5C8F-CF314C87B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120A924F-9DCC-0E6C-E0E6-EA5A0B791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68AF1C19-84E2-BE69-33AA-9F68F9EA5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E541F896-566B-B839-D93B-FD0E63E34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4EEF73AE-AC2D-7811-4B0B-6516B0274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A39E29BB-0068-4F41-352E-3C043511F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86AD1293-2748-64E3-4862-145E1F4C7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6BD18CB4-0DBE-FC12-D276-230B6D139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34261035-0CAB-CF94-C2ED-0C30E373A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47097A66-86B6-EAB3-6F4A-99F605704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497A4EAC-3303-FDF6-1C8E-E054BC71A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47C2F4C9-4345-F889-3C78-B2C7518FE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71C8CA5C-0EB0-9332-15AC-FAA2BF988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3550FF50-CED0-C185-7302-802795773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4446DEE6-2997-30EA-E9DE-A0D9442E3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7DF62C7E-164C-E323-FEE4-0F5EB7986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01279721-9DC6-3A63-1255-86107974C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ED44393B-03BA-A9F0-4253-56BCF3BAC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56CD38EB-678C-5548-0ECE-ED3D3955B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C78E164A-FF2A-B1E5-DB85-035029845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EB024163-6E67-A731-4BA0-D571810D3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9E66FA5C-B2BE-F68C-5CB1-8F384F9D9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9E3B0A53-BBF4-9D5E-D2CF-B38C8E1E1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841" name="Day_1">
          <a:extLst>
            <a:ext uri="{FF2B5EF4-FFF2-40B4-BE49-F238E27FC236}">
              <a16:creationId xmlns:a16="http://schemas.microsoft.com/office/drawing/2014/main" id="{B25EAE64-B747-A0EC-CECD-6A25B018D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842" name="Day_2">
          <a:extLst>
            <a:ext uri="{FF2B5EF4-FFF2-40B4-BE49-F238E27FC236}">
              <a16:creationId xmlns:a16="http://schemas.microsoft.com/office/drawing/2014/main" id="{0E6000EF-0C5E-735E-A70D-61852F51E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843" name="Day_3">
          <a:extLst>
            <a:ext uri="{FF2B5EF4-FFF2-40B4-BE49-F238E27FC236}">
              <a16:creationId xmlns:a16="http://schemas.microsoft.com/office/drawing/2014/main" id="{906E07B1-1AB7-9650-1FF4-092ACD76D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844" name="Day_4">
          <a:extLst>
            <a:ext uri="{FF2B5EF4-FFF2-40B4-BE49-F238E27FC236}">
              <a16:creationId xmlns:a16="http://schemas.microsoft.com/office/drawing/2014/main" id="{D226898E-F765-D097-50AD-C2DF11CDC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845" name="Day_5">
          <a:extLst>
            <a:ext uri="{FF2B5EF4-FFF2-40B4-BE49-F238E27FC236}">
              <a16:creationId xmlns:a16="http://schemas.microsoft.com/office/drawing/2014/main" id="{77376AFD-4E51-8646-4BF2-4A8A097A9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846" name="Day_6">
          <a:extLst>
            <a:ext uri="{FF2B5EF4-FFF2-40B4-BE49-F238E27FC236}">
              <a16:creationId xmlns:a16="http://schemas.microsoft.com/office/drawing/2014/main" id="{4BBF2E68-1913-EAF4-2DA5-C7D9F3CC3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E2BACDCD-E819-C43E-ECE1-11882AA4E821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BA535787-E29A-6B79-2E01-9BA2B187A28A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50D359D4-2EA8-56D2-0BD7-2793852EDC6A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5E6AD3E0-5D4F-8FE5-043E-C24DCE757F12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A8A24CCA-C70F-A236-7897-BCEF79D2F4BB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28223DDB-CD82-E004-01ED-2BF9E3A15421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43EF2CD5-E67A-3052-3344-779830250B38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CCF8CE30-C5D5-2D19-36EF-547BA598C2A7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4D25C74D-33D5-8B93-B9D7-F7414735CCB2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7C6E866F-E478-562E-BE1F-F6B07F5DF1D2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CA5446D9-BB9B-17FF-5953-357B74AF9848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AA4562F1-5F62-9BCA-9BCF-E87EC1323504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F02DEB04-18C6-449D-48EF-406EFBF14034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8346F3AB-B90B-113F-A7D1-DDE4C600AF91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70FFD77B-8B2A-60F5-9415-EAF802324257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2560B1C7-1CF5-ECF1-D16A-9A7BBCD4A5D7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CF968E51-FAF5-CDCF-FC3C-2071C277B7E0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B1797FE4-AE7F-7150-764F-589598E2A024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6AF85FE8-914E-9532-6D24-341BE11C9EB7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C6A9129B-6301-CEE8-D184-81457E0CAFA5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0C25E0E5-58D4-2ABA-E5A5-6817A8B5DD8D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3D9C791E-B2C3-7AEE-E8D6-E94916F290BD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CC68F1B1-269D-D6B0-8A62-14D921B74747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6B16E8C9-DEE2-9347-DCBB-FC28C14EBAAE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C0BBA6EB-0E5E-1ED3-18AB-B74199F69B4A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AC78B379-E97F-2D1B-75FF-F72CAC856FCE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34025C92-1CE9-3C27-9CF2-2AC7E0AD9653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8FF01DD2-B373-CF69-9B27-2C6606B37563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87742507-7590-5AB1-F217-6C26E2FEB53A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71347E4C-F066-46C3-6714-1C91F23B2073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50A6A2E1-97FF-2DA4-2CF8-771B5FF07C68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B9917D1D-1A87-43B4-879A-A5AD03AA283D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3038EEBD-733F-FACB-48BC-A039683F4854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53185AE1-7C57-7AD0-740F-B341DE1775D2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FF456BBA-1268-0EB8-AC13-0E6079857E3A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C0D89442-84FE-2F9B-737E-09BC7257A7C0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F585B67D-9890-F59C-2F99-FF50FDB9FF11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194CB5B5-CB31-1EFB-FB91-B655A274DB19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CF365D1F-1466-211A-001C-2BD20AAB661F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23015E68-2DFE-8DD5-87E0-9F4FDDA3701F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BBFB0AE1-ECA8-D2B1-B46C-8504638A3050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6918C4CF-4840-53B0-92A3-D3EE330F2DE5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C4CE4A5D-1C62-28FA-CBCE-4C3636106A43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C094F535-F836-AC8E-B0ED-059F06C70533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DA171203-65AD-8D4D-F818-1CEF5C157C15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B880CB29-D3A7-4CA3-45CE-A9E2D638488C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2403E3E2-6FC9-3F1E-D5FA-33BAA634A112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4ABAD85A-D14C-AA75-4904-C55DBC4EC412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EAA8879E-6851-D50C-D491-E1C99C5A2188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096A47CE-847D-99B1-272E-3F1D5D16BC2A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AA81D772-E40C-475E-1BE3-160D84B85F48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99EFE73C-2FCE-B49F-2434-BEC55C1411D2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5A05689C-7073-2F08-B6FE-7374EDB419ED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86B89008-66B2-28B9-1258-F540A121D5B7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7955E4E3-55CE-8B0F-0A95-7D681FCC498B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091A45A6-6BCE-71F1-B8F4-FB41A75FB89B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F8579150-B2BF-E7D2-5766-863B738A3F67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799F12B2-4F58-CC17-0E8B-421A59509362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46F7E837-119B-C5D0-DAD3-861BF2E785A2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3340C174-AF0D-9705-3DD6-00C6873E0EE2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EB756466-8FB2-C215-02D1-09DDE04C4BA2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3AFD2339-F11D-B18E-C1A1-488F85A48D04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DD29E4E8-8C27-1948-1BFF-A7D9AD3E0281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0C9B7E6B-82BC-A9AB-5236-9CF84FF929A0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AF503752-1E5F-FE1D-0F38-C641AE161FB6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5B6628A0-7263-42DC-2E44-E5333A2AA9A3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777054C9-81CB-527E-8232-6C2052CC44D5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3EC14295-E5C2-D8FE-1AD7-09BE61842FD4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8468FF80-1CA3-EC0A-7664-90FECF364365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27740EB9-C048-F376-4F1C-975DB8FE7776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D71A907C-A0B5-B2A4-5BF9-74028389AD0C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7C47D491-5651-A35A-8AB4-7B3045398322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F04F7CAB-9528-8964-5B12-BF8100F4425F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D8F63476-071B-1F8E-1AD7-41C4ECAA3DDB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8E1D8C49-38C0-FCD3-1016-37DF1105A7B7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2C407139-025F-8718-CC62-6C714DEBC8A8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89900BAE-A312-ADFB-3DB5-8E2DEF80BF36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2F0BC4CE-8839-F54D-5181-A0492BED118A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F5D8B47F-C946-E02C-B106-98F3CD4428E5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08D1A251-53E4-A315-CBB1-FA2B38D73E97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59039649-B2EF-3F35-8F8B-0031916C14DF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BC9AC387-7E71-178E-305E-E3E242950851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B6FBC329-2403-767B-800B-A615EC9D0A1C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84EF3DA3-0D77-2EFC-C91E-6DC5E3A1CA4C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E3334312-141B-86E6-D2F4-0BA3830698A4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63F5A986-86DF-CBFD-F329-A37F58479FD1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01086DDA-E80B-C021-4DE9-B9B373E13B22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6B8680A8-69A8-7AEC-2E18-648E34D0EEDF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A9C14238-1AFF-CF89-7AC0-49827AD8C58F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9D067591-C1E8-C6FC-BB46-0145CC4FE307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4E15B86D-E5B7-1F32-A970-6EC628B8F10C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BCA3CAE2-A606-CB8D-385A-8FBE3CED2D27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CBB5F153-E06F-7225-1336-97696A2E9162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7FC004A0-692B-36CE-CF67-827B6E5E46BF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BD98FDF2-65A2-7913-41A3-87AB64BDF638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DF5EE7EB-E9B4-75D2-7D96-EFEF1D267486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BDC3B1F3-5F6D-A9A5-2FBB-EC36C024ADCD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B372998F-700A-C2D4-0C10-70937A98D535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AA5E5993-3F4B-AFD2-751C-B146BE28158C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7C5A3737-CE01-4B6A-7040-CBFF52D9F0D4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372BA187-4162-103A-666F-386E9C032E53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55E0E782-3E5F-915F-7F7F-7115526C6EE3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8511A542-C868-1038-BD07-CFF1149D9508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C02ABB2C-0ADC-D57E-AA4A-5269805E2CD2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F7375E58-41D5-9D0B-095D-04DC0ABED958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EB936D89-5C10-A7F4-7951-6D3ED83CB52A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66BC5E96-B5F9-9EDF-E128-51834A3125C3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63CE8CF7-ACF4-E8C1-9569-10F01442CDE5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289DF3FA-E357-6A60-7696-A64ED18B6714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FFF5AFD6-394D-8082-2E5D-A0F27FBAFB00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63E65409-4DF1-D690-12F7-D723EBDBC402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BE05EF9B-C741-6304-C655-7E389AE2A130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56873AE7-71BF-58E9-D233-1389BB31670B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C21E7ACE-1A3F-4474-B5DC-54A0365126F6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90567AA9-BB25-63E4-68B0-1AFA39C78505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D6AA5CAA-ED2F-9EE4-3B25-321B6A1DD04C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39C7401E-2049-DD74-C968-50D19C439B28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170371C6-BA8C-C0D0-D966-F058D064D061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503A0566-AA83-A1C5-21B7-A8F674610BEB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7D86108B-D594-AB4C-B21B-A43E3C2E3CB0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932F1743-DCD5-9E16-75F6-56E387D94648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6030CFD4-3B04-E5B4-777E-570E27110EBE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25B2DDB8-4CCF-1B55-1933-810A3A91656F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F9F1C8D3-1E47-7C2D-7937-73A590A3B4F2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5F66DD35-2D67-0CBB-A227-05F571F80735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ECAA3BA9-A215-9881-9542-65FCB1CCB112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3E0C90E6-8A95-05A2-D587-EF942CB4F13E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E1915DA9-0B6F-3157-926B-C6C7F857446A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B8288DFD-8DDE-BD09-4A1C-A92D052AB8EB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D8EDC8B8-6854-5692-3F93-D01B72E436B8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05" t="s">
        <v>9</v>
      </c>
      <c r="B1" s="777"/>
    </row>
    <row r="2" spans="1:88">
      <c r="A2" s="1005"/>
      <c r="B2" t="s">
        <v>9</v>
      </c>
    </row>
    <row r="3" spans="1:88" ht="15.75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/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FRI</v>
      </c>
      <c r="I1" s="844">
        <f>D4</f>
        <v>37148</v>
      </c>
      <c r="J1" s="110"/>
    </row>
    <row r="2" spans="1:10" ht="24.95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5" customHeight="1" thickBot="1">
      <c r="A3" s="807"/>
      <c r="B3" s="805"/>
      <c r="C3" s="805"/>
      <c r="D3" s="808" t="str">
        <f t="shared" ref="D3:I3" si="0">CHOOSE(WEEKDAY(D4),"SUN","MON","TUE","WED","THU","FRI","SAT")</f>
        <v>FRI</v>
      </c>
      <c r="E3" s="808" t="str">
        <f t="shared" si="0"/>
        <v>SAT</v>
      </c>
      <c r="F3" s="808" t="str">
        <f t="shared" si="0"/>
        <v>SUN</v>
      </c>
      <c r="G3" s="808" t="str">
        <f t="shared" si="0"/>
        <v>MON</v>
      </c>
      <c r="H3" s="808" t="str">
        <f t="shared" si="0"/>
        <v>TUE</v>
      </c>
      <c r="I3" s="809" t="str">
        <f t="shared" si="0"/>
        <v>WED</v>
      </c>
      <c r="J3" s="110"/>
    </row>
    <row r="4" spans="1:10" ht="24.95" customHeight="1" thickBot="1">
      <c r="A4" s="810" t="s">
        <v>152</v>
      </c>
      <c r="B4" s="811"/>
      <c r="C4" s="811"/>
      <c r="D4" s="812">
        <f>Weather_Input!A5</f>
        <v>37148</v>
      </c>
      <c r="E4" s="812">
        <f>Weather_Input!A6</f>
        <v>37149</v>
      </c>
      <c r="F4" s="812">
        <f>Weather_Input!A7</f>
        <v>37150</v>
      </c>
      <c r="G4" s="812">
        <f>Weather_Input!A8</f>
        <v>37151</v>
      </c>
      <c r="H4" s="812">
        <f>Weather_Input!A9</f>
        <v>37152</v>
      </c>
      <c r="I4" s="813">
        <f>Weather_Input!A10</f>
        <v>37153</v>
      </c>
      <c r="J4" s="110"/>
    </row>
    <row r="5" spans="1:10" s="111" customFormat="1" ht="24.95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62/53/58</v>
      </c>
      <c r="E5" s="845" t="str">
        <f>TEXT(Weather_Input!B6,"0")&amp;"/"&amp;TEXT(Weather_Input!C6,"0") &amp; "/" &amp; TEXT((Weather_Input!B6+Weather_Input!C6)/2,"0")</f>
        <v>65/50/58</v>
      </c>
      <c r="F5" s="845" t="str">
        <f>TEXT(Weather_Input!B7,"0")&amp;"/"&amp;TEXT(Weather_Input!C7,"0") &amp; "/" &amp; TEXT((Weather_Input!B7+Weather_Input!C7)/2,"0")</f>
        <v>70/51/61</v>
      </c>
      <c r="G5" s="845" t="str">
        <f>TEXT(Weather_Input!B8,"0")&amp;"/"&amp;TEXT(Weather_Input!C8,"0") &amp; "/" &amp; TEXT((Weather_Input!B8+Weather_Input!C8)/2,"0")</f>
        <v>72/53/63</v>
      </c>
      <c r="H5" s="845" t="str">
        <f>TEXT(Weather_Input!B9,"0")&amp;"/"&amp;TEXT(Weather_Input!C9,"0") &amp; "/" &amp; TEXT((Weather_Input!B9+Weather_Input!C9)/2,"0")</f>
        <v>70/58/64</v>
      </c>
      <c r="I5" s="846" t="str">
        <f>TEXT(Weather_Input!B10,"0")&amp;"/"&amp;TEXT(Weather_Input!C10,"0") &amp; "/" &amp; TEXT((Weather_Input!B10+Weather_Input!C10)/2,"0")</f>
        <v>70/56/63</v>
      </c>
      <c r="J5" s="110"/>
    </row>
    <row r="6" spans="1:10" ht="24.95" customHeight="1">
      <c r="A6" s="817" t="s">
        <v>133</v>
      </c>
      <c r="B6" s="805"/>
      <c r="C6" s="805"/>
      <c r="D6" s="815">
        <f ca="1">VLOOKUP(D4,NSG_Sendouts,CELL("Col",NSG_Deliveries!C5),FALSE)/1000</f>
        <v>37</v>
      </c>
      <c r="E6" s="815">
        <f ca="1">VLOOKUP(E4,NSG_Sendouts,CELL("Col",NSG_Deliveries!C6),FALSE)/1000</f>
        <v>35</v>
      </c>
      <c r="F6" s="815">
        <f ca="1">VLOOKUP(F4,NSG_Sendouts,CELL("Col",NSG_Deliveries!C7),FALSE)/1000</f>
        <v>37</v>
      </c>
      <c r="G6" s="815">
        <f ca="1">VLOOKUP(G4,NSG_Sendouts,CELL("Col",NSG_Deliveries!C8),FALSE)/1000</f>
        <v>35</v>
      </c>
      <c r="H6" s="815">
        <f ca="1">VLOOKUP(H4,NSG_Sendouts,CELL("Col",NSG_Deliveries!C9),FALSE)/1000</f>
        <v>34</v>
      </c>
      <c r="I6" s="820">
        <f ca="1">VLOOKUP(I4,NSG_Sendouts,CELL("Col",NSG_Deliveries!C10),FALSE)/1000</f>
        <v>34</v>
      </c>
      <c r="J6" s="111"/>
    </row>
    <row r="7" spans="1:10" ht="24.95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5" customHeight="1">
      <c r="A8" s="814"/>
      <c r="B8" s="805" t="s">
        <v>136</v>
      </c>
      <c r="C8" s="819" t="s">
        <v>86</v>
      </c>
      <c r="D8" s="815">
        <f>NSG_Requirements!J7/1000</f>
        <v>9.2200000000000006</v>
      </c>
      <c r="E8" s="815">
        <f>NSG_Requirements!J8/1000</f>
        <v>11.775</v>
      </c>
      <c r="F8" s="815">
        <f>NSG_Requirements!J9/1000</f>
        <v>0</v>
      </c>
      <c r="G8" s="815">
        <f>NSG_Requirements!J10/1000</f>
        <v>0</v>
      </c>
      <c r="H8" s="815">
        <f>NSG_Requirements!J11/1000</f>
        <v>0</v>
      </c>
      <c r="I8" s="816">
        <f>NSG_Requirements!J12/1000</f>
        <v>0</v>
      </c>
      <c r="J8" s="110"/>
    </row>
    <row r="9" spans="1:10" ht="24.95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5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5" customHeight="1" thickBot="1">
      <c r="A11" s="849" t="s">
        <v>142</v>
      </c>
      <c r="B11" s="839"/>
      <c r="C11" s="839"/>
      <c r="D11" s="824">
        <f t="shared" ref="D11:I11" ca="1" si="1">SUM(D6:D10)</f>
        <v>46.22</v>
      </c>
      <c r="E11" s="824">
        <f t="shared" ca="1" si="1"/>
        <v>46.774999999999999</v>
      </c>
      <c r="F11" s="824">
        <f t="shared" ca="1" si="1"/>
        <v>37</v>
      </c>
      <c r="G11" s="824">
        <f t="shared" ca="1" si="1"/>
        <v>35</v>
      </c>
      <c r="H11" s="824">
        <f t="shared" ca="1" si="1"/>
        <v>34</v>
      </c>
      <c r="I11" s="825">
        <f t="shared" ca="1" si="1"/>
        <v>34</v>
      </c>
      <c r="J11" s="110"/>
    </row>
    <row r="12" spans="1:10" ht="24.95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5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5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5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5" customHeight="1">
      <c r="A16" s="814"/>
      <c r="B16" s="805"/>
      <c r="C16" s="819" t="s">
        <v>741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5" customHeight="1">
      <c r="A17" s="814"/>
      <c r="B17" s="805" t="s">
        <v>134</v>
      </c>
      <c r="C17" s="819" t="s">
        <v>742</v>
      </c>
      <c r="D17" s="815">
        <f>NSG_Supplies!F7/1000</f>
        <v>0.375</v>
      </c>
      <c r="E17" s="815">
        <f>NSG_Supplies!F8/1000</f>
        <v>0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5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5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26.498999999999999</v>
      </c>
      <c r="E19" s="815">
        <f>NSG_Supplies!Q8/1000</f>
        <v>26.774999999999999</v>
      </c>
      <c r="F19" s="815">
        <f>NSG_Supplies!Q9/1000</f>
        <v>26.774999999999999</v>
      </c>
      <c r="G19" s="815">
        <f>NSG_Supplies!Q10/1000</f>
        <v>26.774999999999999</v>
      </c>
      <c r="H19" s="815">
        <f>NSG_Supplies!Q11/1000</f>
        <v>26.774999999999999</v>
      </c>
      <c r="I19" s="816">
        <f>NSG_Supplies!Q12/1000</f>
        <v>26.774999999999999</v>
      </c>
      <c r="J19" s="110"/>
    </row>
    <row r="20" spans="1:13" ht="24.95" customHeight="1">
      <c r="A20" s="814"/>
      <c r="B20" s="805" t="s">
        <v>136</v>
      </c>
      <c r="C20" s="805" t="s">
        <v>567</v>
      </c>
      <c r="D20" s="815">
        <f>NSG_Supplies!P7/1000</f>
        <v>20</v>
      </c>
      <c r="E20" s="815">
        <f>NSG_Supplies!P8/1000</f>
        <v>20</v>
      </c>
      <c r="F20" s="815">
        <f>NSG_Supplies!P9/1000</f>
        <v>20</v>
      </c>
      <c r="G20" s="815">
        <f>NSG_Supplies!P10/1000</f>
        <v>20</v>
      </c>
      <c r="H20" s="815">
        <f>NSG_Supplies!P11/1000</f>
        <v>20</v>
      </c>
      <c r="I20" s="816">
        <f>NSG_Supplies!P12/1000</f>
        <v>20</v>
      </c>
      <c r="J20" s="110"/>
    </row>
    <row r="21" spans="1:13" ht="24.95" customHeight="1" thickBot="1">
      <c r="A21" s="1198" t="s">
        <v>148</v>
      </c>
      <c r="B21" s="1199"/>
      <c r="C21" s="1199"/>
      <c r="D21" s="1200">
        <f t="shared" ref="D21:I21" si="2">SUM(D14:D20)</f>
        <v>46.873999999999995</v>
      </c>
      <c r="E21" s="1200">
        <f t="shared" si="2"/>
        <v>46.774999999999999</v>
      </c>
      <c r="F21" s="1200">
        <f t="shared" si="2"/>
        <v>46.774999999999999</v>
      </c>
      <c r="G21" s="1200">
        <f t="shared" si="2"/>
        <v>46.774999999999999</v>
      </c>
      <c r="H21" s="1200">
        <f t="shared" si="2"/>
        <v>46.774999999999999</v>
      </c>
      <c r="I21" s="1201">
        <f t="shared" si="2"/>
        <v>46.774999999999999</v>
      </c>
      <c r="J21" s="110"/>
      <c r="K21" s="111"/>
      <c r="L21" s="93"/>
      <c r="M21" s="111"/>
    </row>
    <row r="22" spans="1:13" ht="24.95" customHeight="1">
      <c r="A22" s="854" t="s">
        <v>149</v>
      </c>
      <c r="B22" s="855"/>
      <c r="C22" s="855"/>
      <c r="D22" s="856">
        <f t="shared" ref="D22:I22" ca="1" si="3">IF(D21-D11&lt;0,0,D21-D11)</f>
        <v>0.65399999999999636</v>
      </c>
      <c r="E22" s="856">
        <f t="shared" ca="1" si="3"/>
        <v>0</v>
      </c>
      <c r="F22" s="856">
        <f t="shared" ca="1" si="3"/>
        <v>9.7749999999999986</v>
      </c>
      <c r="G22" s="856">
        <f t="shared" ca="1" si="3"/>
        <v>11.774999999999999</v>
      </c>
      <c r="H22" s="856">
        <f t="shared" ca="1" si="3"/>
        <v>12.774999999999999</v>
      </c>
      <c r="I22" s="857">
        <f t="shared" ca="1" si="3"/>
        <v>12.774999999999999</v>
      </c>
      <c r="J22" s="110"/>
      <c r="K22" s="111"/>
      <c r="L22" s="93"/>
      <c r="M22" s="111"/>
    </row>
    <row r="23" spans="1:13" ht="24.95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0</v>
      </c>
      <c r="F23" s="840">
        <f t="shared" ca="1" si="4"/>
        <v>0</v>
      </c>
      <c r="G23" s="840">
        <f t="shared" ca="1" si="4"/>
        <v>0</v>
      </c>
      <c r="H23" s="840">
        <f t="shared" ca="1" si="4"/>
        <v>0</v>
      </c>
      <c r="I23" s="841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56" t="s">
        <v>680</v>
      </c>
      <c r="B24" s="1057"/>
      <c r="C24" s="1057"/>
      <c r="D24" s="1058">
        <f>NSG_Supplies!R7/1000</f>
        <v>16.641999999999999</v>
      </c>
      <c r="E24" s="1058">
        <f>NSG_Supplies!R8/1000</f>
        <v>16.917999999999999</v>
      </c>
      <c r="F24" s="1058">
        <f>NSG_Supplies!R9/1000</f>
        <v>16.917999999999999</v>
      </c>
      <c r="G24" s="1058">
        <f>NSG_Supplies!R10/1000</f>
        <v>16.917999999999999</v>
      </c>
      <c r="H24" s="1058">
        <f>NSG_Supplies!R11/1000</f>
        <v>16.917999999999999</v>
      </c>
      <c r="I24" s="1059">
        <f>NSG_Supplies!R12/1000</f>
        <v>16.917999999999999</v>
      </c>
    </row>
    <row r="25" spans="1:13" ht="24.95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5" customHeight="1" thickTop="1" thickBot="1">
      <c r="A26" s="861" t="s">
        <v>156</v>
      </c>
      <c r="B26" s="862"/>
      <c r="C26" s="862"/>
      <c r="D26" s="863">
        <f>Weather_Input!D5</f>
        <v>7.8</v>
      </c>
      <c r="E26" s="863">
        <f>Weather_Input!D6</f>
        <v>7</v>
      </c>
      <c r="F26" s="863">
        <f>Weather_Input!D7</f>
        <v>8</v>
      </c>
      <c r="G26" s="864"/>
      <c r="H26" s="859"/>
      <c r="I26" s="859"/>
    </row>
    <row r="27" spans="1:13" ht="15.75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37148</v>
      </c>
      <c r="N1" s="1175" t="str">
        <f>CHOOSE(WEEKDAY(M1),"SUN","MON","TUE","WED","THU","FRI","SAT")</f>
        <v>FRI</v>
      </c>
      <c r="O1" s="576"/>
    </row>
    <row r="2" spans="1:17">
      <c r="A2" s="416" t="s">
        <v>659</v>
      </c>
      <c r="B2" s="315">
        <f>PGL_Supplies!W7/1000</f>
        <v>0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75">
      <c r="A3" s="416" t="s">
        <v>690</v>
      </c>
      <c r="B3" s="1136">
        <f>PGL_Requirements!I7/1000</f>
        <v>0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62</v>
      </c>
      <c r="K3" s="918">
        <f>Weather_Input!C5</f>
        <v>53</v>
      </c>
      <c r="L3" s="587" t="s">
        <v>9</v>
      </c>
      <c r="M3" s="260" t="s">
        <v>9</v>
      </c>
      <c r="N3" s="260"/>
      <c r="O3" s="258"/>
    </row>
    <row r="4" spans="1:17" ht="15.75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3</v>
      </c>
      <c r="G4" s="509" t="s">
        <v>9</v>
      </c>
      <c r="H4" s="1194"/>
      <c r="I4" t="s">
        <v>725</v>
      </c>
      <c r="J4" s="1009"/>
      <c r="K4" s="1213"/>
      <c r="L4" s="425"/>
      <c r="M4" s="1011"/>
      <c r="N4" s="425"/>
      <c r="O4" s="778"/>
    </row>
    <row r="5" spans="1:17" ht="16.5" thickBot="1">
      <c r="A5" s="1020" t="s">
        <v>3</v>
      </c>
      <c r="B5" s="315">
        <f>PGL_Supplies!X7/1000</f>
        <v>104.023</v>
      </c>
      <c r="C5" s="1012" t="s">
        <v>9</v>
      </c>
      <c r="D5" s="340"/>
      <c r="E5" s="1155" t="s">
        <v>420</v>
      </c>
      <c r="F5" s="936">
        <f>F3+F4</f>
        <v>3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190</v>
      </c>
      <c r="L5" s="585"/>
      <c r="M5" s="260"/>
      <c r="N5" s="585"/>
      <c r="O5" s="258"/>
    </row>
    <row r="6" spans="1:17" ht="16.5" thickBot="1">
      <c r="A6" s="542" t="s">
        <v>411</v>
      </c>
      <c r="B6" s="1015">
        <f>+B5-B3+B2-B4</f>
        <v>104.023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5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0</v>
      </c>
      <c r="C8" s="577"/>
      <c r="D8" s="304"/>
      <c r="E8" s="416" t="s">
        <v>423</v>
      </c>
      <c r="F8" s="379">
        <f>PGL_Requirements!E7/1000</f>
        <v>0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5"/>
      <c r="I9" s="119" t="s">
        <v>656</v>
      </c>
      <c r="J9" s="1009"/>
      <c r="K9" s="1217">
        <f>+B6</f>
        <v>104.023</v>
      </c>
      <c r="L9" s="1009"/>
      <c r="M9" s="1011"/>
      <c r="N9" s="425"/>
      <c r="O9" s="276" t="s">
        <v>9</v>
      </c>
    </row>
    <row r="10" spans="1:17" ht="15.75" thickBot="1">
      <c r="A10" s="617" t="s">
        <v>618</v>
      </c>
      <c r="B10" s="315">
        <f>PGL_Supplies!Y7/1000</f>
        <v>10.425000000000001</v>
      </c>
      <c r="C10" s="119"/>
      <c r="D10" s="1008"/>
      <c r="E10" s="416" t="s">
        <v>714</v>
      </c>
      <c r="F10" s="944">
        <f>PGL_Supplies!AC7/1000</f>
        <v>30.027999999999999</v>
      </c>
      <c r="G10" s="510"/>
      <c r="H10" s="1086"/>
      <c r="I10" s="1147" t="s">
        <v>707</v>
      </c>
      <c r="J10" s="273" t="s">
        <v>9</v>
      </c>
      <c r="K10" s="1216">
        <f>B11</f>
        <v>10.425000000000001</v>
      </c>
      <c r="L10" s="585"/>
      <c r="M10" s="597" t="s">
        <v>9</v>
      </c>
      <c r="N10" s="585"/>
      <c r="O10" s="276" t="s">
        <v>9</v>
      </c>
    </row>
    <row r="11" spans="1:17" ht="16.5" thickBot="1">
      <c r="A11" s="542" t="s">
        <v>411</v>
      </c>
      <c r="B11" s="549">
        <f>B10+B9-B8</f>
        <v>10.425000000000001</v>
      </c>
      <c r="C11" s="514"/>
      <c r="D11" s="514"/>
      <c r="E11" s="771" t="s">
        <v>512</v>
      </c>
      <c r="F11" s="945">
        <f>+F10+F9-F8+F7</f>
        <v>30.027999999999999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-116.005</v>
      </c>
      <c r="L11" s="585"/>
      <c r="M11" s="260" t="s">
        <v>9</v>
      </c>
      <c r="N11" s="585"/>
      <c r="O11" s="258"/>
    </row>
    <row r="12" spans="1:17" ht="16.5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0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116.47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194.46299999999999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3</v>
      </c>
      <c r="L14" s="585"/>
      <c r="M14" s="260" t="s">
        <v>9</v>
      </c>
      <c r="N14" s="585"/>
      <c r="O14" s="258"/>
    </row>
    <row r="15" spans="1:17" ht="16.5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30.027999999999999</v>
      </c>
      <c r="L15" s="585"/>
      <c r="M15" s="260" t="s">
        <v>9</v>
      </c>
      <c r="N15" s="585"/>
      <c r="O15" s="258"/>
    </row>
    <row r="16" spans="1:17" ht="16.5" thickBot="1">
      <c r="A16" s="416" t="s">
        <v>418</v>
      </c>
      <c r="B16" s="315">
        <f>PGL_Supplies!G7/1000</f>
        <v>1.0449999999999999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0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0.57999999999999996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-40.874000000000002</v>
      </c>
      <c r="L17" s="585"/>
      <c r="M17" s="260"/>
      <c r="N17" s="585"/>
      <c r="O17" s="258"/>
    </row>
    <row r="18" spans="1:15" ht="16.5" thickBot="1">
      <c r="A18" s="416" t="s">
        <v>653</v>
      </c>
      <c r="B18" s="315">
        <f>PGL_Requirements!P7/1000</f>
        <v>1.74705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0</v>
      </c>
      <c r="L18" s="1009"/>
      <c r="M18" s="217"/>
      <c r="N18" s="1009"/>
      <c r="O18" s="778"/>
    </row>
    <row r="19" spans="1:15" ht="16.5" thickBot="1">
      <c r="A19" s="501" t="s">
        <v>420</v>
      </c>
      <c r="B19" s="1166">
        <f>-B13+B14+B16-B17-B15+B20+B21</f>
        <v>-116.005</v>
      </c>
      <c r="C19" s="503"/>
      <c r="D19" s="515"/>
      <c r="E19" s="1104" t="s">
        <v>697</v>
      </c>
      <c r="F19" s="1169">
        <f>PGL_Requirements!J7/1000</f>
        <v>0</v>
      </c>
      <c r="G19" s="998" t="s">
        <v>9</v>
      </c>
      <c r="H19" s="1105" t="s">
        <v>9</v>
      </c>
      <c r="I19" t="s">
        <v>515</v>
      </c>
      <c r="J19" s="1171"/>
      <c r="K19" s="1221">
        <f>-F24</f>
        <v>0</v>
      </c>
      <c r="L19" s="1171"/>
      <c r="M19" s="157"/>
      <c r="N19" s="1171"/>
      <c r="O19" s="1170"/>
    </row>
    <row r="20" spans="1:15" ht="16.5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185.06</v>
      </c>
      <c r="L20" s="604" t="s">
        <v>9</v>
      </c>
      <c r="M20" s="494" t="s">
        <v>9</v>
      </c>
      <c r="N20" s="604" t="s">
        <v>9</v>
      </c>
      <c r="O20" s="605"/>
    </row>
    <row r="21" spans="1:15" ht="16.5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75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4.9399999999999977</v>
      </c>
      <c r="L23" s="257"/>
      <c r="M23" s="597" t="s">
        <v>9</v>
      </c>
      <c r="N23" s="257"/>
      <c r="O23" s="287"/>
    </row>
    <row r="24" spans="1:15" ht="16.5" thickBot="1">
      <c r="A24" s="416" t="s">
        <v>414</v>
      </c>
      <c r="B24" s="379">
        <f>PGL_Requirements!C7/1000</f>
        <v>0</v>
      </c>
      <c r="C24" s="343"/>
      <c r="D24" s="1085"/>
      <c r="E24" s="534" t="s">
        <v>701</v>
      </c>
      <c r="F24" s="1169">
        <f>PGL_Requirements!G7/1000*0.5</f>
        <v>0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5" thickBot="1">
      <c r="A25" s="416" t="s">
        <v>693</v>
      </c>
      <c r="B25" s="938">
        <f>PGL_Supplies!C7/1000</f>
        <v>0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1.74705</v>
      </c>
      <c r="L25" s="923"/>
      <c r="M25" s="1182"/>
      <c r="N25" s="924" t="s">
        <v>9</v>
      </c>
      <c r="O25" s="251"/>
    </row>
    <row r="26" spans="1:15" ht="17.25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6.6870499999999975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5" thickBot="1">
      <c r="A28" s="542" t="s">
        <v>411</v>
      </c>
      <c r="B28" s="936">
        <f>-B24+B25+B26+B27</f>
        <v>0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0</v>
      </c>
      <c r="L28" s="298"/>
      <c r="M28" s="919" t="s">
        <v>9</v>
      </c>
      <c r="N28" s="497"/>
      <c r="O28" s="929" t="s">
        <v>9</v>
      </c>
    </row>
    <row r="29" spans="1:15" ht="16.5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-6.008</v>
      </c>
      <c r="L29" s="298"/>
      <c r="M29" s="930" t="s">
        <v>9</v>
      </c>
      <c r="N29" s="497"/>
      <c r="O29" s="934" t="s">
        <v>9</v>
      </c>
    </row>
    <row r="30" spans="1:15" ht="15.75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-5.1440000000000001</v>
      </c>
      <c r="L30" s="1119"/>
      <c r="M30" s="1023">
        <f>-PGL_Supplies!AB7/1000</f>
        <v>-5.1440000000000001</v>
      </c>
      <c r="N30" s="1120"/>
      <c r="O30" s="1179">
        <f>-PGL_Supplies!AB7/1000</f>
        <v>-5.1440000000000001</v>
      </c>
    </row>
    <row r="31" spans="1:15" ht="16.5" thickBot="1">
      <c r="A31" s="361" t="s">
        <v>449</v>
      </c>
      <c r="B31" s="938">
        <f>PGL_Supplies!D7/1000</f>
        <v>0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5" thickBot="1">
      <c r="A32" s="416" t="s">
        <v>103</v>
      </c>
      <c r="B32" s="938">
        <f>PGL_Supplies!AA7/1000+NSG_Supplies!M7/1000</f>
        <v>184.46299999999999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75" thickBot="1">
      <c r="A33" s="1076" t="s">
        <v>557</v>
      </c>
      <c r="B33" s="938">
        <f>PGL_Supplies!R7/1000</f>
        <v>20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5" thickBot="1">
      <c r="A34" s="1131" t="s">
        <v>615</v>
      </c>
      <c r="B34" s="1156">
        <f>-B30+B31+B32+B33*0.5</f>
        <v>194.46299999999999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194.46299999999999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0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5" thickBot="1">
      <c r="A39" s="1078" t="s">
        <v>2</v>
      </c>
      <c r="B39" s="1178">
        <f>B35+B36+B37</f>
        <v>194.46299999999999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7.25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75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FRI</v>
      </c>
      <c r="G1" s="1181">
        <f>Weather_Input!A5</f>
        <v>37148</v>
      </c>
      <c r="H1" s="572" t="s">
        <v>243</v>
      </c>
      <c r="I1" s="576"/>
    </row>
    <row r="2" spans="1:9" ht="20.25">
      <c r="A2" s="621" t="s">
        <v>9</v>
      </c>
      <c r="B2" s="765" t="s">
        <v>509</v>
      </c>
      <c r="C2" s="908"/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0.25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62</v>
      </c>
      <c r="C4" s="737">
        <f>Weather_Input!C5</f>
        <v>53</v>
      </c>
      <c r="D4" s="631"/>
      <c r="E4" s="632"/>
      <c r="F4" s="631"/>
      <c r="G4" s="632"/>
      <c r="H4" s="633"/>
      <c r="I4" s="634"/>
    </row>
    <row r="5" spans="1:9" ht="24" thickBot="1">
      <c r="A5" s="635" t="s">
        <v>133</v>
      </c>
      <c r="B5" s="636"/>
      <c r="C5" s="637">
        <f>NSG_Deliveries!C5/1000</f>
        <v>37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4" thickBot="1">
      <c r="A7" s="645" t="s">
        <v>83</v>
      </c>
      <c r="B7" s="636"/>
      <c r="C7" s="742">
        <f>C5-C9-C11-C12</f>
        <v>26.22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10.78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3.25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3.25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4" thickBot="1">
      <c r="A19" s="682" t="s">
        <v>396</v>
      </c>
      <c r="B19" s="683"/>
      <c r="C19" s="684">
        <f>C7+C12</f>
        <v>26.22</v>
      </c>
      <c r="D19" s="685"/>
      <c r="E19" s="686"/>
      <c r="F19" s="685"/>
      <c r="G19" s="685" t="s">
        <v>9</v>
      </c>
      <c r="H19" s="683"/>
      <c r="I19" s="687"/>
    </row>
    <row r="20" spans="1:9" ht="20.25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25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25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25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25">
      <c r="A24" s="688" t="s">
        <v>405</v>
      </c>
      <c r="B24" s="693"/>
      <c r="C24" s="690">
        <f>-NSG_Supplies!F7/1000</f>
        <v>-0.375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25">
      <c r="A25" s="688" t="s">
        <v>182</v>
      </c>
      <c r="B25" s="696"/>
      <c r="C25" s="690">
        <f>-NSG_Supplies!Q7/1000</f>
        <v>-26.498999999999999</v>
      </c>
      <c r="D25" s="697"/>
      <c r="E25" s="690">
        <f>-NSG_Supplies!Q7/1000</f>
        <v>-26.498999999999999</v>
      </c>
      <c r="F25" s="697"/>
      <c r="G25" s="690">
        <f>-NSG_Supplies!Q7/1000</f>
        <v>-26.498999999999999</v>
      </c>
      <c r="H25" s="696"/>
      <c r="I25" s="753">
        <f>-NSG_Supplies!Q7/1000</f>
        <v>-26.498999999999999</v>
      </c>
    </row>
    <row r="26" spans="1:9" ht="20.25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0.25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25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25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25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25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25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25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25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25">
      <c r="A40" s="688" t="s">
        <v>474</v>
      </c>
      <c r="B40" s="787">
        <f>NSG_Requirements!J7/1000</f>
        <v>9.2200000000000006</v>
      </c>
      <c r="C40" s="697"/>
      <c r="D40" s="715"/>
      <c r="E40" s="698"/>
      <c r="F40" s="622"/>
      <c r="G40" s="694"/>
      <c r="H40" s="694"/>
      <c r="I40" s="713"/>
    </row>
    <row r="41" spans="1:9" ht="20.25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25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25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20</v>
      </c>
      <c r="C44" s="622"/>
      <c r="D44" s="725"/>
      <c r="E44" s="726"/>
      <c r="F44" s="622"/>
      <c r="G44" s="694"/>
      <c r="H44" s="694"/>
      <c r="I44" s="713"/>
    </row>
    <row r="45" spans="1:9" ht="21" thickBot="1">
      <c r="A45" s="720" t="s">
        <v>472</v>
      </c>
      <c r="B45" s="789">
        <f>B44+B41-B40</f>
        <v>10.78</v>
      </c>
      <c r="C45" s="728"/>
      <c r="D45" s="727"/>
      <c r="E45" s="729"/>
      <c r="F45" s="622"/>
      <c r="G45" s="694"/>
      <c r="H45" s="694"/>
      <c r="I45" s="713"/>
    </row>
    <row r="46" spans="1:9" ht="2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25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25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25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25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37148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62</v>
      </c>
      <c r="C5" s="257">
        <f>Weather_Input!C5</f>
        <v>53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190</v>
      </c>
      <c r="C8" s="265">
        <f>NSG_Deliveries!C5/1000</f>
        <v>37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125.459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3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17.580999999999989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1.0449999999999999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40.874000000000002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0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37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1.74705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37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0.57999999999999996</v>
      </c>
      <c r="C27" s="301">
        <f>NSG_Requirements!P7/1000</f>
        <v>0</v>
      </c>
      <c r="D27" s="301">
        <f>PGL_Requirements!Q7/1000</f>
        <v>0.57999999999999996</v>
      </c>
      <c r="E27" s="301">
        <f>NSG_Requirements!P7/1000</f>
        <v>0</v>
      </c>
      <c r="F27" s="301">
        <f>PGL_Requirements!Q7/1000</f>
        <v>0.57999999999999996</v>
      </c>
      <c r="G27" s="301">
        <f>NSG_Requirements!P7/1000</f>
        <v>0</v>
      </c>
      <c r="H27" s="302">
        <f>+B27</f>
        <v>0.57999999999999996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-5.1440000000000001</v>
      </c>
      <c r="C32" s="306">
        <f>-NSG_Supplies!Q7/1000</f>
        <v>-26.498999999999999</v>
      </c>
      <c r="D32" s="306">
        <f>B32</f>
        <v>-5.1440000000000001</v>
      </c>
      <c r="E32" s="306">
        <f>C32</f>
        <v>-26.498999999999999</v>
      </c>
      <c r="F32" s="306">
        <f>B32</f>
        <v>-5.1440000000000001</v>
      </c>
      <c r="G32" s="306">
        <f>C32</f>
        <v>-26.498999999999999</v>
      </c>
      <c r="H32" s="311">
        <f>B32</f>
        <v>-5.1440000000000001</v>
      </c>
      <c r="I32" s="312">
        <f>C32</f>
        <v>-26.498999999999999</v>
      </c>
    </row>
    <row r="33" spans="1:9" ht="17.100000000000001" customHeight="1">
      <c r="A33" s="310" t="s">
        <v>361</v>
      </c>
      <c r="B33" s="306">
        <f>-PGL_Supplies!W7/1000</f>
        <v>0</v>
      </c>
      <c r="C33" s="306">
        <f>-NSG_Supplies!R7/1000</f>
        <v>-16.641999999999999</v>
      </c>
      <c r="D33" s="306">
        <f>B33</f>
        <v>0</v>
      </c>
      <c r="E33" s="306">
        <f>C33</f>
        <v>-16.641999999999999</v>
      </c>
      <c r="F33" s="306">
        <f>B33</f>
        <v>0</v>
      </c>
      <c r="G33" s="306">
        <f>C33</f>
        <v>-16.641999999999999</v>
      </c>
      <c r="H33" s="311">
        <f>B33</f>
        <v>0</v>
      </c>
      <c r="I33" s="312">
        <f>C33</f>
        <v>-16.641999999999999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0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-6.008</v>
      </c>
      <c r="C36" s="306">
        <f>-NSG_Supplies!F7/1000</f>
        <v>-0.375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116.47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1.0449999999999999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1.74705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1.74705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1.0449999999999999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125.459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125.459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0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104.023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30.027999999999999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116.47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0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17.580999999999989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FRI</v>
      </c>
      <c r="H73" s="397">
        <f>Weather_Input!A5</f>
        <v>37148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75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75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5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5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1.0449999999999999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125.459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134.05099999999999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40.874000000000002</v>
      </c>
      <c r="D103" s="603"/>
      <c r="E103" s="260"/>
      <c r="F103" s="585"/>
      <c r="G103" s="260"/>
      <c r="H103" s="585"/>
      <c r="I103" s="258"/>
    </row>
    <row r="104" spans="1:9" ht="15.75" thickBot="1">
      <c r="A104" s="283" t="s">
        <v>104</v>
      </c>
      <c r="B104" s="598" t="s">
        <v>9</v>
      </c>
      <c r="C104" s="606">
        <f>PGL_Supplies!B7/1000</f>
        <v>0</v>
      </c>
      <c r="D104" s="584"/>
      <c r="E104" s="260"/>
      <c r="F104" s="585"/>
      <c r="G104" s="260"/>
      <c r="H104" s="585"/>
      <c r="I104" s="258"/>
    </row>
    <row r="105" spans="1:9" ht="16.5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5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75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5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75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75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-10.425000000000001</v>
      </c>
      <c r="C116" s="410">
        <f>-NSG_Supplies!V7/1000</f>
        <v>0</v>
      </c>
      <c r="D116" s="306">
        <f>-PGL_Supplies!Y7/1000</f>
        <v>-10.425000000000001</v>
      </c>
      <c r="E116" s="306">
        <f>-NSG_Supplies!V7/1000</f>
        <v>0</v>
      </c>
      <c r="F116" s="306">
        <f>-PGL_Supplies!Y7/1000</f>
        <v>-10.425000000000001</v>
      </c>
      <c r="G116" s="306">
        <f>-NSG_Supplies!V7/1000</f>
        <v>0</v>
      </c>
      <c r="H116" s="311">
        <f>-PGL_Supplies!Y7/1000</f>
        <v>-10.425000000000001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75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75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75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0</v>
      </c>
      <c r="C123" s="306">
        <f>-NSG_Supplies!R7/1000</f>
        <v>-16.641999999999999</v>
      </c>
      <c r="D123" s="304"/>
      <c r="E123" s="304"/>
      <c r="F123" s="304"/>
      <c r="G123" s="304"/>
      <c r="H123" s="308"/>
      <c r="I123" s="309"/>
    </row>
    <row r="124" spans="1:9" ht="16.5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0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0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10.425000000000001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75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5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5.75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75" thickBot="1">
      <c r="A140" s="416" t="s">
        <v>361</v>
      </c>
      <c r="B140" s="315">
        <f>PGL_Supplies!U7/1000</f>
        <v>125.459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5" thickBot="1">
      <c r="A141" s="542" t="s">
        <v>411</v>
      </c>
      <c r="B141" s="544">
        <f>-B135+B136+B137-B138+B139+B140</f>
        <v>125.459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5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116.47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75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75" thickBot="1">
      <c r="A146" s="416" t="s">
        <v>418</v>
      </c>
      <c r="B146" s="315">
        <f>PGL_Supplies!G7/1000</f>
        <v>1.0449999999999999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5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75" thickBot="1">
      <c r="A148" s="416" t="s">
        <v>419</v>
      </c>
      <c r="B148" s="315">
        <f>PGL_Requirements!P7/1000</f>
        <v>1.74705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5" thickBot="1">
      <c r="A149" s="501" t="s">
        <v>420</v>
      </c>
      <c r="B149" s="502">
        <f>B144+B146</f>
        <v>1.0449999999999999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75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5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5.75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0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75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75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75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5" thickBot="1">
      <c r="A159" s="416" t="s">
        <v>103</v>
      </c>
      <c r="B159" s="315">
        <f>PGL_Supplies!AC7/1000</f>
        <v>30.027999999999999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75" thickBot="1">
      <c r="A160" s="416" t="s">
        <v>361</v>
      </c>
      <c r="B160" s="594">
        <f>PGL_Supplies!X7/1000</f>
        <v>104.023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5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5" thickBot="1">
      <c r="A162" s="390" t="s">
        <v>420</v>
      </c>
      <c r="B162" s="595">
        <f>B154+B156+B158+B159+B160-B153-B155-B157-B161</f>
        <v>134.05099999999999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.75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75">
      <c r="D11" s="192" t="s">
        <v>249</v>
      </c>
    </row>
    <row r="12" spans="1:10" ht="15.75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75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37149.449218402777</v>
      </c>
      <c r="F22" s="161" t="s">
        <v>256</v>
      </c>
      <c r="G22" s="186">
        <f ca="1">NOW()</f>
        <v>37149.449218402777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75" thickBot="1"/>
    <row r="26" spans="2:9" ht="15.75" thickBot="1">
      <c r="B26" s="204" t="s">
        <v>9</v>
      </c>
      <c r="C26" s="161" t="s">
        <v>260</v>
      </c>
    </row>
    <row r="27" spans="2:9" ht="15.75" thickBot="1">
      <c r="B27" s="204" t="s">
        <v>9</v>
      </c>
      <c r="C27" s="161" t="s">
        <v>261</v>
      </c>
    </row>
    <row r="28" spans="2:9" ht="15.75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75">
      <c r="B34" s="161" t="s">
        <v>263</v>
      </c>
      <c r="E34" s="185">
        <v>0</v>
      </c>
      <c r="F34" t="s">
        <v>264</v>
      </c>
    </row>
    <row r="36" spans="2:8" ht="15.75">
      <c r="B36" s="161" t="s">
        <v>265</v>
      </c>
      <c r="E36" s="185">
        <v>0</v>
      </c>
      <c r="F36" t="s">
        <v>264</v>
      </c>
    </row>
    <row r="38" spans="2:8" ht="15.75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75">
      <c r="E39" s="163">
        <f>+E38+1</f>
        <v>35917</v>
      </c>
      <c r="F39" s="185">
        <v>0</v>
      </c>
      <c r="G39" t="s">
        <v>264</v>
      </c>
    </row>
    <row r="40" spans="2:8" ht="15.75">
      <c r="E40" s="163">
        <f>+E39+1</f>
        <v>35918</v>
      </c>
      <c r="F40" s="185">
        <v>0</v>
      </c>
      <c r="G40" t="s">
        <v>264</v>
      </c>
    </row>
    <row r="41" spans="2:8" ht="15.75">
      <c r="E41" s="163">
        <f>+E40+1</f>
        <v>35919</v>
      </c>
      <c r="F41" s="185">
        <v>0</v>
      </c>
      <c r="G41" t="s">
        <v>264</v>
      </c>
    </row>
    <row r="42" spans="2:8" ht="15.75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Friday</v>
      </c>
      <c r="B5" s="21">
        <f>Weather_Input!A5</f>
        <v>37148</v>
      </c>
      <c r="C5" s="15"/>
      <c r="D5" s="22" t="s">
        <v>274</v>
      </c>
      <c r="E5" s="23">
        <f>Weather_Input!B5</f>
        <v>62</v>
      </c>
      <c r="F5" s="24" t="s">
        <v>275</v>
      </c>
      <c r="G5" s="25">
        <f>Weather_Input!H5</f>
        <v>6</v>
      </c>
      <c r="H5" s="26" t="s">
        <v>276</v>
      </c>
      <c r="I5" s="27">
        <f ca="1">G5-(VLOOKUP(B5,DD_Normal_Data,CELL("Col",B6),FALSE))</f>
        <v>3</v>
      </c>
    </row>
    <row r="6" spans="1:109" ht="15">
      <c r="A6" s="18"/>
      <c r="B6" s="21"/>
      <c r="C6" s="15"/>
      <c r="D6" s="22" t="s">
        <v>161</v>
      </c>
      <c r="E6" s="23">
        <f>Weather_Input!C5</f>
        <v>53</v>
      </c>
      <c r="F6" s="24" t="s">
        <v>277</v>
      </c>
      <c r="G6" s="25">
        <f>Weather_Input!F5</f>
        <v>16</v>
      </c>
      <c r="H6" s="26" t="s">
        <v>278</v>
      </c>
      <c r="I6" s="27">
        <f ca="1">G6-(VLOOKUP(B5,DD_Normal_Data,CELL("Col",C7),FALSE))</f>
        <v>-11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58</v>
      </c>
      <c r="F7" s="24" t="s">
        <v>280</v>
      </c>
      <c r="G7" s="25">
        <f>Weather_Input!G5</f>
        <v>16</v>
      </c>
      <c r="H7" s="26" t="s">
        <v>280</v>
      </c>
      <c r="I7" s="120">
        <f ca="1">G7-(VLOOKUP(B5,DD_Normal_Data,CELL("Col",D4),FALSE))</f>
        <v>-19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TODAY - A GOOD DEAL OF SUNSHINE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TONIGHT - CLEAR TO PARTLY CLOUDY.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Saturday</v>
      </c>
      <c r="B10" s="21">
        <f>Weather_Input!A6</f>
        <v>37149</v>
      </c>
      <c r="C10" s="15"/>
      <c r="D10" s="150" t="s">
        <v>274</v>
      </c>
      <c r="E10" s="23">
        <f>Weather_Input!B6</f>
        <v>65</v>
      </c>
      <c r="F10" s="24" t="s">
        <v>275</v>
      </c>
      <c r="G10" s="25">
        <f>IF(E12&lt;65,65-(Weather_Input!B6+Weather_Input!C6)/2,0)</f>
        <v>7.5</v>
      </c>
      <c r="H10" s="26" t="s">
        <v>276</v>
      </c>
      <c r="I10" s="27">
        <f ca="1">G10-(VLOOKUP(B10,DD_Normal_Data,CELL("Col",B11),FALSE))</f>
        <v>4.5</v>
      </c>
    </row>
    <row r="11" spans="1:109" ht="15">
      <c r="A11" s="18"/>
      <c r="B11" s="21"/>
      <c r="C11" s="15"/>
      <c r="D11" s="22" t="s">
        <v>161</v>
      </c>
      <c r="E11" s="23">
        <f>Weather_Input!C6</f>
        <v>50</v>
      </c>
      <c r="F11" s="24" t="s">
        <v>277</v>
      </c>
      <c r="G11" s="25">
        <f>IF(DAY(B10)=1,G10,G6+G10)</f>
        <v>23.5</v>
      </c>
      <c r="H11" s="30" t="s">
        <v>278</v>
      </c>
      <c r="I11" s="27">
        <f ca="1">G11-(VLOOKUP(B10,DD_Normal_Data,CELL("Col",C12),FALSE))</f>
        <v>-6.5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57.5</v>
      </c>
      <c r="F12" s="24" t="s">
        <v>280</v>
      </c>
      <c r="G12" s="25">
        <f>IF(AND(DAY(B10)=1,MONTH(B10)=8),G10,G7+G10)</f>
        <v>23.5</v>
      </c>
      <c r="H12" s="26" t="s">
        <v>280</v>
      </c>
      <c r="I12" s="27">
        <f ca="1">G12-(VLOOKUP(B10,DD_Normal_Data,CELL("Col",D9),FALSE))</f>
        <v>-14.5</v>
      </c>
    </row>
    <row r="13" spans="1:109" ht="15">
      <c r="A13" s="18"/>
      <c r="B13" s="21"/>
      <c r="C13" s="15"/>
      <c r="D13" s="32" t="str">
        <f>IF(Weather_Input!I6=""," ",Weather_Input!I6)</f>
        <v xml:space="preserve">  PARTLY TO MOSTLY SUNNY IN THE MORNING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FOLLOWED BY THICKENING CLOUDS.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Sunday</v>
      </c>
      <c r="B15" s="21">
        <f>Weather_Input!A7</f>
        <v>37150</v>
      </c>
      <c r="C15" s="15"/>
      <c r="D15" s="22" t="s">
        <v>274</v>
      </c>
      <c r="E15" s="23">
        <f>Weather_Input!B7</f>
        <v>70</v>
      </c>
      <c r="F15" s="24" t="s">
        <v>275</v>
      </c>
      <c r="G15" s="25">
        <f>IF(E17&lt;65,65-(Weather_Input!B7+Weather_Input!C7)/2,0)</f>
        <v>4.5</v>
      </c>
      <c r="H15" s="26" t="s">
        <v>276</v>
      </c>
      <c r="I15" s="27">
        <f ca="1">G15-(VLOOKUP(B15,DD_Normal_Data,CELL("Col",B16),FALSE))</f>
        <v>1.5</v>
      </c>
    </row>
    <row r="16" spans="1:109" ht="15">
      <c r="A16" s="18"/>
      <c r="B16" s="20"/>
      <c r="C16" s="15"/>
      <c r="D16" s="22" t="s">
        <v>161</v>
      </c>
      <c r="E16" s="23">
        <f>Weather_Input!C7</f>
        <v>51</v>
      </c>
      <c r="F16" s="24" t="s">
        <v>277</v>
      </c>
      <c r="G16" s="25">
        <f>IF(DAY(B15)=1,G15,G11+G15)</f>
        <v>28</v>
      </c>
      <c r="H16" s="30" t="s">
        <v>278</v>
      </c>
      <c r="I16" s="27">
        <f ca="1">G16-(VLOOKUP(B15,DD_Normal_Data,CELL("Col",C17),FALSE))</f>
        <v>-5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60.5</v>
      </c>
      <c r="F17" s="24" t="s">
        <v>280</v>
      </c>
      <c r="G17" s="25">
        <f>IF(AND(DAY(B15)=1,MONTH(B15)=8),G15,G12+G15)</f>
        <v>28</v>
      </c>
      <c r="H17" s="26" t="s">
        <v>280</v>
      </c>
      <c r="I17" s="27">
        <f ca="1">G17-(VLOOKUP(B15,DD_Normal_Data,CELL("Col",D14),FALSE))</f>
        <v>-13</v>
      </c>
    </row>
    <row r="18" spans="1:109" ht="15">
      <c r="A18" s="18"/>
      <c r="B18" s="20"/>
      <c r="C18" s="15"/>
      <c r="D18" s="32" t="str">
        <f>IF(Weather_Input!I7=""," ",Weather_Input!I7)</f>
        <v xml:space="preserve">  MAINLY CLOUDY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Monday</v>
      </c>
      <c r="B20" s="21">
        <f>Weather_Input!A8</f>
        <v>37151</v>
      </c>
      <c r="C20" s="15"/>
      <c r="D20" s="22" t="s">
        <v>274</v>
      </c>
      <c r="E20" s="23">
        <f>Weather_Input!B8</f>
        <v>72</v>
      </c>
      <c r="F20" s="24" t="s">
        <v>275</v>
      </c>
      <c r="G20" s="25">
        <f>IF(E22&lt;65,65-(Weather_Input!B8+Weather_Input!C8)/2,0)</f>
        <v>2.5</v>
      </c>
      <c r="H20" s="26" t="s">
        <v>276</v>
      </c>
      <c r="I20" s="27">
        <f ca="1">G20-(VLOOKUP(B20,DD_Normal_Data,CELL("Col",B21),FALSE))</f>
        <v>-1.5</v>
      </c>
    </row>
    <row r="21" spans="1:109" ht="15">
      <c r="A21" s="18"/>
      <c r="B21" s="21"/>
      <c r="C21" s="15"/>
      <c r="D21" s="22" t="s">
        <v>161</v>
      </c>
      <c r="E21" s="23">
        <f>Weather_Input!C8</f>
        <v>53</v>
      </c>
      <c r="F21" s="24" t="s">
        <v>277</v>
      </c>
      <c r="G21" s="25">
        <f>IF(DAY(B20)=1,G20,G16+G20)</f>
        <v>30.5</v>
      </c>
      <c r="H21" s="30" t="s">
        <v>278</v>
      </c>
      <c r="I21" s="27">
        <f ca="1">G21-(VLOOKUP(B20,DD_Normal_Data,CELL("Col",C22),FALSE))</f>
        <v>-6.5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62.5</v>
      </c>
      <c r="F22" s="24" t="s">
        <v>280</v>
      </c>
      <c r="G22" s="25">
        <f>IF(AND(DAY(B20)=1,MONTH(B20)=8),G20,G17+G20)</f>
        <v>30.5</v>
      </c>
      <c r="H22" s="26" t="s">
        <v>280</v>
      </c>
      <c r="I22" s="27">
        <f ca="1">G22-(VLOOKUP(B20,DD_Normal_Data,CELL("Col",D19),FALSE))</f>
        <v>-14.5</v>
      </c>
    </row>
    <row r="23" spans="1:109" ht="15">
      <c r="A23" s="18"/>
      <c r="B23" s="21"/>
      <c r="C23" s="15"/>
      <c r="D23" s="32" t="str">
        <f>IF(Weather_Input!I8=""," ",Weather_Input!I8)</f>
        <v xml:space="preserve">  PARTLY SUNNY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Tuesday</v>
      </c>
      <c r="B25" s="21">
        <f>Weather_Input!A9</f>
        <v>37152</v>
      </c>
      <c r="C25" s="15"/>
      <c r="D25" s="22" t="s">
        <v>274</v>
      </c>
      <c r="E25" s="23">
        <f>Weather_Input!B9</f>
        <v>70</v>
      </c>
      <c r="F25" s="24" t="s">
        <v>275</v>
      </c>
      <c r="G25" s="25">
        <f>IF(E27&lt;65,65-(Weather_Input!B9+Weather_Input!C9)/2,0)</f>
        <v>1</v>
      </c>
      <c r="H25" s="26" t="s">
        <v>276</v>
      </c>
      <c r="I25" s="27">
        <f ca="1">G25-(VLOOKUP(B25,DD_Normal_Data,CELL("Col",B26),FALSE))</f>
        <v>-3</v>
      </c>
    </row>
    <row r="26" spans="1:109" ht="15">
      <c r="A26" s="18"/>
      <c r="B26" s="21"/>
      <c r="C26" s="15"/>
      <c r="D26" s="22" t="s">
        <v>161</v>
      </c>
      <c r="E26" s="23">
        <f>Weather_Input!C9</f>
        <v>58</v>
      </c>
      <c r="F26" s="24" t="s">
        <v>277</v>
      </c>
      <c r="G26" s="25">
        <f>IF(DAY(B25)=1,G25,G21+G25)</f>
        <v>31.5</v>
      </c>
      <c r="H26" s="30" t="s">
        <v>278</v>
      </c>
      <c r="I26" s="27">
        <f ca="1">G26-(VLOOKUP(B25,DD_Normal_Data,CELL("Col",C27),FALSE))</f>
        <v>-9.5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64</v>
      </c>
      <c r="F27" s="24" t="s">
        <v>280</v>
      </c>
      <c r="G27" s="25">
        <f>IF(AND(DAY(B25)=1,MONTH(B25)=8),G25,G22+G25)</f>
        <v>31.5</v>
      </c>
      <c r="H27" s="26" t="s">
        <v>280</v>
      </c>
      <c r="I27" s="27">
        <f ca="1">G27-(VLOOKUP(B25,DD_Normal_Data,CELL("Col",D24),FALSE))</f>
        <v>-17.5</v>
      </c>
    </row>
    <row r="28" spans="1:109" ht="15">
      <c r="A28" s="18"/>
      <c r="B28" s="20"/>
      <c r="C28" s="15"/>
      <c r="D28" s="32" t="str">
        <f>IF(Weather_Input!I9=""," ",Weather_Input!I9)</f>
        <v xml:space="preserve">  MOSTLY CLOUDY; IT MAY SHOWER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Wednesday</v>
      </c>
      <c r="B30" s="21">
        <f>Weather_Input!A10</f>
        <v>37153</v>
      </c>
      <c r="C30" s="15"/>
      <c r="D30" s="22" t="s">
        <v>274</v>
      </c>
      <c r="E30" s="23">
        <f>Weather_Input!B10</f>
        <v>70</v>
      </c>
      <c r="F30" s="24" t="s">
        <v>275</v>
      </c>
      <c r="G30" s="25">
        <f>IF(E32&lt;65,65-(Weather_Input!B10+Weather_Input!C10)/2,0)</f>
        <v>2</v>
      </c>
      <c r="H30" s="26" t="s">
        <v>276</v>
      </c>
      <c r="I30" s="27">
        <f ca="1">G30-(VLOOKUP(B30,DD_Normal_Data,CELL("Col",B31),FALSE))</f>
        <v>-2</v>
      </c>
    </row>
    <row r="31" spans="1:109" ht="15">
      <c r="A31" s="15"/>
      <c r="B31" s="15"/>
      <c r="C31" s="15"/>
      <c r="D31" s="22" t="s">
        <v>161</v>
      </c>
      <c r="E31" s="23">
        <f>Weather_Input!C10</f>
        <v>56</v>
      </c>
      <c r="F31" s="24" t="s">
        <v>277</v>
      </c>
      <c r="G31" s="25">
        <f>IF(DAY(B30)=1,G30,G26+G30)</f>
        <v>33.5</v>
      </c>
      <c r="H31" s="30" t="s">
        <v>278</v>
      </c>
      <c r="I31" s="27">
        <f ca="1">G31-(VLOOKUP(B30,DD_Normal_Data,CELL("Col",C32),FALSE))</f>
        <v>-11.5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63</v>
      </c>
      <c r="F32" s="24" t="s">
        <v>280</v>
      </c>
      <c r="G32" s="25">
        <f>IF(AND(DAY(B30)=1,MONTH(B30)=8),G30,G27+G30)</f>
        <v>33.5</v>
      </c>
      <c r="H32" s="26" t="s">
        <v>280</v>
      </c>
      <c r="I32" s="27">
        <f ca="1">G32-(VLOOKUP(B30,DD_Normal_Data,CELL("Col",D29),FALSE))</f>
        <v>-19.5</v>
      </c>
    </row>
    <row r="33" spans="1:9" ht="15">
      <c r="A33" s="15"/>
      <c r="B33" s="34"/>
      <c r="C33" s="15"/>
      <c r="D33" s="32" t="str">
        <f>IF(Weather_Input!I10=""," ",Weather_Input!I10)</f>
        <v xml:space="preserve">  MOSTLY CLOUDY; IT MAY SHOWER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37148</v>
      </c>
      <c r="C36" s="89">
        <f>B10</f>
        <v>37149</v>
      </c>
      <c r="D36" s="89">
        <f>B15</f>
        <v>37150</v>
      </c>
      <c r="E36" s="89">
        <f xml:space="preserve">       B20</f>
        <v>37151</v>
      </c>
      <c r="F36" s="89">
        <f>B25</f>
        <v>37152</v>
      </c>
      <c r="G36" s="89">
        <f>B30</f>
        <v>37153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190</v>
      </c>
      <c r="C37" s="41">
        <f ca="1">(VLOOKUP(C36,PGL_Sendouts,(CELL("COL",PGL_Deliveries!C7))))/1000</f>
        <v>180</v>
      </c>
      <c r="D37" s="41">
        <f ca="1">(VLOOKUP(D36,PGL_Sendouts,(CELL("COL",PGL_Deliveries!C8))))/1000</f>
        <v>195</v>
      </c>
      <c r="E37" s="41">
        <f ca="1">(VLOOKUP(E36,PGL_Sendouts,(CELL("COL",PGL_Deliveries!C9))))/1000</f>
        <v>190</v>
      </c>
      <c r="F37" s="41">
        <f ca="1">(VLOOKUP(F36,PGL_Sendouts,(CELL("COL",PGL_Deliveries!C10))))/1000</f>
        <v>190</v>
      </c>
      <c r="G37" s="41">
        <f ca="1">(VLOOKUP(G36,PGL_Sendouts,(CELL("COL",PGL_Deliveries!C10))))/1000</f>
        <v>190</v>
      </c>
      <c r="H37" s="14"/>
      <c r="I37" s="15"/>
    </row>
    <row r="38" spans="1:9" ht="15">
      <c r="A38" s="15" t="s">
        <v>285</v>
      </c>
      <c r="B38" s="41">
        <f>PGL_6_Day_Report!D25</f>
        <v>349.67105000000004</v>
      </c>
      <c r="C38" s="41">
        <f>PGL_6_Day_Report!E25</f>
        <v>409.57300000000004</v>
      </c>
      <c r="D38" s="41">
        <f>PGL_6_Day_Report!F25</f>
        <v>373.00300000000004</v>
      </c>
      <c r="E38" s="41">
        <f>PGL_6_Day_Report!G25</f>
        <v>368.00300000000004</v>
      </c>
      <c r="F38" s="41">
        <f>PGL_6_Day_Report!H25</f>
        <v>335.85300000000007</v>
      </c>
      <c r="G38" s="41">
        <f>PGL_6_Day_Report!I25</f>
        <v>335.85300000000007</v>
      </c>
      <c r="H38" s="14"/>
      <c r="I38" s="15"/>
    </row>
    <row r="39" spans="1:9" ht="15">
      <c r="A39" s="42" t="s">
        <v>103</v>
      </c>
      <c r="B39" s="41">
        <f>SUM(PGL_Supplies!Y7:AD7)/1000</f>
        <v>230.06</v>
      </c>
      <c r="C39" s="41">
        <f>SUM(PGL_Supplies!Y8:AD8)/1000</f>
        <v>291.06799999999998</v>
      </c>
      <c r="D39" s="41">
        <f>SUM(PGL_Supplies!Y9:AD9)/1000</f>
        <v>291.06799999999998</v>
      </c>
      <c r="E39" s="41">
        <f>SUM(PGL_Supplies!Y10:AD10)/1000</f>
        <v>291.06799999999998</v>
      </c>
      <c r="F39" s="41">
        <f>SUM(PGL_Supplies!Y11:AD11)/1000</f>
        <v>291.06799999999998</v>
      </c>
      <c r="G39" s="41">
        <f>SUM(PGL_Supplies!Y12:AD12)/1000</f>
        <v>291.06799999999998</v>
      </c>
      <c r="H39" s="14"/>
      <c r="I39" s="15"/>
    </row>
    <row r="40" spans="1:9" ht="15">
      <c r="A40" s="42" t="s">
        <v>286</v>
      </c>
      <c r="B40" s="41">
        <f>(PGL_Supplies!M7+PGL_Supplies!N7+PGL_Supplies!O7+PGL_Supplies!P7+PGL_Supplies!Q7)/1000</f>
        <v>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14"/>
      <c r="I40" s="15"/>
    </row>
    <row r="41" spans="1:9" ht="15">
      <c r="A41" s="45" t="s">
        <v>287</v>
      </c>
      <c r="B41" s="41">
        <f>SUM(PGL_Requirements!Q7:T7)/1000</f>
        <v>0.57999999999999996</v>
      </c>
      <c r="C41" s="41">
        <f>SUM(PGL_Requirements!Q7:T7)/1000</f>
        <v>0.57999999999999996</v>
      </c>
      <c r="D41" s="41">
        <f>SUM(PGL_Requirements!Q7:T7)/1000</f>
        <v>0.57999999999999996</v>
      </c>
      <c r="E41" s="41">
        <f>SUM(PGL_Requirements!Q7:T7)/1000</f>
        <v>0.57999999999999996</v>
      </c>
      <c r="F41" s="41">
        <f>SUM(PGL_Requirements!Q7:T7)/1000</f>
        <v>0.57999999999999996</v>
      </c>
      <c r="G41" s="41">
        <f>SUM(PGL_Requirements!Q7:T7)/1000</f>
        <v>0.57999999999999996</v>
      </c>
      <c r="H41" s="14"/>
      <c r="I41" s="15"/>
    </row>
    <row r="42" spans="1:9" ht="15">
      <c r="A42" s="15" t="s">
        <v>126</v>
      </c>
      <c r="B42" s="41">
        <f>PGL_Supplies!U7/1000</f>
        <v>125.459</v>
      </c>
      <c r="C42" s="41">
        <f>PGL_Supplies!U8/1000</f>
        <v>144.60400000000001</v>
      </c>
      <c r="D42" s="41">
        <f>PGL_Supplies!U9/1000</f>
        <v>144.60400000000001</v>
      </c>
      <c r="E42" s="41">
        <f>PGL_Supplies!U10/1000</f>
        <v>144.60400000000001</v>
      </c>
      <c r="F42" s="41">
        <f>PGL_Supplies!U11/1000</f>
        <v>144.60400000000001</v>
      </c>
      <c r="G42" s="41">
        <f>PGL_Supplies!U12/1000</f>
        <v>144.60400000000001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37148</v>
      </c>
      <c r="C44" s="89">
        <f t="shared" si="0"/>
        <v>37149</v>
      </c>
      <c r="D44" s="89">
        <f t="shared" si="0"/>
        <v>37150</v>
      </c>
      <c r="E44" s="89">
        <f t="shared" si="0"/>
        <v>37151</v>
      </c>
      <c r="F44" s="89">
        <f t="shared" si="0"/>
        <v>37152</v>
      </c>
      <c r="G44" s="89">
        <f t="shared" si="0"/>
        <v>37153</v>
      </c>
      <c r="H44" s="14"/>
      <c r="I44" s="15"/>
    </row>
    <row r="45" spans="1:9" ht="15">
      <c r="A45" s="15" t="s">
        <v>54</v>
      </c>
      <c r="B45" s="41">
        <f ca="1">NSG_6_Day_Report!D6</f>
        <v>37</v>
      </c>
      <c r="C45" s="41">
        <f ca="1">NSG_6_Day_Report!E6</f>
        <v>35</v>
      </c>
      <c r="D45" s="41">
        <f ca="1">NSG_6_Day_Report!F6</f>
        <v>37</v>
      </c>
      <c r="E45" s="41">
        <f ca="1">NSG_6_Day_Report!G6</f>
        <v>35</v>
      </c>
      <c r="F45" s="41">
        <f ca="1">NSG_6_Day_Report!H6</f>
        <v>34</v>
      </c>
      <c r="G45" s="41">
        <f ca="1">NSG_6_Day_Report!I6</f>
        <v>34</v>
      </c>
      <c r="H45" s="14"/>
      <c r="I45" s="15"/>
    </row>
    <row r="46" spans="1:9" ht="15">
      <c r="A46" s="42" t="s">
        <v>285</v>
      </c>
      <c r="B46" s="41">
        <f ca="1">NSG_6_Day_Report!D11</f>
        <v>46.22</v>
      </c>
      <c r="C46" s="41">
        <f ca="1">NSG_6_Day_Report!E11</f>
        <v>46.774999999999999</v>
      </c>
      <c r="D46" s="41">
        <f ca="1">NSG_6_Day_Report!F11</f>
        <v>37</v>
      </c>
      <c r="E46" s="41">
        <f ca="1">NSG_6_Day_Report!G11</f>
        <v>35</v>
      </c>
      <c r="F46" s="41">
        <f ca="1">NSG_6_Day_Report!H11</f>
        <v>34</v>
      </c>
      <c r="G46" s="41">
        <f ca="1">NSG_6_Day_Report!I11</f>
        <v>34</v>
      </c>
      <c r="H46" s="14"/>
      <c r="I46" s="15"/>
    </row>
    <row r="47" spans="1:9" ht="15">
      <c r="A47" s="42" t="s">
        <v>103</v>
      </c>
      <c r="B47" s="41">
        <f>SUM(NSG_Supplies!O7:Q7)/1000</f>
        <v>46.499000000000002</v>
      </c>
      <c r="C47" s="41">
        <f>SUM(NSG_Supplies!O8:Q8)/1000</f>
        <v>46.774999999999999</v>
      </c>
      <c r="D47" s="41">
        <f>SUM(NSG_Supplies!O9:Q9)/1000</f>
        <v>46.774999999999999</v>
      </c>
      <c r="E47" s="41">
        <f>SUM(NSG_Supplies!O10:Q10)/1000</f>
        <v>46.774999999999999</v>
      </c>
      <c r="F47" s="41">
        <f>SUM(NSG_Supplies!O11:Q11)/1000</f>
        <v>46.774999999999999</v>
      </c>
      <c r="G47" s="41">
        <f>SUM(NSG_Supplies!O12:Q12)/1000</f>
        <v>46.774999999999999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16.641999999999999</v>
      </c>
      <c r="C50" s="41">
        <f>NSG_Supplies!R8/1000</f>
        <v>16.917999999999999</v>
      </c>
      <c r="D50" s="41">
        <f>NSG_Supplies!R9/1000</f>
        <v>16.917999999999999</v>
      </c>
      <c r="E50" s="41">
        <f>NSG_Supplies!R10/1000</f>
        <v>16.917999999999999</v>
      </c>
      <c r="F50" s="41">
        <f>NSG_Supplies!R11/1000</f>
        <v>16.917999999999999</v>
      </c>
      <c r="G50" s="41">
        <f>NSG_Supplies!R12/1000</f>
        <v>16.917999999999999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37148</v>
      </c>
      <c r="C52" s="89">
        <f t="shared" si="1"/>
        <v>37149</v>
      </c>
      <c r="D52" s="89">
        <f t="shared" si="1"/>
        <v>37150</v>
      </c>
      <c r="E52" s="89">
        <f t="shared" si="1"/>
        <v>37151</v>
      </c>
      <c r="F52" s="89">
        <f t="shared" si="1"/>
        <v>37152</v>
      </c>
      <c r="G52" s="89">
        <f t="shared" si="1"/>
        <v>37153</v>
      </c>
      <c r="H52" s="14"/>
      <c r="I52" s="15"/>
    </row>
    <row r="53" spans="1:9" ht="15">
      <c r="A53" s="92" t="s">
        <v>289</v>
      </c>
      <c r="B53" s="41">
        <f>PGL_Requirements!O7/1000</f>
        <v>116.47</v>
      </c>
      <c r="C53" s="41">
        <f>PGL_Requirements!O8/1000</f>
        <v>130</v>
      </c>
      <c r="D53" s="41">
        <f>PGL_Requirements!O9/1000</f>
        <v>130</v>
      </c>
      <c r="E53" s="41">
        <f>PGL_Requirements!O10/1000</f>
        <v>130</v>
      </c>
      <c r="F53" s="41">
        <f>PGL_Requirements!O11/1000</f>
        <v>120</v>
      </c>
      <c r="G53" s="41">
        <f>PGL_Requirements!O12/1000</f>
        <v>120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43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26"/>
    </row>
    <row r="3" spans="1:8" ht="15.75" thickBot="1">
      <c r="A3" s="96" t="s">
        <v>295</v>
      </c>
    </row>
    <row r="4" spans="1:8">
      <c r="A4" s="97"/>
      <c r="B4" s="1027" t="str">
        <f>Six_Day_Summary!A10</f>
        <v>Saturday</v>
      </c>
      <c r="C4" s="1028" t="str">
        <f>Six_Day_Summary!A15</f>
        <v>Sunday</v>
      </c>
      <c r="D4" s="1028" t="str">
        <f>Six_Day_Summary!A20</f>
        <v>Monday</v>
      </c>
      <c r="E4" s="1028" t="str">
        <f>Six_Day_Summary!A25</f>
        <v>Tuesday</v>
      </c>
      <c r="F4" s="1029" t="str">
        <f>Six_Day_Summary!A30</f>
        <v>Wednesday</v>
      </c>
      <c r="G4" s="98"/>
    </row>
    <row r="5" spans="1:8">
      <c r="A5" s="101" t="s">
        <v>296</v>
      </c>
      <c r="B5" s="1030">
        <f>Weather_Input!A6</f>
        <v>37149</v>
      </c>
      <c r="C5" s="1031">
        <f>Weather_Input!A7</f>
        <v>37150</v>
      </c>
      <c r="D5" s="1031">
        <f>Weather_Input!A8</f>
        <v>37151</v>
      </c>
      <c r="E5" s="1031">
        <f>Weather_Input!A9</f>
        <v>37152</v>
      </c>
      <c r="F5" s="1032">
        <f>Weather_Input!A10</f>
        <v>37153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35.662000000000006</v>
      </c>
      <c r="C6" s="1033">
        <f>PGL_Supplies!AB9/1000+PGL_Supplies!K9/1000-PGL_Requirements!N9/1000+C15-PGL_Requirements!S9/1000</f>
        <v>35.662000000000006</v>
      </c>
      <c r="D6" s="1033">
        <f>PGL_Supplies!AB10/1000+PGL_Supplies!K10/1000-PGL_Requirements!N10/1000+D15-PGL_Requirements!S10/1000</f>
        <v>35.662000000000006</v>
      </c>
      <c r="E6" s="1033">
        <f>PGL_Supplies!AB11/1000+PGL_Supplies!K11/1000-PGL_Requirements!N11/1000+E15-PGL_Requirements!S11/1000</f>
        <v>57.662000000000006</v>
      </c>
      <c r="F6" s="1034">
        <f>PGL_Supplies!AB12/1000+PGL_Supplies!K12/1000-PGL_Requirements!N12/1000+F15-PGL_Requirements!S12/1000</f>
        <v>57.662000000000006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75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5.75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Saturday</v>
      </c>
      <c r="C21" s="1043" t="str">
        <f t="shared" si="0"/>
        <v>Sunday</v>
      </c>
      <c r="D21" s="1043" t="str">
        <f t="shared" si="0"/>
        <v>Monday</v>
      </c>
      <c r="E21" s="1043" t="str">
        <f t="shared" si="0"/>
        <v>Tuesday</v>
      </c>
      <c r="F21" s="1044" t="str">
        <f t="shared" si="0"/>
        <v>Wednesday</v>
      </c>
      <c r="G21" s="98"/>
    </row>
    <row r="22" spans="1:7">
      <c r="A22" s="105" t="s">
        <v>296</v>
      </c>
      <c r="B22" s="1045">
        <f t="shared" si="0"/>
        <v>37149</v>
      </c>
      <c r="C22" s="1045">
        <f t="shared" si="0"/>
        <v>37150</v>
      </c>
      <c r="D22" s="1045">
        <f t="shared" si="0"/>
        <v>37151</v>
      </c>
      <c r="E22" s="1045">
        <f t="shared" si="0"/>
        <v>37152</v>
      </c>
      <c r="F22" s="1046">
        <f t="shared" si="0"/>
        <v>37153</v>
      </c>
      <c r="G22" s="98"/>
    </row>
    <row r="23" spans="1:7">
      <c r="A23" s="98" t="s">
        <v>297</v>
      </c>
      <c r="B23" s="1039">
        <f>NSG_Supplies!Q8/1000+NSG_Supplies!F8/1000-NSG_Requirements!H8/1000</f>
        <v>26.774999999999999</v>
      </c>
      <c r="C23" s="1039">
        <f>NSG_Supplies!Q9/1000+NSG_Supplies!F9/1000-NSG_Requirements!H9/1000</f>
        <v>26.774999999999999</v>
      </c>
      <c r="D23" s="1039">
        <f>NSG_Supplies!Q10/1000+NSG_Supplies!F10/1000-NSG_Requirements!H10/1000</f>
        <v>26.774999999999999</v>
      </c>
      <c r="E23" s="1039">
        <f>NSG_Supplies!Q12/1000+NSG_Supplies!F11/1000-NSG_Requirements!H11/1000</f>
        <v>26.774999999999999</v>
      </c>
      <c r="F23" s="1034">
        <f>NSG_Supplies!Q12/1000+NSG_Supplies!F12/1000-NSG_Requirements!H12/1000</f>
        <v>26.774999999999999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75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38"/>
      <c r="B1" s="1227" t="s">
        <v>763</v>
      </c>
      <c r="C1" s="1228">
        <f>Weather_Input!A6</f>
        <v>37149</v>
      </c>
      <c r="D1" s="1229" t="s">
        <v>764</v>
      </c>
      <c r="E1" s="1230"/>
      <c r="F1" s="1231"/>
      <c r="G1" s="421"/>
      <c r="H1" s="421"/>
      <c r="I1" s="984" t="s">
        <v>9</v>
      </c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20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11.775</v>
      </c>
      <c r="E4" s="1237"/>
      <c r="F4" s="169" t="s">
        <v>768</v>
      </c>
      <c r="G4" s="60"/>
      <c r="H4" s="151">
        <f>PGL_Requirements!O8/1000</f>
        <v>130</v>
      </c>
      <c r="I4" s="173">
        <f>AVERAGE(H4/1.025)</f>
        <v>126.82926829268294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8.2249999999999996</v>
      </c>
      <c r="D5" s="427"/>
      <c r="E5" s="1240">
        <f>AVERAGE(C5/24)</f>
        <v>0.34270833333333334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5.416666666666667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15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180.953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99.5</v>
      </c>
      <c r="D11" s="764"/>
      <c r="E11" s="1248"/>
      <c r="F11" s="1249" t="s">
        <v>778</v>
      </c>
      <c r="G11" s="1250">
        <f>G8+G10</f>
        <v>195.953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99.5</v>
      </c>
      <c r="D14" s="427"/>
      <c r="E14" s="1240">
        <f>AVERAGE(C14/24)</f>
        <v>4.145833333333333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39.424999999999997</v>
      </c>
      <c r="D15" s="60"/>
      <c r="E15" s="158"/>
      <c r="F15" s="1252" t="s">
        <v>785</v>
      </c>
      <c r="G15" s="1250">
        <f>SUM(G11)-G16-G17-H13</f>
        <v>195.953</v>
      </c>
      <c r="H15" s="427" t="s">
        <v>9</v>
      </c>
      <c r="I15" s="1240">
        <f>AVERAGE(G15/24)</f>
        <v>8.1647083333333335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39.424999999999997</v>
      </c>
      <c r="E16" s="158"/>
      <c r="F16" s="1252" t="s">
        <v>786</v>
      </c>
      <c r="G16" s="1239">
        <f>PGL_Requirements!G8/1000</f>
        <v>0</v>
      </c>
      <c r="H16" s="1239" t="s">
        <v>9</v>
      </c>
      <c r="I16" s="1240">
        <f>AVERAGE(G16/24)</f>
        <v>0</v>
      </c>
    </row>
    <row r="17" spans="1:9" ht="15.75" customHeight="1" thickTop="1" thickBot="1">
      <c r="B17" s="1249" t="s">
        <v>778</v>
      </c>
      <c r="C17" s="1250">
        <f>SUM(C15:C16)-SUM(D15:D16)</f>
        <v>0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0</v>
      </c>
      <c r="D20" s="1260" t="s">
        <v>9</v>
      </c>
      <c r="E20" s="1240">
        <f>AVERAGE(C20/24)</f>
        <v>0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5.0279999999999996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5.0279999999999996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5.0279999999999996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0</v>
      </c>
      <c r="H25" s="421"/>
      <c r="I25" s="1262">
        <f>AVERAGE(G25/24)</f>
        <v>0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815</v>
      </c>
      <c r="C28" s="193" t="s">
        <v>816</v>
      </c>
      <c r="D28" s="193" t="s">
        <v>817</v>
      </c>
      <c r="E28" t="s">
        <v>818</v>
      </c>
      <c r="F28" s="103"/>
    </row>
    <row r="29" spans="1:9" ht="15.75" customHeight="1">
      <c r="B29" s="1" t="s">
        <v>819</v>
      </c>
      <c r="C29" s="193" t="s">
        <v>816</v>
      </c>
      <c r="D29" s="193" t="s">
        <v>817</v>
      </c>
      <c r="E29" t="s">
        <v>818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52" customWidth="1"/>
    <col min="2" max="2" width="8.109375" style="952" customWidth="1"/>
    <col min="3" max="3" width="7.88671875" style="952" customWidth="1"/>
    <col min="4" max="4" width="5.88671875" style="952" customWidth="1"/>
    <col min="5" max="5" width="4.44140625" style="952" customWidth="1"/>
    <col min="6" max="6" width="5.21875" style="952" customWidth="1"/>
    <col min="7" max="7" width="9" style="952" customWidth="1"/>
    <col min="8" max="11" width="8.88671875" style="952"/>
    <col min="12" max="12" width="14.88671875" style="952" customWidth="1"/>
    <col min="13" max="13" width="5.6640625" style="952" customWidth="1"/>
    <col min="14" max="16384" width="8.88671875" style="952"/>
  </cols>
  <sheetData>
    <row r="1" spans="1:22" ht="22.5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37149</v>
      </c>
      <c r="I1" s="887"/>
      <c r="J1" s="889"/>
      <c r="K1" s="889"/>
    </row>
    <row r="2" spans="1:22" ht="16.5" customHeight="1">
      <c r="A2" s="907" t="s">
        <v>606</v>
      </c>
      <c r="C2" s="953">
        <v>300</v>
      </c>
      <c r="F2" s="954">
        <v>300</v>
      </c>
      <c r="H2" s="889"/>
      <c r="I2" s="887" t="s">
        <v>608</v>
      </c>
      <c r="J2" s="909">
        <f>NSG_Supplies!P8/1000</f>
        <v>20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8.2249999999999996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5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5" customHeight="1">
      <c r="A9" s="909">
        <f>PGL_Supplies!H8/1000</f>
        <v>3</v>
      </c>
      <c r="H9" s="909">
        <f>NSG_Supplies!Q8/1000+NSG_Supplies!F8/1000-NSG_Requirements!H8/1000</f>
        <v>26.774999999999999</v>
      </c>
      <c r="I9" s="958"/>
      <c r="K9" s="887" t="s">
        <v>610</v>
      </c>
      <c r="L9" s="909">
        <f>NSG_Deliveries!C6/1000</f>
        <v>35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5" customHeight="1">
      <c r="A11" s="909">
        <f>Billy_Sheet!C17</f>
        <v>0</v>
      </c>
      <c r="B11" s="958"/>
      <c r="H11" s="909">
        <f>NSG_Supplies!T8/1000</f>
        <v>0</v>
      </c>
      <c r="K11" s="890" t="s">
        <v>611</v>
      </c>
      <c r="L11" s="915">
        <f>SUM(K4+K17+K19+H11+H9-L9)</f>
        <v>0</v>
      </c>
      <c r="N11" s="890"/>
      <c r="O11" s="915"/>
      <c r="U11" s="889"/>
      <c r="V11" s="903"/>
    </row>
    <row r="12" spans="1:22" ht="14.45" customHeight="1">
      <c r="A12" s="887" t="s">
        <v>658</v>
      </c>
      <c r="H12" s="909"/>
      <c r="U12" s="889"/>
      <c r="V12" s="909"/>
    </row>
    <row r="13" spans="1:22" ht="14.45" customHeight="1">
      <c r="A13" s="956">
        <f>PGL_Supplies!X8/1000</f>
        <v>99.5</v>
      </c>
      <c r="H13" s="909"/>
      <c r="U13" s="889"/>
      <c r="V13" s="909"/>
    </row>
    <row r="14" spans="1:22" ht="14.45" customHeight="1">
      <c r="H14" s="909"/>
      <c r="U14" s="889"/>
      <c r="V14" s="909"/>
    </row>
    <row r="15" spans="1:22" ht="15.6" customHeight="1">
      <c r="B15" s="952" t="s">
        <v>9</v>
      </c>
      <c r="C15" s="959">
        <v>300</v>
      </c>
      <c r="D15" s="952">
        <v>410</v>
      </c>
      <c r="F15" s="959">
        <v>300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500</v>
      </c>
      <c r="D18" s="961"/>
      <c r="E18" s="961"/>
      <c r="F18" s="954">
        <v>790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195.953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0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180</v>
      </c>
      <c r="L26" s="887" t="s">
        <v>610</v>
      </c>
      <c r="M26" s="909">
        <f>NSG_Deliveries!C6/1000</f>
        <v>35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169.45299999999997</v>
      </c>
      <c r="L28" s="890" t="s">
        <v>650</v>
      </c>
      <c r="M28" s="915">
        <f>SUM(J2+K17+K19+H11+H9-M26)</f>
        <v>11.774999999999999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37148</v>
      </c>
      <c r="G29" s="909">
        <f>PGL_Requirements!G7/1000</f>
        <v>0</v>
      </c>
      <c r="H29" s="888"/>
      <c r="J29" s="890" t="s">
        <v>614</v>
      </c>
      <c r="K29" s="909">
        <f>PGL_Supplies!AB8/1000+PGL_Supplies!K8/1000-PGL_Requirements!N8/1000</f>
        <v>35.662000000000006</v>
      </c>
    </row>
    <row r="30" spans="1:17" ht="10.5" customHeight="1">
      <c r="A30" s="892"/>
      <c r="B30" s="909"/>
      <c r="C30" s="890"/>
      <c r="D30" s="909"/>
      <c r="F30" s="1006">
        <f>PGL_Requirements!A8</f>
        <v>37149</v>
      </c>
      <c r="G30" s="909">
        <f>PGL_Requirements!G8/1000</f>
        <v>0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25.114999999999981</v>
      </c>
    </row>
    <row r="32" spans="1:17">
      <c r="A32" s="909">
        <f>PGL_Supplies!G8/1000</f>
        <v>1</v>
      </c>
      <c r="G32" s="909">
        <f>PGL_Requirements!O8/1000</f>
        <v>130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515</v>
      </c>
      <c r="F38" s="959">
        <v>752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299.45299999999997</v>
      </c>
      <c r="B40" s="903"/>
      <c r="C40" s="902"/>
      <c r="D40" s="903"/>
      <c r="E40" s="903"/>
      <c r="F40" s="969"/>
      <c r="G40" s="969">
        <f>SUM(G30:G35)</f>
        <v>130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169.45299999999997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300</v>
      </c>
      <c r="E45" s="974"/>
      <c r="F45" s="975">
        <v>6.7000000000000004E-2</v>
      </c>
      <c r="G45" s="976">
        <f>(C45-D45)*F45</f>
        <v>7.37</v>
      </c>
      <c r="H45" s="976">
        <f>(D45-B45)*F45</f>
        <v>3.35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300</v>
      </c>
      <c r="E47" s="974"/>
      <c r="F47" s="975">
        <v>0.14099999999999999</v>
      </c>
      <c r="G47" s="976">
        <f>(C47-D47)*F47</f>
        <v>15.509999999999998</v>
      </c>
      <c r="H47" s="976">
        <f>(D47-B47)*F47</f>
        <v>7.0499999999999989</v>
      </c>
      <c r="I47" s="909"/>
    </row>
    <row r="48" spans="1:11">
      <c r="A48" s="889" t="s">
        <v>593</v>
      </c>
      <c r="B48" s="978">
        <v>300</v>
      </c>
      <c r="C48" s="972">
        <v>750</v>
      </c>
      <c r="D48" s="973">
        <f>SUM(C18+C38)/2</f>
        <v>507.5</v>
      </c>
      <c r="E48" s="974"/>
      <c r="F48" s="975">
        <v>0.161</v>
      </c>
      <c r="G48" s="976">
        <f>(C48-D48)*F48</f>
        <v>39.042500000000004</v>
      </c>
      <c r="H48" s="976">
        <f>(D48-B48)*F48</f>
        <v>33.407499999999999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61.922499999999999</v>
      </c>
      <c r="H49" s="976">
        <f>SUM(H45:H48)</f>
        <v>43.807499999999997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C6" sqref="C6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37148</v>
      </c>
      <c r="B5" s="11">
        <v>62</v>
      </c>
      <c r="C5" s="49">
        <v>53</v>
      </c>
      <c r="D5" s="49">
        <v>7.8</v>
      </c>
      <c r="E5" s="11">
        <v>58</v>
      </c>
      <c r="F5" s="11">
        <v>16</v>
      </c>
      <c r="G5" s="11">
        <v>16</v>
      </c>
      <c r="H5" s="11">
        <v>6</v>
      </c>
      <c r="I5" s="867" t="s">
        <v>820</v>
      </c>
      <c r="J5" s="867" t="s">
        <v>821</v>
      </c>
      <c r="K5" s="11">
        <v>2</v>
      </c>
      <c r="L5" s="11">
        <v>1</v>
      </c>
      <c r="N5" s="15" t="str">
        <f>I5&amp;" "&amp;I5</f>
        <v xml:space="preserve">  TODAY - A GOOD DEAL OF SUNSHINE   TODAY - A GOOD DEAL OF SUNSHINE</v>
      </c>
      <c r="AE5" s="15">
        <v>1</v>
      </c>
      <c r="AH5" s="15" t="s">
        <v>32</v>
      </c>
    </row>
    <row r="6" spans="1:34" ht="16.5" customHeight="1">
      <c r="A6" s="86">
        <f>A5+1</f>
        <v>37149</v>
      </c>
      <c r="B6" s="11">
        <v>65</v>
      </c>
      <c r="C6" s="49">
        <v>50</v>
      </c>
      <c r="D6" s="49">
        <v>7</v>
      </c>
      <c r="E6" s="11" t="s">
        <v>9</v>
      </c>
      <c r="F6" s="11" t="s">
        <v>9</v>
      </c>
      <c r="G6" s="11"/>
      <c r="H6" s="11" t="s">
        <v>9</v>
      </c>
      <c r="I6" s="867" t="s">
        <v>822</v>
      </c>
      <c r="J6" s="867" t="s">
        <v>823</v>
      </c>
      <c r="K6" s="11">
        <v>3</v>
      </c>
      <c r="L6" s="11" t="s">
        <v>558</v>
      </c>
      <c r="N6" s="15" t="str">
        <f>I6&amp;" "&amp;J6</f>
        <v xml:space="preserve">  PARTLY TO MOSTLY SUNNY IN THE MORNING    FOLLOWED BY THICKENING CLOUDS.</v>
      </c>
      <c r="AE6" s="15">
        <v>1</v>
      </c>
      <c r="AH6" s="15" t="s">
        <v>33</v>
      </c>
    </row>
    <row r="7" spans="1:34" ht="16.5" customHeight="1">
      <c r="A7" s="86">
        <f>A6+1</f>
        <v>37150</v>
      </c>
      <c r="B7" s="11">
        <v>70</v>
      </c>
      <c r="C7" s="49">
        <v>51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67" t="s">
        <v>824</v>
      </c>
      <c r="J7" s="867" t="s">
        <v>9</v>
      </c>
      <c r="K7" s="11">
        <v>3</v>
      </c>
      <c r="L7" s="11" t="s">
        <v>20</v>
      </c>
      <c r="N7" s="15" t="str">
        <f>I7&amp;" "&amp;J7</f>
        <v xml:space="preserve">  MAINLY CLOUDY  </v>
      </c>
    </row>
    <row r="8" spans="1:34" ht="16.5" customHeight="1">
      <c r="A8" s="86">
        <f>A7+1</f>
        <v>37151</v>
      </c>
      <c r="B8" s="11">
        <v>72</v>
      </c>
      <c r="C8" s="49">
        <v>53</v>
      </c>
      <c r="D8" s="49">
        <v>10</v>
      </c>
      <c r="E8" s="11" t="s">
        <v>9</v>
      </c>
      <c r="F8" s="11" t="s">
        <v>9</v>
      </c>
      <c r="G8" s="11"/>
      <c r="H8" s="11" t="s">
        <v>9</v>
      </c>
      <c r="I8" s="867" t="s">
        <v>825</v>
      </c>
      <c r="J8" s="867" t="s">
        <v>9</v>
      </c>
      <c r="K8" s="11">
        <v>2</v>
      </c>
      <c r="L8" s="11"/>
      <c r="N8" s="15" t="str">
        <f>I8&amp;" "&amp;J8</f>
        <v xml:space="preserve">  PARTLY SUNNY  </v>
      </c>
    </row>
    <row r="9" spans="1:34" ht="16.5" customHeight="1">
      <c r="A9" s="86">
        <f>A8+1</f>
        <v>37152</v>
      </c>
      <c r="B9" s="11">
        <v>70</v>
      </c>
      <c r="C9" s="49">
        <v>58</v>
      </c>
      <c r="D9" s="49">
        <v>12</v>
      </c>
      <c r="E9" s="11" t="s">
        <v>9</v>
      </c>
      <c r="F9" s="11" t="s">
        <v>9</v>
      </c>
      <c r="G9" s="11"/>
      <c r="H9" s="11" t="s">
        <v>9</v>
      </c>
      <c r="I9" s="867" t="s">
        <v>826</v>
      </c>
      <c r="J9" s="867" t="s">
        <v>9</v>
      </c>
      <c r="K9" s="11">
        <v>3</v>
      </c>
      <c r="L9" s="11">
        <v>0</v>
      </c>
      <c r="M9" s="87"/>
      <c r="N9" s="15" t="str">
        <f>I9&amp;" "&amp;J9</f>
        <v xml:space="preserve">  MOSTLY CLOUDY; IT MAY SHOWER  </v>
      </c>
    </row>
    <row r="10" spans="1:34" ht="16.5" customHeight="1">
      <c r="A10" s="86">
        <f>A9+1</f>
        <v>37153</v>
      </c>
      <c r="B10" s="11">
        <v>70</v>
      </c>
      <c r="C10" s="49">
        <v>56</v>
      </c>
      <c r="D10" s="49">
        <v>12</v>
      </c>
      <c r="E10" s="11" t="s">
        <v>9</v>
      </c>
      <c r="F10" s="11" t="s">
        <v>9</v>
      </c>
      <c r="G10" s="11"/>
      <c r="H10" s="11" t="s">
        <v>9</v>
      </c>
      <c r="I10" s="867" t="s">
        <v>826</v>
      </c>
      <c r="J10" s="867" t="s">
        <v>9</v>
      </c>
      <c r="K10" s="11">
        <v>2</v>
      </c>
      <c r="L10" s="11" t="s">
        <v>382</v>
      </c>
      <c r="N10" s="15" t="str">
        <f>I10&amp;" "&amp;J10</f>
        <v xml:space="preserve">  MOSTLY CLOUDY; IT MAY SHOWER  </v>
      </c>
    </row>
    <row r="11" spans="1:34" ht="16.5" customHeight="1">
      <c r="G11"/>
    </row>
    <row r="12" spans="1:34" ht="15.75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518</v>
      </c>
      <c r="B2" s="181">
        <f>PGL_Deliveries!V5/1000</f>
        <v>195.06899999999999</v>
      </c>
      <c r="C2" s="60"/>
      <c r="D2" s="118" t="s">
        <v>309</v>
      </c>
      <c r="E2" s="417">
        <f>Weather_Input!A5</f>
        <v>37148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75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185.66399999999999</v>
      </c>
      <c r="C5" s="63"/>
      <c r="F5" s="179"/>
      <c r="H5"/>
      <c r="I5"/>
      <c r="J5"/>
      <c r="K5"/>
      <c r="L5"/>
      <c r="M5"/>
    </row>
    <row r="6" spans="1:13" ht="15.75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5" thickBot="1">
      <c r="A7" s="176" t="s">
        <v>524</v>
      </c>
      <c r="B7" s="220">
        <f>SUM(B5:B6)</f>
        <v>185.66399999999999</v>
      </c>
      <c r="C7" s="166"/>
      <c r="D7" s="59" t="s">
        <v>520</v>
      </c>
      <c r="E7" s="151">
        <f>PGL_Deliveries!P5/1000</f>
        <v>1E-3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0.80500000000000005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103.899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10.34</v>
      </c>
      <c r="C10" s="63"/>
      <c r="D10" s="115" t="s">
        <v>523</v>
      </c>
      <c r="E10" s="151">
        <f>PGL_Deliveries!O5/1000</f>
        <v>0.70399999999999996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0</v>
      </c>
      <c r="C11" s="63"/>
      <c r="D11" s="115" t="s">
        <v>196</v>
      </c>
      <c r="E11" s="151">
        <f>PGL_Deliveries!R5/1000</f>
        <v>0.27400000000000002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3</v>
      </c>
      <c r="C12" s="63"/>
      <c r="D12" s="115" t="s">
        <v>198</v>
      </c>
      <c r="E12" s="151">
        <f>PGL_Deliveries!T5/1000</f>
        <v>4.2050000000000001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1.5469999999999999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194.13800000000001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31.166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-116.005</v>
      </c>
      <c r="C16" s="63"/>
      <c r="D16" s="115" t="s">
        <v>205</v>
      </c>
      <c r="E16" s="151">
        <f>PGL_Deliveries!H5/1000</f>
        <v>2.7E-2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40.874000000000002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0</v>
      </c>
      <c r="C18" s="63" t="s">
        <v>9</v>
      </c>
      <c r="D18" s="115" t="s">
        <v>208</v>
      </c>
      <c r="E18" s="151">
        <f>PGL_Deliveries!L5/1000</f>
        <v>0.35699999999999998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1.4850000000000001</v>
      </c>
      <c r="F19" s="168"/>
      <c r="H19"/>
      <c r="I19"/>
      <c r="J19"/>
      <c r="K19"/>
      <c r="L19"/>
      <c r="M19"/>
    </row>
    <row r="20" spans="1:13" ht="15.75" thickBot="1">
      <c r="A20" s="169" t="s">
        <v>586</v>
      </c>
      <c r="B20" s="60"/>
      <c r="C20" s="151">
        <f>PGL_Deliveries!BG5/1000</f>
        <v>0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5" thickBot="1">
      <c r="A21" s="1267" t="s">
        <v>529</v>
      </c>
      <c r="B21" s="866">
        <f>SUM(B8:B20)-C17-C19-C20</f>
        <v>185.66400000000002</v>
      </c>
      <c r="C21" s="1268"/>
      <c r="D21" s="175" t="s">
        <v>530</v>
      </c>
      <c r="E21" s="174">
        <f>SUM(E7:E20)</f>
        <v>9.4049999999999994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104.023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75" thickBot="1">
      <c r="A23" s="169" t="s">
        <v>659</v>
      </c>
      <c r="B23" s="151">
        <f>PGL_Supplies!W7/1000</f>
        <v>0</v>
      </c>
      <c r="C23" s="63"/>
      <c r="D23" s="115" t="s">
        <v>174</v>
      </c>
      <c r="E23" s="151">
        <f>PGL_Deliveries!AY5/1000+B44</f>
        <v>1.74705</v>
      </c>
      <c r="F23" s="168"/>
      <c r="H23"/>
      <c r="I23"/>
      <c r="J23"/>
      <c r="K23"/>
      <c r="L23"/>
      <c r="M23"/>
    </row>
    <row r="24" spans="1:13" ht="16.5" thickBot="1">
      <c r="A24" s="169" t="s">
        <v>662</v>
      </c>
      <c r="B24" s="60"/>
      <c r="C24" s="218">
        <f>PGL_Requirements!I7/1000</f>
        <v>0</v>
      </c>
      <c r="D24" s="1269" t="s">
        <v>531</v>
      </c>
      <c r="E24" s="220">
        <f>SUM(E21:E23)</f>
        <v>11.152049999999999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104.023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10.425000000000001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0</v>
      </c>
      <c r="D27" s="242" t="s">
        <v>538</v>
      </c>
      <c r="E27" s="60" t="s">
        <v>9</v>
      </c>
      <c r="F27" s="173">
        <f>PGL_Deliveries!AS5/1000</f>
        <v>0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6.008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5.1440000000000001</v>
      </c>
      <c r="F30" s="168"/>
      <c r="H30"/>
      <c r="I30"/>
      <c r="J30"/>
      <c r="K30"/>
      <c r="L30"/>
      <c r="M30"/>
    </row>
    <row r="31" spans="1:13" ht="15.75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5" thickBot="1">
      <c r="A32" s="169" t="s">
        <v>536</v>
      </c>
      <c r="B32" s="985">
        <f>PGL_Supplies!AC7/1000</f>
        <v>30.027999999999999</v>
      </c>
      <c r="C32" s="63"/>
      <c r="D32" s="1271" t="s">
        <v>209</v>
      </c>
      <c r="E32" s="220">
        <f>SUM(E25:E31)-SUM(F26:F31)-E29</f>
        <v>11.152000000000001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75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31.166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184.46299999999999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151">
        <f>PGL_Deliveries!AW5/1000</f>
        <v>116.47</v>
      </c>
      <c r="D39" s="60" t="s">
        <v>491</v>
      </c>
      <c r="E39" s="151"/>
      <c r="F39" s="173">
        <f>(PGL_Requirements!$AE$7+PGL_Requirements!$AF$7+PGL_Requirements!$AG$7)/1000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20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1.0449999999999999</v>
      </c>
      <c r="C42" s="63"/>
      <c r="D42" s="72" t="s">
        <v>744</v>
      </c>
      <c r="E42" s="60"/>
      <c r="F42" s="173">
        <f>PGL_Deliveries!BG5/1000</f>
        <v>0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0</v>
      </c>
      <c r="H43"/>
      <c r="I43"/>
      <c r="J43"/>
      <c r="K43"/>
      <c r="L43"/>
      <c r="M43"/>
    </row>
    <row r="44" spans="1:13" ht="15.75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62</v>
      </c>
      <c r="F45" s="1116"/>
    </row>
    <row r="46" spans="1:13" ht="15">
      <c r="A46" s="169" t="s">
        <v>548</v>
      </c>
      <c r="B46" s="151">
        <f>PGL_Deliveries!AY5/1000</f>
        <v>1.74705</v>
      </c>
      <c r="C46" s="63"/>
      <c r="D46" s="169" t="s">
        <v>550</v>
      </c>
      <c r="E46" s="230">
        <f>Weather_Input!C5</f>
        <v>53</v>
      </c>
      <c r="F46" s="158"/>
    </row>
    <row r="47" spans="1:13" ht="15">
      <c r="A47" s="172" t="s">
        <v>655</v>
      </c>
      <c r="B47" s="67"/>
      <c r="C47" s="1202">
        <f>PGL_Requirements!Q7/1000</f>
        <v>0.57999999999999996</v>
      </c>
      <c r="D47" s="170" t="s">
        <v>551</v>
      </c>
      <c r="E47" s="60">
        <f>Weather_Input!E5</f>
        <v>58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7.8</v>
      </c>
      <c r="F48" s="158"/>
    </row>
    <row r="49" spans="1:6" ht="15">
      <c r="A49" s="169" t="s">
        <v>683</v>
      </c>
      <c r="B49" s="151">
        <f>PGL_Deliveries!AL5/1000</f>
        <v>0</v>
      </c>
      <c r="C49" s="158"/>
      <c r="D49" s="169" t="s">
        <v>553</v>
      </c>
      <c r="E49" s="151">
        <f>PGL_Deliveries!AO5/1000</f>
        <v>1.022</v>
      </c>
      <c r="F49" s="158"/>
    </row>
    <row r="50" spans="1:6" ht="15.75" outlineLevel="2" thickBot="1">
      <c r="A50" s="167" t="s">
        <v>555</v>
      </c>
      <c r="B50" s="205">
        <f>PGL_Deliveries!AM5/1000</f>
        <v>3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22" t="s">
        <v>4</v>
      </c>
      <c r="B3" s="235">
        <f>NSG_Deliveries!H5/1000</f>
        <v>37.654000000000003</v>
      </c>
      <c r="C3" s="117"/>
      <c r="D3" s="222" t="s">
        <v>309</v>
      </c>
      <c r="E3" s="420">
        <f>Weather_Input!A5</f>
        <v>37148</v>
      </c>
      <c r="F3" s="117"/>
      <c r="G3"/>
      <c r="J3"/>
      <c r="K3"/>
    </row>
    <row r="4" spans="1:11" ht="15.75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26.873999999999999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26.873999999999999</v>
      </c>
      <c r="C8" s="158"/>
      <c r="D8" s="785" t="s">
        <v>570</v>
      </c>
      <c r="E8" s="779">
        <f>NSG_Deliveries!F5/1000</f>
        <v>10.78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9.2200000000000006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20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26.498999999999999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0.375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26.873999999999999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1" max="1" width="0.6640625" customWidth="1"/>
    <col min="2" max="2" width="1.33203125" style="772" customWidth="1"/>
    <col min="3" max="3" width="22.6640625" customWidth="1"/>
    <col min="4" max="4" width="0.77734375" customWidth="1"/>
    <col min="5" max="5" width="21.44140625" customWidth="1"/>
    <col min="6" max="6" width="1.109375" customWidth="1"/>
    <col min="7" max="7" width="23.8867187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194.46299999999999</v>
      </c>
      <c r="E5" s="1263">
        <f>SUM(PGL_Nine_to_Nine!F24)*2</f>
        <v>0</v>
      </c>
      <c r="G5" s="1263">
        <f>SUM(C5-E5)</f>
        <v>194.46299999999999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335</v>
      </c>
      <c r="B1" s="51">
        <f>Weather_Input!A5</f>
        <v>37148</v>
      </c>
      <c r="C1" s="4"/>
    </row>
    <row r="2" spans="1:19">
      <c r="A2" s="109" t="s">
        <v>336</v>
      </c>
      <c r="B2" s="4"/>
      <c r="C2" s="4"/>
    </row>
    <row r="3" spans="1:19" ht="15.75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37147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67755</v>
      </c>
      <c r="O6" s="199">
        <v>0</v>
      </c>
      <c r="P6" s="199">
        <v>56861370</v>
      </c>
      <c r="Q6" s="199">
        <v>15045098</v>
      </c>
      <c r="R6" s="199">
        <v>41816272</v>
      </c>
      <c r="S6" s="199">
        <v>0</v>
      </c>
    </row>
    <row r="7" spans="1:19">
      <c r="A7" s="4">
        <f>B1</f>
        <v>37148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102885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56964255</v>
      </c>
      <c r="Q7">
        <f>IF(O7&gt;0,Q6+O7,Q6)</f>
        <v>15045098</v>
      </c>
      <c r="R7">
        <f>IF(P7&gt;Q7,P7-Q7,0)</f>
        <v>41919157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topLeftCell="AY1" zoomScale="75" workbookViewId="0">
      <selection activeCell="BL5" sqref="BL5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9" width="7.88671875" customWidth="1"/>
    <col min="20" max="21" width="9.5546875" customWidth="1"/>
    <col min="22" max="36" width="7.88671875" customWidth="1"/>
    <col min="42" max="42" width="4.77734375" customWidth="1"/>
    <col min="43" max="52" width="7.88671875" customWidth="1"/>
    <col min="53" max="53" width="4.77734375" customWidth="1"/>
    <col min="58" max="58" width="4.77734375" customWidth="1"/>
    <col min="61" max="61" width="4.7773437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37148</v>
      </c>
      <c r="B5" s="1">
        <f>(Weather_Input!B5+Weather_Input!C5)/2</f>
        <v>57.5</v>
      </c>
      <c r="C5" s="868">
        <v>190000</v>
      </c>
      <c r="D5" s="869">
        <v>185664</v>
      </c>
      <c r="E5" s="869">
        <v>0</v>
      </c>
      <c r="F5" s="869">
        <v>0</v>
      </c>
      <c r="G5" s="869">
        <v>0</v>
      </c>
      <c r="H5" s="869">
        <v>27</v>
      </c>
      <c r="I5" s="869">
        <v>0</v>
      </c>
      <c r="J5" s="869">
        <v>0</v>
      </c>
      <c r="K5" s="869">
        <v>0</v>
      </c>
      <c r="L5" s="869">
        <v>357</v>
      </c>
      <c r="M5" s="869">
        <v>1485</v>
      </c>
      <c r="N5" s="869">
        <v>0</v>
      </c>
      <c r="O5" s="869">
        <v>704</v>
      </c>
      <c r="P5" s="869">
        <v>1</v>
      </c>
      <c r="Q5" s="869">
        <v>805</v>
      </c>
      <c r="R5" s="869">
        <v>274</v>
      </c>
      <c r="S5" s="869">
        <v>1547</v>
      </c>
      <c r="T5" s="874">
        <v>4205</v>
      </c>
      <c r="U5" s="1047">
        <v>0</v>
      </c>
      <c r="V5" s="868">
        <f>SUM(D5:T5)-U5</f>
        <v>195069</v>
      </c>
      <c r="W5" s="868">
        <v>103899</v>
      </c>
      <c r="X5" s="11">
        <v>10340</v>
      </c>
      <c r="Y5" s="11">
        <v>0</v>
      </c>
      <c r="Z5" s="11">
        <v>0</v>
      </c>
      <c r="AA5" s="11">
        <v>194138</v>
      </c>
      <c r="AB5" s="11">
        <v>0</v>
      </c>
      <c r="AC5" s="11">
        <v>0</v>
      </c>
      <c r="AD5" s="11">
        <v>0</v>
      </c>
      <c r="AE5" s="11">
        <v>0</v>
      </c>
      <c r="AF5" s="11">
        <v>31166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3000</v>
      </c>
      <c r="AN5" s="11">
        <v>0</v>
      </c>
      <c r="AO5" s="1">
        <v>1022</v>
      </c>
      <c r="AP5" s="1"/>
      <c r="AQ5" s="1">
        <v>40874</v>
      </c>
      <c r="AR5" s="1">
        <v>0</v>
      </c>
      <c r="AS5" s="1">
        <v>0</v>
      </c>
      <c r="AT5" s="1">
        <v>6008</v>
      </c>
      <c r="AU5" s="1">
        <v>0</v>
      </c>
      <c r="AV5" s="1">
        <v>1045</v>
      </c>
      <c r="AW5" s="1">
        <v>116470</v>
      </c>
      <c r="AX5" s="1">
        <v>580</v>
      </c>
      <c r="AY5" s="610">
        <f>AW5*0.015</f>
        <v>1747.05</v>
      </c>
      <c r="AZ5" s="1">
        <v>0</v>
      </c>
      <c r="BA5" s="1"/>
      <c r="BB5" s="1">
        <v>0</v>
      </c>
      <c r="BC5" s="1">
        <v>12</v>
      </c>
      <c r="BD5" s="1">
        <v>0</v>
      </c>
      <c r="BE5" s="1">
        <v>0</v>
      </c>
      <c r="BF5" s="1"/>
      <c r="BG5" s="1">
        <v>0</v>
      </c>
      <c r="BH5" s="1">
        <v>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37149</v>
      </c>
      <c r="B6" s="886">
        <f>(Weather_Input!B6+Weather_Input!C6)/2</f>
        <v>57.5</v>
      </c>
      <c r="C6" s="868">
        <v>180000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37150</v>
      </c>
      <c r="B7" s="886">
        <f>(Weather_Input!B7+Weather_Input!C7)/2</f>
        <v>60.5</v>
      </c>
      <c r="C7" s="868">
        <v>195000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37151</v>
      </c>
      <c r="B8" s="886">
        <f>(Weather_Input!B8+Weather_Input!C8)/2</f>
        <v>62.5</v>
      </c>
      <c r="C8" s="868">
        <v>190000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37152</v>
      </c>
      <c r="B9" s="886">
        <f>(Weather_Input!B9+Weather_Input!C9)/2</f>
        <v>64</v>
      </c>
      <c r="C9" s="868">
        <v>190000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37153</v>
      </c>
      <c r="B10" s="886">
        <f>(Weather_Input!B10+Weather_Input!C10)/2</f>
        <v>63</v>
      </c>
      <c r="C10" s="868">
        <v>190000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F1" zoomScale="75" workbookViewId="0">
      <selection activeCell="Q5" sqref="Q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37148</v>
      </c>
      <c r="B5" s="1">
        <f>(Weather_Input!B5+Weather_Input!C5)/2</f>
        <v>57.5</v>
      </c>
      <c r="C5" s="868">
        <v>37000</v>
      </c>
      <c r="D5" s="868">
        <v>0</v>
      </c>
      <c r="E5" s="868">
        <v>26874</v>
      </c>
      <c r="F5" s="868">
        <v>10780</v>
      </c>
      <c r="G5" s="868">
        <v>0</v>
      </c>
      <c r="H5" s="876">
        <f>SUM(D5:G5)</f>
        <v>37654</v>
      </c>
      <c r="I5" s="1">
        <v>1005</v>
      </c>
      <c r="J5" s="1" t="s">
        <v>9</v>
      </c>
      <c r="K5" s="1">
        <v>0</v>
      </c>
      <c r="L5" s="1">
        <v>375</v>
      </c>
      <c r="M5" s="1">
        <v>9220</v>
      </c>
      <c r="N5" s="1">
        <v>0</v>
      </c>
    </row>
    <row r="6" spans="1:14">
      <c r="A6" s="12">
        <f>A5+1</f>
        <v>37149</v>
      </c>
      <c r="B6" s="886">
        <f>(Weather_Input!B6+Weather_Input!C6)/2</f>
        <v>57.5</v>
      </c>
      <c r="C6" s="868">
        <v>35000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37150</v>
      </c>
      <c r="B7" s="886">
        <f>(Weather_Input!B7+Weather_Input!C7)/2</f>
        <v>60.5</v>
      </c>
      <c r="C7" s="868">
        <v>37000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37151</v>
      </c>
      <c r="B8" s="886">
        <f>(Weather_Input!B8+Weather_Input!C8)/2</f>
        <v>62.5</v>
      </c>
      <c r="C8" s="868">
        <v>35000</v>
      </c>
      <c r="D8" s="871" t="s">
        <v>9</v>
      </c>
      <c r="E8" s="871"/>
      <c r="F8" s="871"/>
      <c r="G8" s="871"/>
      <c r="H8" s="15"/>
    </row>
    <row r="9" spans="1:14">
      <c r="A9" s="12">
        <f>A8+1</f>
        <v>37152</v>
      </c>
      <c r="B9" s="886">
        <f>(Weather_Input!B9+Weather_Input!C9)/2</f>
        <v>64</v>
      </c>
      <c r="C9" s="868">
        <v>34000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37153</v>
      </c>
      <c r="B10" s="886">
        <f>(Weather_Input!B10+Weather_Input!C10)/2</f>
        <v>63</v>
      </c>
      <c r="C10" s="868">
        <v>34000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I17"/>
  <sheetViews>
    <sheetView topLeftCell="I1" zoomScale="75" workbookViewId="0">
      <selection activeCell="T7" sqref="T7"/>
    </sheetView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3" width="9" bestFit="1" customWidth="1"/>
    <col min="34" max="34" width="10.109375" bestFit="1" customWidth="1"/>
  </cols>
  <sheetData>
    <row r="1" spans="1:87">
      <c r="A1" s="10"/>
      <c r="B1" s="5"/>
      <c r="C1" s="5"/>
      <c r="D1" s="5"/>
      <c r="E1" s="5"/>
      <c r="F1" s="5"/>
      <c r="G1" s="5"/>
    </row>
    <row r="2" spans="1:87" s="1" customFormat="1" ht="12.75">
      <c r="A2" s="10"/>
      <c r="B2" s="10"/>
      <c r="C2" s="10"/>
      <c r="D2" s="10"/>
      <c r="E2" s="10"/>
      <c r="F2" s="10"/>
      <c r="G2" s="10"/>
    </row>
    <row r="3" spans="1:87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7" s="1" customFormat="1" ht="12.75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7" s="1" customFormat="1" ht="12.75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</row>
    <row r="6" spans="1:87" s="1" customFormat="1" ht="12.75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</row>
    <row r="7" spans="1:87" s="1" customFormat="1" ht="12.75">
      <c r="A7" s="798">
        <f>Weather_Input!A5</f>
        <v>37148</v>
      </c>
      <c r="B7" s="877">
        <v>0</v>
      </c>
      <c r="C7" s="608">
        <v>0</v>
      </c>
      <c r="D7" s="608">
        <v>0</v>
      </c>
      <c r="E7" s="877">
        <v>0</v>
      </c>
      <c r="F7" s="877">
        <v>40874</v>
      </c>
      <c r="G7" s="879">
        <v>0</v>
      </c>
      <c r="H7" s="607">
        <v>0</v>
      </c>
      <c r="I7" s="607">
        <v>0</v>
      </c>
      <c r="J7" s="608">
        <v>0</v>
      </c>
      <c r="K7" s="607">
        <v>0</v>
      </c>
      <c r="L7" s="608">
        <v>0</v>
      </c>
      <c r="M7" s="608">
        <v>0</v>
      </c>
      <c r="N7" s="609">
        <v>0</v>
      </c>
      <c r="O7" s="608">
        <v>116470</v>
      </c>
      <c r="P7" s="610">
        <f t="shared" ref="P7:P12" si="0">O7*0.015</f>
        <v>1747.05</v>
      </c>
      <c r="Q7" s="608">
        <v>580</v>
      </c>
      <c r="R7" s="608">
        <v>0</v>
      </c>
      <c r="S7" s="608">
        <v>0</v>
      </c>
      <c r="T7" s="607">
        <v>0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798">
        <f t="shared" ref="AH7:AH12" si="1">AH6+1</f>
        <v>1</v>
      </c>
    </row>
    <row r="8" spans="1:87" s="1" customFormat="1" ht="12.75">
      <c r="A8" s="798">
        <f>A7+1</f>
        <v>37149</v>
      </c>
      <c r="B8" s="877">
        <v>0</v>
      </c>
      <c r="C8" s="608">
        <v>0</v>
      </c>
      <c r="D8" s="608">
        <v>0</v>
      </c>
      <c r="E8" s="877">
        <v>5028</v>
      </c>
      <c r="F8" s="877">
        <v>22570</v>
      </c>
      <c r="G8" s="879">
        <v>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30000</v>
      </c>
      <c r="O8" s="608">
        <v>130000</v>
      </c>
      <c r="P8" s="610">
        <f t="shared" si="0"/>
        <v>1950</v>
      </c>
      <c r="Q8" s="608">
        <v>600</v>
      </c>
      <c r="R8" s="608">
        <v>0</v>
      </c>
      <c r="S8" s="608">
        <v>0</v>
      </c>
      <c r="T8" s="607">
        <v>39425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798">
        <f t="shared" si="1"/>
        <v>2</v>
      </c>
      <c r="AJ8" s="607"/>
      <c r="AK8" s="607"/>
      <c r="AM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</row>
    <row r="9" spans="1:87" s="1" customFormat="1" ht="12.75">
      <c r="A9" s="798">
        <f>A8+1</f>
        <v>37150</v>
      </c>
      <c r="B9" s="877">
        <v>0</v>
      </c>
      <c r="C9" s="608">
        <v>0</v>
      </c>
      <c r="D9" s="608">
        <v>0</v>
      </c>
      <c r="E9" s="877">
        <v>5028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30000</v>
      </c>
      <c r="O9" s="608">
        <v>130000</v>
      </c>
      <c r="P9" s="610">
        <f t="shared" si="0"/>
        <v>1950</v>
      </c>
      <c r="Q9" s="608">
        <v>600</v>
      </c>
      <c r="R9" s="608">
        <v>0</v>
      </c>
      <c r="S9" s="608">
        <v>0</v>
      </c>
      <c r="T9" s="607">
        <v>10425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798">
        <f t="shared" si="1"/>
        <v>3</v>
      </c>
      <c r="AL9" s="607"/>
    </row>
    <row r="10" spans="1:87" s="1" customFormat="1" ht="12.75">
      <c r="A10" s="798">
        <f>A9+1</f>
        <v>37151</v>
      </c>
      <c r="B10" s="877">
        <v>0</v>
      </c>
      <c r="C10" s="608">
        <v>0</v>
      </c>
      <c r="D10" s="608">
        <v>0</v>
      </c>
      <c r="E10" s="877">
        <v>5028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30000</v>
      </c>
      <c r="O10" s="608">
        <v>130000</v>
      </c>
      <c r="P10" s="610">
        <f t="shared" si="0"/>
        <v>1950</v>
      </c>
      <c r="Q10" s="608">
        <v>600</v>
      </c>
      <c r="R10" s="608">
        <v>0</v>
      </c>
      <c r="S10" s="608">
        <v>0</v>
      </c>
      <c r="T10" s="607">
        <v>10425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798">
        <f t="shared" si="1"/>
        <v>4</v>
      </c>
    </row>
    <row r="11" spans="1:87" s="1" customFormat="1" ht="12.75">
      <c r="A11" s="798">
        <f>A10+1</f>
        <v>37152</v>
      </c>
      <c r="B11" s="877">
        <v>0</v>
      </c>
      <c r="C11" s="608">
        <v>0</v>
      </c>
      <c r="D11" s="608">
        <v>0</v>
      </c>
      <c r="E11" s="877">
        <v>5028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8000</v>
      </c>
      <c r="O11" s="608">
        <v>120000</v>
      </c>
      <c r="P11" s="610">
        <f t="shared" si="0"/>
        <v>1800</v>
      </c>
      <c r="Q11" s="608">
        <v>600</v>
      </c>
      <c r="R11" s="608">
        <v>0</v>
      </c>
      <c r="S11" s="608">
        <v>0</v>
      </c>
      <c r="T11" s="607">
        <v>10425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798">
        <f t="shared" si="1"/>
        <v>5</v>
      </c>
    </row>
    <row r="12" spans="1:87" s="1" customFormat="1" ht="12.75">
      <c r="A12" s="798">
        <f>A11+1</f>
        <v>37153</v>
      </c>
      <c r="B12" s="877">
        <v>0</v>
      </c>
      <c r="C12" s="608">
        <v>0</v>
      </c>
      <c r="D12" s="608">
        <v>0</v>
      </c>
      <c r="E12" s="877">
        <v>5028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8000</v>
      </c>
      <c r="O12" s="608">
        <v>120000</v>
      </c>
      <c r="P12" s="610">
        <f t="shared" si="0"/>
        <v>1800</v>
      </c>
      <c r="Q12" s="608">
        <v>600</v>
      </c>
      <c r="R12" s="608">
        <v>0</v>
      </c>
      <c r="S12" s="608">
        <v>0</v>
      </c>
      <c r="T12" s="607">
        <v>10425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798">
        <f t="shared" si="1"/>
        <v>6</v>
      </c>
    </row>
    <row r="13" spans="1:87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topLeftCell="F1" zoomScale="75" workbookViewId="0">
      <selection activeCell="O7" sqref="O7"/>
    </sheetView>
  </sheetViews>
  <sheetFormatPr defaultColWidth="8.77734375" defaultRowHeight="12.75"/>
  <cols>
    <col min="1" max="14" width="8.77734375" style="1" customWidth="1"/>
    <col min="15" max="15" width="9.5546875" style="1" customWidth="1"/>
    <col min="16" max="17" width="8.77734375" style="1" customWidth="1"/>
    <col min="18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37148</v>
      </c>
      <c r="B7" s="610">
        <v>0</v>
      </c>
      <c r="C7" s="610">
        <v>0</v>
      </c>
      <c r="D7" s="610">
        <v>0</v>
      </c>
      <c r="E7" s="610">
        <v>0</v>
      </c>
      <c r="F7" s="877">
        <v>0</v>
      </c>
      <c r="G7" s="608">
        <v>1045</v>
      </c>
      <c r="H7" s="608">
        <v>3000</v>
      </c>
      <c r="I7" s="608">
        <v>0</v>
      </c>
      <c r="J7" s="880">
        <v>0</v>
      </c>
      <c r="K7" s="609">
        <v>6008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5">
        <v>20000</v>
      </c>
      <c r="S7" s="1266">
        <v>10000</v>
      </c>
      <c r="T7" s="608">
        <v>0</v>
      </c>
      <c r="U7" s="609">
        <v>125459</v>
      </c>
      <c r="V7" s="609">
        <v>0</v>
      </c>
      <c r="W7" s="607">
        <v>0</v>
      </c>
      <c r="X7" s="880">
        <v>104023</v>
      </c>
      <c r="Y7" s="609">
        <v>10425</v>
      </c>
      <c r="Z7" s="1">
        <v>0</v>
      </c>
      <c r="AA7" s="607">
        <v>184463</v>
      </c>
      <c r="AB7" s="607">
        <v>5144</v>
      </c>
      <c r="AC7" s="607">
        <v>30028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37149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3000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5">
        <v>30000</v>
      </c>
      <c r="S8" s="1266">
        <v>15000</v>
      </c>
      <c r="T8" s="608">
        <v>0</v>
      </c>
      <c r="U8" s="609">
        <v>144604</v>
      </c>
      <c r="V8" s="609">
        <v>0</v>
      </c>
      <c r="W8" s="607">
        <v>0</v>
      </c>
      <c r="X8" s="880">
        <v>99500</v>
      </c>
      <c r="Y8" s="609">
        <v>39425</v>
      </c>
      <c r="Z8" s="1">
        <v>0</v>
      </c>
      <c r="AA8" s="607">
        <v>180953</v>
      </c>
      <c r="AB8" s="607">
        <v>65662</v>
      </c>
      <c r="AC8" s="607">
        <v>5028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37150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3000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30000</v>
      </c>
      <c r="S9" s="1266">
        <v>15000</v>
      </c>
      <c r="T9" s="608">
        <v>0</v>
      </c>
      <c r="U9" s="609">
        <v>144604</v>
      </c>
      <c r="V9" s="609">
        <v>0</v>
      </c>
      <c r="W9" s="607">
        <v>0</v>
      </c>
      <c r="X9" s="880">
        <v>99500</v>
      </c>
      <c r="Y9" s="609">
        <v>39425</v>
      </c>
      <c r="Z9" s="1">
        <v>0</v>
      </c>
      <c r="AA9" s="607">
        <v>180953</v>
      </c>
      <c r="AB9" s="607">
        <v>65662</v>
      </c>
      <c r="AC9" s="607">
        <v>5028</v>
      </c>
      <c r="AD9" s="880">
        <v>0</v>
      </c>
      <c r="AE9" s="798">
        <f t="shared" si="0"/>
        <v>3</v>
      </c>
    </row>
    <row r="10" spans="1:36">
      <c r="A10" s="798">
        <f>A9+1</f>
        <v>37151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3000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30000</v>
      </c>
      <c r="S10" s="1266">
        <v>15000</v>
      </c>
      <c r="T10" s="608">
        <v>0</v>
      </c>
      <c r="U10" s="609">
        <v>144604</v>
      </c>
      <c r="V10" s="609">
        <v>0</v>
      </c>
      <c r="W10" s="607">
        <v>0</v>
      </c>
      <c r="X10" s="880">
        <v>99500</v>
      </c>
      <c r="Y10" s="609">
        <v>39425</v>
      </c>
      <c r="Z10" s="1">
        <v>0</v>
      </c>
      <c r="AA10" s="607">
        <v>180953</v>
      </c>
      <c r="AB10" s="607">
        <v>65662</v>
      </c>
      <c r="AC10" s="607">
        <v>5028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37152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3000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0</v>
      </c>
      <c r="S11" s="1266">
        <v>0</v>
      </c>
      <c r="T11" s="608">
        <v>0</v>
      </c>
      <c r="U11" s="609">
        <v>144604</v>
      </c>
      <c r="V11" s="609">
        <v>0</v>
      </c>
      <c r="W11" s="607">
        <v>0</v>
      </c>
      <c r="X11" s="880">
        <v>99500</v>
      </c>
      <c r="Y11" s="609">
        <v>39425</v>
      </c>
      <c r="Z11" s="1">
        <v>0</v>
      </c>
      <c r="AA11" s="607">
        <v>180953</v>
      </c>
      <c r="AB11" s="607">
        <v>65662</v>
      </c>
      <c r="AC11" s="607">
        <v>5028</v>
      </c>
      <c r="AD11" s="880">
        <v>0</v>
      </c>
      <c r="AE11" s="798">
        <f t="shared" si="0"/>
        <v>5</v>
      </c>
    </row>
    <row r="12" spans="1:36">
      <c r="A12" s="798">
        <f>A11+1</f>
        <v>37153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3000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144604</v>
      </c>
      <c r="V12" s="609">
        <v>0</v>
      </c>
      <c r="W12" s="607">
        <v>0</v>
      </c>
      <c r="X12" s="880">
        <v>99500</v>
      </c>
      <c r="Y12" s="609">
        <v>39425</v>
      </c>
      <c r="Z12" s="1">
        <v>0</v>
      </c>
      <c r="AA12" s="607">
        <v>180953</v>
      </c>
      <c r="AB12" s="607">
        <v>65662</v>
      </c>
      <c r="AC12" s="607">
        <v>5028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topLeftCell="B1" zoomScale="75" workbookViewId="0">
      <selection activeCell="M7" sqref="M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2.75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2.75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2.75">
      <c r="A7" s="799">
        <f>Weather_Input!A5</f>
        <v>37148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9220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37148</v>
      </c>
      <c r="AG7" s="607"/>
      <c r="AH7" s="607"/>
      <c r="AI7" s="607"/>
      <c r="AJ7" s="607"/>
      <c r="AK7" s="607"/>
    </row>
    <row r="8" spans="1:128" s="1" customFormat="1" ht="12.75">
      <c r="A8" s="799">
        <f>Weather_Input!A6</f>
        <v>37149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11775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37149</v>
      </c>
      <c r="AG8" s="607"/>
      <c r="AH8" s="607"/>
      <c r="AI8" s="607"/>
      <c r="AJ8" s="607"/>
      <c r="AK8" s="607"/>
    </row>
    <row r="9" spans="1:128" s="1" customFormat="1" ht="12.75">
      <c r="A9" s="798">
        <f>A8+1</f>
        <v>37150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37150</v>
      </c>
      <c r="AG9" s="607"/>
      <c r="AH9" s="607"/>
      <c r="AI9" s="607"/>
      <c r="AJ9" s="607"/>
      <c r="AK9" s="607"/>
    </row>
    <row r="10" spans="1:128" s="1" customFormat="1" ht="12.75">
      <c r="A10" s="798">
        <f>A9+1</f>
        <v>37151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37151</v>
      </c>
      <c r="AG10" s="607"/>
      <c r="AH10" s="607"/>
      <c r="AI10" s="607"/>
      <c r="AJ10" s="607"/>
      <c r="AK10" s="607"/>
    </row>
    <row r="11" spans="1:128" s="1" customFormat="1" ht="12.75">
      <c r="A11" s="798">
        <f>A10+1</f>
        <v>37152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37152</v>
      </c>
      <c r="AG11" s="607"/>
      <c r="AH11" s="607"/>
      <c r="AI11" s="607"/>
      <c r="AJ11" s="607"/>
      <c r="AK11" s="607"/>
    </row>
    <row r="12" spans="1:128" s="1" customFormat="1" ht="12.75">
      <c r="A12" s="798">
        <f>A11+1</f>
        <v>37153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37153</v>
      </c>
      <c r="AG12" s="607"/>
      <c r="AH12" s="607"/>
      <c r="AI12" s="607"/>
      <c r="AJ12" s="607"/>
      <c r="AK12" s="607"/>
    </row>
    <row r="13" spans="1:128" s="1" customFormat="1" ht="12.75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2.75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>
      <selection activeCell="G7" sqref="G7"/>
    </sheetView>
  </sheetViews>
  <sheetFormatPr defaultColWidth="8.77734375" defaultRowHeight="12.75"/>
  <cols>
    <col min="1" max="16384" width="8.7773437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37148</v>
      </c>
      <c r="B7" s="610">
        <v>0</v>
      </c>
      <c r="C7" s="611">
        <v>0</v>
      </c>
      <c r="D7" s="610">
        <v>0</v>
      </c>
      <c r="E7" s="610">
        <v>0</v>
      </c>
      <c r="F7" s="610">
        <v>375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20000</v>
      </c>
      <c r="Q7" s="610">
        <v>26499</v>
      </c>
      <c r="R7" s="610">
        <v>16642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37149</v>
      </c>
      <c r="B8" s="610">
        <v>0</v>
      </c>
      <c r="C8" s="611">
        <v>0</v>
      </c>
      <c r="D8" s="610">
        <v>0</v>
      </c>
      <c r="E8" s="610">
        <v>0</v>
      </c>
      <c r="F8" s="610">
        <v>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20000</v>
      </c>
      <c r="Q8" s="610">
        <v>26775</v>
      </c>
      <c r="R8" s="610">
        <v>16918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37150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20000</v>
      </c>
      <c r="Q9" s="610">
        <v>26775</v>
      </c>
      <c r="R9" s="610">
        <v>16918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37151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20000</v>
      </c>
      <c r="Q10" s="610">
        <v>26775</v>
      </c>
      <c r="R10" s="610">
        <v>16918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37152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20000</v>
      </c>
      <c r="Q11" s="610">
        <v>26775</v>
      </c>
      <c r="R11" s="610">
        <v>16918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37153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20000</v>
      </c>
      <c r="Q12" s="610">
        <v>26775</v>
      </c>
      <c r="R12" s="610">
        <v>16918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26" zoomScale="75" workbookViewId="0">
      <selection activeCell="A49" sqref="A49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FRI</v>
      </c>
      <c r="I1" s="803">
        <f>D4</f>
        <v>37148</v>
      </c>
    </row>
    <row r="2" spans="1:256" ht="18.95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95" customHeight="1" thickBot="1">
      <c r="A3" s="807"/>
      <c r="B3" s="805"/>
      <c r="C3" s="805"/>
      <c r="D3" s="808" t="str">
        <f t="shared" ref="D3:I3" si="0">CHOOSE(WEEKDAY(D4),"SUN","MON","TUE","WED","THU","FRI","SAT")</f>
        <v>FRI</v>
      </c>
      <c r="E3" s="808" t="str">
        <f t="shared" si="0"/>
        <v>SAT</v>
      </c>
      <c r="F3" s="808" t="str">
        <f t="shared" si="0"/>
        <v>SUN</v>
      </c>
      <c r="G3" s="808" t="str">
        <f t="shared" si="0"/>
        <v>MON</v>
      </c>
      <c r="H3" s="808" t="str">
        <f t="shared" si="0"/>
        <v>TUE</v>
      </c>
      <c r="I3" s="809" t="str">
        <f t="shared" si="0"/>
        <v>WED</v>
      </c>
    </row>
    <row r="4" spans="1:256" ht="18.95" customHeight="1" thickBot="1">
      <c r="A4" s="810"/>
      <c r="B4" s="811"/>
      <c r="C4" s="811"/>
      <c r="D4" s="449">
        <f>Weather_Input!A5</f>
        <v>37148</v>
      </c>
      <c r="E4" s="449">
        <f>Weather_Input!A6</f>
        <v>37149</v>
      </c>
      <c r="F4" s="449">
        <f>Weather_Input!A7</f>
        <v>37150</v>
      </c>
      <c r="G4" s="449">
        <f>Weather_Input!A8</f>
        <v>37151</v>
      </c>
      <c r="H4" s="449">
        <f>Weather_Input!A9</f>
        <v>37152</v>
      </c>
      <c r="I4" s="450">
        <f>Weather_Input!A10</f>
        <v>37153</v>
      </c>
    </row>
    <row r="5" spans="1:256" ht="18.95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62/53/58</v>
      </c>
      <c r="E5" s="451" t="str">
        <f>TEXT(Weather_Input!B6,"0")&amp;"/"&amp;TEXT(Weather_Input!C6,"0") &amp; "/" &amp; TEXT((Weather_Input!B6+Weather_Input!C6)/2,"0")</f>
        <v>65/50/58</v>
      </c>
      <c r="F5" s="451" t="str">
        <f>TEXT(Weather_Input!B7,"0")&amp;"/"&amp;TEXT(Weather_Input!C7,"0") &amp; "/" &amp; TEXT((Weather_Input!B7+Weather_Input!C7)/2,"0")</f>
        <v>70/51/61</v>
      </c>
      <c r="G5" s="451" t="str">
        <f>TEXT(Weather_Input!B8,"0")&amp;"/"&amp;TEXT(Weather_Input!C8,"0") &amp; "/" &amp; TEXT((Weather_Input!B8+Weather_Input!C8)/2,"0")</f>
        <v>72/53/63</v>
      </c>
      <c r="H5" s="451" t="str">
        <f>TEXT(Weather_Input!B9,"0")&amp;"/"&amp;TEXT(Weather_Input!C9,"0") &amp; "/" &amp; TEXT((Weather_Input!B9+Weather_Input!C9)/2,"0")</f>
        <v>70/58/64</v>
      </c>
      <c r="I5" s="452" t="str">
        <f>TEXT(Weather_Input!B10,"0")&amp;"/"&amp;TEXT(Weather_Input!C10,"0") &amp; "/" &amp; TEXT((Weather_Input!B10+Weather_Input!C10)/2,"0")</f>
        <v>70/56/63</v>
      </c>
    </row>
    <row r="6" spans="1:256" ht="18.95" customHeight="1">
      <c r="A6" s="817" t="s">
        <v>133</v>
      </c>
      <c r="B6" s="805"/>
      <c r="C6" s="805"/>
      <c r="D6" s="451">
        <f>PGL_Deliveries!C5/1000</f>
        <v>190</v>
      </c>
      <c r="E6" s="451">
        <f>PGL_Deliveries!C6/1000</f>
        <v>180</v>
      </c>
      <c r="F6" s="451">
        <f>PGL_Deliveries!C7/1000</f>
        <v>195</v>
      </c>
      <c r="G6" s="451">
        <f>PGL_Deliveries!C8/1000</f>
        <v>190</v>
      </c>
      <c r="H6" s="451">
        <f>PGL_Deliveries!C9/1000</f>
        <v>190</v>
      </c>
      <c r="I6" s="452">
        <f>PGL_Deliveries!C10/1000</f>
        <v>190</v>
      </c>
    </row>
    <row r="7" spans="1:256" ht="18.95" customHeight="1">
      <c r="A7" s="817" t="s">
        <v>515</v>
      </c>
      <c r="B7" s="805" t="s">
        <v>9</v>
      </c>
      <c r="C7" s="805"/>
      <c r="D7" s="451">
        <f>PGL_Requirements!G7/1000*0.5</f>
        <v>0</v>
      </c>
      <c r="E7" s="451">
        <f>PGL_Requirements!G8/1000*0.5</f>
        <v>0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95" customHeight="1">
      <c r="A8" s="817" t="s">
        <v>727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95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95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95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116.47</v>
      </c>
      <c r="E11" s="451">
        <f>PGL_Requirements!O8/1000</f>
        <v>130</v>
      </c>
      <c r="F11" s="451">
        <f>PGL_Requirements!O9/1000</f>
        <v>130</v>
      </c>
      <c r="G11" s="451">
        <f>PGL_Requirements!O10/1000</f>
        <v>130</v>
      </c>
      <c r="H11" s="451">
        <f>PGL_Requirements!O11/1000</f>
        <v>120</v>
      </c>
      <c r="I11" s="452">
        <f>PGL_Requirements!O12/1000</f>
        <v>120</v>
      </c>
    </row>
    <row r="12" spans="1:256" ht="18.95" customHeight="1">
      <c r="A12" s="814"/>
      <c r="B12" s="805"/>
      <c r="C12" s="805" t="s">
        <v>96</v>
      </c>
      <c r="D12" s="451">
        <f>PGL_Requirements!P7/1000</f>
        <v>1.74705</v>
      </c>
      <c r="E12" s="451">
        <f>PGL_Requirements!P8/1000</f>
        <v>1.95</v>
      </c>
      <c r="F12" s="451">
        <f>PGL_Requirements!P9/1000</f>
        <v>1.95</v>
      </c>
      <c r="G12" s="451">
        <f>PGL_Requirements!P10/1000</f>
        <v>1.95</v>
      </c>
      <c r="H12" s="451">
        <f>PGL_Requirements!P11/1000</f>
        <v>1.8</v>
      </c>
      <c r="I12" s="452">
        <f>PGL_Requirements!P12/1000</f>
        <v>1.8</v>
      </c>
    </row>
    <row r="13" spans="1:256" ht="18.95" customHeight="1">
      <c r="A13" s="814"/>
      <c r="C13" s="805" t="s">
        <v>651</v>
      </c>
      <c r="D13" s="451">
        <f>PGL_Requirements!Q7/1000</f>
        <v>0.57999999999999996</v>
      </c>
      <c r="E13" s="451">
        <f>PGL_Requirements!Q8/1000</f>
        <v>0.6</v>
      </c>
      <c r="F13" s="451">
        <f>PGL_Requirements!Q9/1000</f>
        <v>0.6</v>
      </c>
      <c r="G13" s="451">
        <f>PGL_Requirements!Q10/1000</f>
        <v>0.6</v>
      </c>
      <c r="H13" s="451">
        <f>PGL_Requirements!Q11/1000</f>
        <v>0.6</v>
      </c>
      <c r="I13" s="452">
        <f>PGL_Requirements!Q12/1000</f>
        <v>0.6</v>
      </c>
    </row>
    <row r="14" spans="1:256" ht="18.95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95" customHeight="1">
      <c r="A15" s="814"/>
      <c r="B15" s="805" t="s">
        <v>136</v>
      </c>
      <c r="C15" s="805" t="s">
        <v>730</v>
      </c>
      <c r="D15" s="451">
        <f>PGL_Requirements!T7/1000</f>
        <v>0</v>
      </c>
      <c r="E15" s="451">
        <f>PGL_Requirements!T8/1000</f>
        <v>39.424999999999997</v>
      </c>
      <c r="F15" s="451">
        <f>PGL_Requirements!T9/1000</f>
        <v>10.425000000000001</v>
      </c>
      <c r="G15" s="451">
        <f>PGL_Requirements!T10/1000</f>
        <v>10.425000000000001</v>
      </c>
      <c r="H15" s="451">
        <f>PGL_Requirements!T11/1000</f>
        <v>10.425000000000001</v>
      </c>
      <c r="I15" s="452">
        <f>PGL_Requirements!T12/1000</f>
        <v>10.425000000000001</v>
      </c>
    </row>
    <row r="16" spans="1:256" ht="18.95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95" customHeight="1">
      <c r="A17" s="814"/>
      <c r="B17" s="805" t="s">
        <v>134</v>
      </c>
      <c r="C17" s="805" t="s">
        <v>86</v>
      </c>
      <c r="D17" s="451">
        <f>PGL_Requirements!N7/1000</f>
        <v>0</v>
      </c>
      <c r="E17" s="451">
        <f>PGL_Requirements!N8/1000</f>
        <v>30</v>
      </c>
      <c r="F17" s="451">
        <f>PGL_Requirements!N9/1000</f>
        <v>30</v>
      </c>
      <c r="G17" s="451">
        <f>PGL_Requirements!N10/1000</f>
        <v>30</v>
      </c>
      <c r="H17" s="451">
        <f>PGL_Requirements!N11/1000</f>
        <v>8</v>
      </c>
      <c r="I17" s="452">
        <f>PGL_Requirements!N12/1000</f>
        <v>8</v>
      </c>
    </row>
    <row r="18" spans="1:10" ht="18.95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95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95" customHeight="1">
      <c r="A20" s="817" t="s">
        <v>140</v>
      </c>
      <c r="B20" s="805"/>
      <c r="C20" s="805"/>
      <c r="D20" s="451">
        <f>PGL_Requirements!F7/1000</f>
        <v>40.874000000000002</v>
      </c>
      <c r="E20" s="451">
        <f>PGL_Requirements!F8/1000</f>
        <v>22.57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95" customHeight="1">
      <c r="A21" s="814" t="s">
        <v>141</v>
      </c>
      <c r="B21" s="805" t="s">
        <v>666</v>
      </c>
      <c r="C21" s="805"/>
      <c r="D21" s="451">
        <f>PGL_Requirements!I7/1000</f>
        <v>0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95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95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95" customHeight="1">
      <c r="A24" s="814"/>
      <c r="B24" s="805" t="s">
        <v>91</v>
      </c>
      <c r="C24" s="805"/>
      <c r="D24" s="453">
        <f>PGL_Requirements!E7/1000</f>
        <v>0</v>
      </c>
      <c r="E24" s="453">
        <f>PGL_Requirements!E8/1000</f>
        <v>5.0279999999999996</v>
      </c>
      <c r="F24" s="453">
        <f>PGL_Requirements!E9/1000</f>
        <v>5.0279999999999996</v>
      </c>
      <c r="G24" s="453">
        <f>PGL_Requirements!E10/1000</f>
        <v>5.0279999999999996</v>
      </c>
      <c r="H24" s="453">
        <f>PGL_Requirements!E11/1000</f>
        <v>5.0279999999999996</v>
      </c>
      <c r="I24" s="454">
        <f>PGL_Requirements!E12/1000</f>
        <v>5.0279999999999996</v>
      </c>
    </row>
    <row r="25" spans="1:10" ht="18.95" customHeight="1" thickBot="1">
      <c r="A25" s="822" t="s">
        <v>142</v>
      </c>
      <c r="B25" s="823"/>
      <c r="C25" s="823"/>
      <c r="D25" s="455">
        <f t="shared" ref="D25:I25" si="1">SUM(D6:D24)</f>
        <v>349.67105000000004</v>
      </c>
      <c r="E25" s="455">
        <f t="shared" si="1"/>
        <v>409.57300000000004</v>
      </c>
      <c r="F25" s="455">
        <f t="shared" si="1"/>
        <v>373.00300000000004</v>
      </c>
      <c r="G25" s="455">
        <f t="shared" si="1"/>
        <v>368.00300000000004</v>
      </c>
      <c r="H25" s="455">
        <f t="shared" si="1"/>
        <v>335.85300000000007</v>
      </c>
      <c r="I25" s="1060">
        <f t="shared" si="1"/>
        <v>335.85300000000007</v>
      </c>
    </row>
    <row r="26" spans="1:10" ht="18.95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95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95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95" customHeight="1">
      <c r="A29" s="814"/>
      <c r="B29" s="805"/>
      <c r="C29" s="805" t="s">
        <v>89</v>
      </c>
      <c r="D29" s="451">
        <f>PGL_Supplies!G7/1000</f>
        <v>1.0449999999999999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95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95" customHeight="1">
      <c r="A31" s="814"/>
      <c r="B31" s="805" t="s">
        <v>136</v>
      </c>
      <c r="C31" s="805" t="s">
        <v>730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95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95" customHeight="1">
      <c r="A33" s="814"/>
      <c r="B33" s="805" t="s">
        <v>134</v>
      </c>
      <c r="C33" s="805" t="s">
        <v>86</v>
      </c>
      <c r="D33" s="451">
        <f>PGL_Supplies!K7/1000</f>
        <v>6.008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95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95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95" customHeight="1">
      <c r="A36" s="817" t="s">
        <v>729</v>
      </c>
      <c r="B36" s="805" t="s">
        <v>384</v>
      </c>
      <c r="C36" s="805"/>
      <c r="D36" s="451">
        <f>PGL_Supplies!S7/1000</f>
        <v>10</v>
      </c>
      <c r="E36" s="451">
        <f>PGL_Supplies!S8/1000</f>
        <v>15</v>
      </c>
      <c r="F36" s="451">
        <f>PGL_Supplies!S9/1000</f>
        <v>15</v>
      </c>
      <c r="G36" s="451">
        <f>PGL_Supplies!S10/1000</f>
        <v>15</v>
      </c>
      <c r="H36" s="451">
        <f>PGL_Supplies!S11/1000</f>
        <v>0</v>
      </c>
      <c r="I36" s="452">
        <f>PGL_Supplies!S12/1000</f>
        <v>0</v>
      </c>
    </row>
    <row r="37" spans="1:10" ht="18.95" customHeight="1">
      <c r="A37" s="831" t="s">
        <v>673</v>
      </c>
      <c r="B37" s="805" t="s">
        <v>657</v>
      </c>
      <c r="C37" s="805"/>
      <c r="D37" s="451">
        <f>PGL_Supplies!X7/1000</f>
        <v>104.023</v>
      </c>
      <c r="E37" s="451">
        <f>PGL_Supplies!X8/1000</f>
        <v>99.5</v>
      </c>
      <c r="F37" s="451">
        <f>PGL_Supplies!X9/1000</f>
        <v>99.5</v>
      </c>
      <c r="G37" s="451">
        <f>PGL_Supplies!X10/1000</f>
        <v>99.5</v>
      </c>
      <c r="H37" s="451">
        <f>PGL_Supplies!X11/1000</f>
        <v>99.5</v>
      </c>
      <c r="I37" s="452">
        <f>PGL_Supplies!X12/1000</f>
        <v>99.5</v>
      </c>
    </row>
    <row r="38" spans="1:10" ht="18.95" customHeight="1">
      <c r="A38" s="817"/>
      <c r="B38" s="805" t="s">
        <v>136</v>
      </c>
      <c r="C38" s="818"/>
      <c r="D38" s="451">
        <f>PGL_Supplies!Y7/1000</f>
        <v>10.425000000000001</v>
      </c>
      <c r="E38" s="451">
        <f>PGL_Supplies!Y8/1000</f>
        <v>39.424999999999997</v>
      </c>
      <c r="F38" s="451">
        <f>PGL_Supplies!Y9/1000</f>
        <v>39.424999999999997</v>
      </c>
      <c r="G38" s="451">
        <f>PGL_Supplies!Y10/1000</f>
        <v>39.424999999999997</v>
      </c>
      <c r="H38" s="451">
        <f>PGL_Supplies!Y11/1000</f>
        <v>39.424999999999997</v>
      </c>
      <c r="I38" s="452">
        <f>PGL_Supplies!Y12/1000</f>
        <v>39.424999999999997</v>
      </c>
    </row>
    <row r="39" spans="1:10" ht="18.95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95" customHeight="1">
      <c r="A40" s="817"/>
      <c r="B40" s="805" t="s">
        <v>384</v>
      </c>
      <c r="C40" s="818"/>
      <c r="D40" s="451">
        <f>PGL_Supplies!AA7/1000</f>
        <v>184.46299999999999</v>
      </c>
      <c r="E40" s="451">
        <f>PGL_Supplies!AA8/1000</f>
        <v>180.953</v>
      </c>
      <c r="F40" s="451">
        <f>PGL_Supplies!AA9/1000</f>
        <v>180.953</v>
      </c>
      <c r="G40" s="451">
        <f>PGL_Supplies!AA10/1000</f>
        <v>180.953</v>
      </c>
      <c r="H40" s="451">
        <f>PGL_Supplies!AA11/1000</f>
        <v>180.953</v>
      </c>
      <c r="I40" s="452">
        <f>PGL_Supplies!AA12/1000</f>
        <v>180.953</v>
      </c>
    </row>
    <row r="41" spans="1:10" ht="18.95" customHeight="1">
      <c r="A41" s="817"/>
      <c r="B41" s="805" t="s">
        <v>134</v>
      </c>
      <c r="C41" s="805"/>
      <c r="D41" s="451">
        <f>PGL_Supplies!AB7/1000</f>
        <v>5.1440000000000001</v>
      </c>
      <c r="E41" s="451">
        <f>PGL_Supplies!AB8/1000</f>
        <v>65.662000000000006</v>
      </c>
      <c r="F41" s="451">
        <f>PGL_Supplies!AB9/1000</f>
        <v>65.662000000000006</v>
      </c>
      <c r="G41" s="451">
        <f>PGL_Supplies!AB10/1000</f>
        <v>65.662000000000006</v>
      </c>
      <c r="H41" s="451">
        <f>PGL_Supplies!AB11/1000</f>
        <v>65.662000000000006</v>
      </c>
      <c r="I41" s="452">
        <f>PGL_Supplies!AB12/1000</f>
        <v>65.662000000000006</v>
      </c>
    </row>
    <row r="42" spans="1:10" ht="18.95" customHeight="1">
      <c r="A42" s="817"/>
      <c r="B42" s="805" t="s">
        <v>135</v>
      </c>
      <c r="C42" s="805"/>
      <c r="D42" s="451">
        <f>PGL_Supplies!AC7/1000</f>
        <v>30.027999999999999</v>
      </c>
      <c r="E42" s="451">
        <f>PGL_Supplies!AC8/1000</f>
        <v>5.0279999999999996</v>
      </c>
      <c r="F42" s="451">
        <f>PGL_Supplies!AC9/1000</f>
        <v>5.0279999999999996</v>
      </c>
      <c r="G42" s="451">
        <f>PGL_Supplies!AC10/1000</f>
        <v>5.0279999999999996</v>
      </c>
      <c r="H42" s="451">
        <f>PGL_Supplies!AC11/1000</f>
        <v>5.0279999999999996</v>
      </c>
      <c r="I42" s="452">
        <f>PGL_Supplies!AC12/1000</f>
        <v>5.0279999999999996</v>
      </c>
    </row>
    <row r="43" spans="1:10" ht="18.95" customHeight="1">
      <c r="A43" s="831"/>
      <c r="B43" s="805" t="s">
        <v>146</v>
      </c>
      <c r="C43" s="805"/>
      <c r="D43" s="451">
        <f>PGL_Supplies!H7/1000</f>
        <v>3</v>
      </c>
      <c r="E43" s="451">
        <f>PGL_Supplies!H8/1000</f>
        <v>3</v>
      </c>
      <c r="F43" s="451">
        <f>PGL_Supplies!H9/1000</f>
        <v>3</v>
      </c>
      <c r="G43" s="451">
        <f>PGL_Supplies!H10/1000</f>
        <v>3</v>
      </c>
      <c r="H43" s="451">
        <f>PGL_Supplies!H11/1000</f>
        <v>3</v>
      </c>
      <c r="I43" s="452">
        <f>PGL_Supplies!H12/1000</f>
        <v>3</v>
      </c>
      <c r="J43" s="111" t="s">
        <v>9</v>
      </c>
    </row>
    <row r="44" spans="1:10" ht="18.95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95" customHeight="1">
      <c r="A45" s="817" t="s">
        <v>684</v>
      </c>
      <c r="B45" s="805"/>
      <c r="C45" s="805"/>
      <c r="D45" s="451">
        <f>PGL_Supplies!B7/1000</f>
        <v>0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95" customHeight="1">
      <c r="A46" s="814" t="s">
        <v>665</v>
      </c>
      <c r="B46" s="805" t="s">
        <v>657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95" customHeight="1">
      <c r="A47" s="814"/>
      <c r="B47" s="819" t="s">
        <v>139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95" customHeight="1">
      <c r="A48" s="814"/>
      <c r="B48" s="805" t="s">
        <v>384</v>
      </c>
      <c r="C48" s="805"/>
      <c r="D48" s="451">
        <f>PGL_Supplies!D7/1000</f>
        <v>0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95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95" customHeight="1" thickBot="1">
      <c r="A50" s="834" t="s">
        <v>148</v>
      </c>
      <c r="B50" s="835"/>
      <c r="C50" s="835"/>
      <c r="D50" s="461">
        <f t="shared" ref="D50:I50" si="2">SUM(D28:D49)</f>
        <v>354.13600000000002</v>
      </c>
      <c r="E50" s="461">
        <f t="shared" si="2"/>
        <v>409.5680000000001</v>
      </c>
      <c r="F50" s="461">
        <f t="shared" si="2"/>
        <v>409.5680000000001</v>
      </c>
      <c r="G50" s="461">
        <f t="shared" si="2"/>
        <v>409.5680000000001</v>
      </c>
      <c r="H50" s="461">
        <f t="shared" si="2"/>
        <v>394.5680000000001</v>
      </c>
      <c r="I50" s="1062">
        <f t="shared" si="2"/>
        <v>394.5680000000001</v>
      </c>
    </row>
    <row r="51" spans="1:9" ht="18.95" customHeight="1">
      <c r="A51" s="836" t="s">
        <v>149</v>
      </c>
      <c r="B51" s="837"/>
      <c r="C51" s="837"/>
      <c r="D51" s="462">
        <f t="shared" ref="D51:I51" si="3">IF(D50-D25&lt;0,0,D50-D25)</f>
        <v>4.4649499999999875</v>
      </c>
      <c r="E51" s="462">
        <f t="shared" si="3"/>
        <v>0</v>
      </c>
      <c r="F51" s="462">
        <f t="shared" si="3"/>
        <v>36.565000000000055</v>
      </c>
      <c r="G51" s="462">
        <f t="shared" si="3"/>
        <v>41.565000000000055</v>
      </c>
      <c r="H51" s="462">
        <f t="shared" si="3"/>
        <v>58.715000000000032</v>
      </c>
      <c r="I51" s="1063">
        <f t="shared" si="3"/>
        <v>58.715000000000032</v>
      </c>
    </row>
    <row r="52" spans="1:9" ht="18.95" customHeight="1" thickBot="1">
      <c r="A52" s="838" t="s">
        <v>150</v>
      </c>
      <c r="B52" s="823"/>
      <c r="C52" s="839"/>
      <c r="D52" s="463">
        <f t="shared" ref="D52:I52" si="4">IF(D25-D50&lt;0,0,D25-D50)</f>
        <v>0</v>
      </c>
      <c r="E52" s="463">
        <f t="shared" si="4"/>
        <v>4.9999999999386091E-3</v>
      </c>
      <c r="F52" s="463">
        <f t="shared" si="4"/>
        <v>0</v>
      </c>
      <c r="G52" s="463">
        <f t="shared" si="4"/>
        <v>0</v>
      </c>
      <c r="H52" s="463">
        <f t="shared" si="4"/>
        <v>0</v>
      </c>
      <c r="I52" s="1064">
        <f t="shared" si="4"/>
        <v>0</v>
      </c>
    </row>
    <row r="53" spans="1:9" ht="18.95" customHeight="1" thickTop="1" thickBot="1">
      <c r="A53" s="1051" t="s">
        <v>675</v>
      </c>
      <c r="B53" s="1052"/>
      <c r="C53" s="1052"/>
      <c r="D53" s="1053">
        <f>PGL_Supplies!U7/1000</f>
        <v>125.459</v>
      </c>
      <c r="E53" s="1053">
        <f>PGL_Supplies!U8/1000</f>
        <v>144.60400000000001</v>
      </c>
      <c r="F53" s="1053">
        <f>PGL_Supplies!U9/1000</f>
        <v>144.60400000000001</v>
      </c>
      <c r="G53" s="1053">
        <f>PGL_Supplies!U10/1000</f>
        <v>144.60400000000001</v>
      </c>
      <c r="H53" s="1053">
        <f>PGL_Supplies!U11/1000</f>
        <v>144.60400000000001</v>
      </c>
      <c r="I53" s="1054">
        <f>PGL_Supplies!U12/1000</f>
        <v>144.60400000000001</v>
      </c>
    </row>
    <row r="54" spans="1:9" ht="18.95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2001-09-15T15:46:52Z</cp:lastPrinted>
  <dcterms:created xsi:type="dcterms:W3CDTF">1997-07-16T16:14:22Z</dcterms:created>
  <dcterms:modified xsi:type="dcterms:W3CDTF">2023-09-10T17:00:21Z</dcterms:modified>
</cp:coreProperties>
</file>