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6AD580-17EB-44D6-9AB2-2BEDD2B018D2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<sst xmlns="http://schemas.openxmlformats.org/spreadsheetml/2006/main" count="2086" uniqueCount="825">
  <si>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</si>
  <si>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</si>
  <si>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</si>
  <si>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</si>
  <si>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</si>
  <si>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</si>
  <si>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</si>
  <si>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</si>
  <si>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</si>
  <si>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</si>
  <si>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</si>
  <si>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</si>
  <si>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</si>
  <si>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</si>
  <si>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</si>
  <si>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</si>
  <si>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</si>
  <si>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</si>
  <si>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</si>
  <si>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</si>
  <si>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</si>
  <si>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</si>
  <si>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</si>
  <si>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</si>
  <si>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</si>
  <si>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</si>
  <si>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</si>
  <si>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</si>
  <si>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</si>
  <si>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</si>
  <si>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</si>
  <si>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</si>
  <si>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</si>
  <si>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</si>
  <si>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</si>
  <si>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</si>
  <si>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</si>
  <si>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</si>
  <si>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</si>
  <si>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</si>
  <si>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</si>
  <si>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</si>
  <si>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</si>
  <si>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</si>
  <si>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</si>
  <si>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</si>
  <si>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</si>
  <si>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</si>
  <si>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</si>
  <si>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</si>
  <si>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</si>
  <si>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</si>
  <si>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</si>
  <si>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</si>
  <si>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</si>
  <si>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</si>
  <si>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</si>
  <si>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</si>
  <si>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</si>
  <si>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</si>
  <si>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</si>
  <si>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</si>
  <si>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</si>
  <si>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</si>
  <si>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</si>
  <si>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</si>
  <si>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</si>
  <si>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</si>
  <si>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</si>
  <si>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</si>
  <si>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</si>
  <si>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</si>
  <si>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</si>
  <si>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</si>
  <si>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</si>
  <si>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</si>
  <si>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</si>
  <si>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</si>
  <si>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</si>
  <si>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</si>
  <si>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</si>
  <si>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</si>
  <si>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</si>
  <si>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</si>
  <si>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</si>
  <si>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</si>
  <si>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</si>
  <si>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</si>
  <si>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</si>
  <si>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</si>
  <si>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</si>
  <si>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</si>
  <si>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</si>
  <si>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</si>
  <si>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</si>
  <si>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</si>
  <si>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</si>
  <si>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</si>
  <si>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</si>
  <si>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</si>
  <si>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</si>
  <si>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</si>
  <si>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</si>
  <si>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</si>
  <si>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</si>
  <si>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</si>
  <si>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</si>
  <si>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</si>
  <si>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</si>
  <si>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</si>
  <si>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</si>
  <si>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</si>
  <si>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</si>
  <si>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</si>
  <si>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</si>
  <si>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</si>
  <si>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</si>
  <si>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</si>
  <si>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</si>
  <si>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</si>
  <si>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</si>
  <si>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</si>
  <si>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</si>
  <si>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</si>
  <si>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</si>
  <si>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</si>
  <si>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</si>
  <si>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</si>
  <si>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</si>
  <si>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</si>
  <si>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</si>
  <si>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</si>
  <si>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</si>
  <si>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</si>
  <si>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</si>
  <si>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</si>
  <si>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</si>
  <si>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</si>
  <si>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</si>
  <si>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</si>
  <si>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</si>
  <si>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</si>
  <si>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</si>
  <si>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</si>
  <si>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</si>
  <si>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</si>
  <si>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</si>
  <si>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</si>
  <si>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</si>
  <si>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</si>
  <si>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</si>
  <si>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</si>
  <si>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</si>
  <si>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</si>
  <si>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</si>
  <si>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</si>
  <si>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</si>
  <si>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</si>
  <si>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</si>
  <si>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</si>
  <si>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</si>
  <si>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</si>
  <si>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</si>
  <si>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</si>
  <si>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</si>
  <si>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</si>
  <si>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</si>
  <si>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</si>
  <si>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</si>
  <si>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</si>
  <si>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</si>
  <si>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</si>
  <si>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</si>
  <si>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</si>
  <si>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</si>
  <si>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</si>
  <si>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</si>
  <si>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</si>
  <si>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</si>
  <si>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</si>
  <si>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</si>
  <si>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</si>
  <si>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</si>
  <si>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</si>
  <si>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</si>
  <si>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</si>
  <si>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</si>
  <si>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</si>
  <si>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</si>
  <si>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</si>
  <si>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</si>
  <si>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</si>
  <si>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</si>
  <si>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</si>
  <si>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</si>
  <si>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</si>
  <si>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</si>
  <si>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</si>
  <si>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</si>
  <si>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</si>
  <si>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</si>
  <si>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</si>
  <si>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</si>
  <si>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</si>
  <si>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</si>
  <si>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</si>
  <si>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</si>
  <si>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</si>
  <si>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</si>
  <si>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</si>
  <si>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</si>
  <si>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</si>
  <si>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</si>
  <si>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</si>
  <si>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</si>
  <si>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</si>
  <si>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</si>
  <si>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</si>
  <si>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</si>
  <si>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</si>
  <si>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</si>
  <si>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</si>
  <si>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</si>
  <si>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</si>
  <si>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</si>
  <si>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</si>
  <si>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</si>
  <si>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</si>
  <si>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</si>
  <si>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</si>
  <si>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</si>
  <si>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</si>
  <si>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</si>
  <si>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</si>
  <si>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</si>
  <si>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</si>
  <si>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</si>
  <si>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</si>
  <si>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</si>
  <si>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</si>
  <si>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</si>
  <si>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</si>
  <si>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</si>
  <si>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</si>
  <si>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</si>
  <si>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</si>
  <si>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</si>
  <si>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</si>
  <si>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</si>
  <si>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</si>
  <si>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</si>
  <si>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</si>
  <si>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</si>
  <si>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</si>
  <si>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</si>
  <si>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</si>
  <si>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</si>
  <si>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</si>
  <si>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</si>
  <si>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</si>
  <si>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</si>
  <si>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</si>
  <si>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</si>
  <si>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</si>
  <si>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</si>
  <si>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</si>
  <si>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</si>
  <si>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</si>
  <si>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</si>
  <si>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</si>
  <si>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</si>
  <si>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</si>
  <si>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</si>
  <si>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</si>
  <si>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</si>
  <si>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</si>
  <si>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</si>
  <si>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</si>
  <si>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</si>
  <si>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</si>
  <si>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</si>
  <si>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</si>
  <si>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</si>
  <si>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</si>
  <si>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</si>
  <si>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</si>
  <si>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</si>
  <si>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</si>
  <si>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</si>
  <si>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</si>
  <si>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</si>
  <si>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</si>
  <si>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</si>
  <si>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</si>
  <si>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</si>
  <si>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</si>
  <si>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</si>
  <si>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</si>
  <si>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</si>
  <si>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</si>
  <si>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</si>
  <si>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</si>
  <si>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</si>
  <si>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</si>
  <si>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</si>
  <si>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</si>
  <si>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</si>
  <si>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</si>
  <si>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</si>
  <si>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</si>
  <si>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</si>
  <si>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</si>
  <si>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</si>
  <si>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</si>
  <si>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</si>
  <si>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</si>
  <si>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</si>
  <si>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</si>
  <si>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</si>
  <si>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</si>
  <si>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</si>
  <si>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</si>
  <si>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</si>
  <si>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</si>
  <si>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</si>
  <si>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</si>
  <si>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</si>
  <si>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</si>
  <si>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</si>
  <si>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</si>
  <si>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</si>
  <si>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</si>
  <si>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</si>
  <si>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</si>
  <si>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</si>
  <si>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</si>
  <si>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</si>
  <si>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</si>
  <si>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</si>
  <si>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</si>
  <si>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</si>
  <si>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</si>
  <si>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</si>
  <si>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</si>
  <si>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</si>
  <si>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</si>
  <si>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</si>
  <si>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</si>
  <si>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</si>
  <si>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</si>
  <si>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</si>
  <si>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</si>
  <si>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</si>
  <si>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</si>
  <si>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</si>
  <si>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</si>
  <si>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</si>
  <si>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</si>
  <si>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</si>
  <si>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</si>
  <si>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</si>
  <si>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</si>
  <si>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</si>
  <si>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</si>
  <si>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</si>
  <si>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</si>
  <si>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</si>
  <si>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</si>
  <si>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</si>
  <si>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</si>
  <si>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</si>
  <si>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</si>
  <si>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</si>
  <si>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</si>
  <si>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</si>
  <si>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</si>
  <si>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</si>
  <si>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</si>
  <si>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</si>
  <si>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</si>
  <si>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</si>
  <si>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</si>
  <si>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</si>
  <si>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</si>
  <si>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</si>
  <si>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</si>
  <si>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</si>
  <si>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</si>
  <si>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</si>
  <si>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</si>
  <si>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</si>
  <si>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</si>
  <si>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</si>
  <si>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</si>
  <si>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</si>
  <si>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</si>
  <si>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</si>
  <si>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</si>
  <si>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</si>
  <si>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</si>
  <si>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</si>
  <si>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</si>
  <si>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</si>
  <si>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</si>
  <si>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</si>
  <si>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</si>
  <si>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</si>
  <si>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</si>
  <si>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</si>
  <si>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</si>
  <si>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</si>
  <si>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</si>
  <si>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</si>
  <si>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</si>
  <si>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</si>
  <si>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</si>
  <si>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</si>
  <si>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</si>
  <si>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</si>
  <si>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</si>
  <si>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</si>
  <si>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</si>
  <si>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</si>
  <si>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</si>
  <si>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</si>
  <si>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</si>
  <si>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</si>
  <si>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</si>
  <si>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</si>
  <si>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</si>
  <si>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</si>
  <si>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</si>
  <si>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</si>
  <si>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</si>
  <si>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</si>
  <si>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</si>
  <si>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</si>
  <si>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</si>
  <si>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</si>
  <si>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</si>
  <si>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</si>
  <si>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</si>
  <si>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</si>
  <si>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</si>
  <si>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</si>
  <si>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</si>
  <si>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</si>
  <si>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</si>
  <si>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</si>
  <si>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</si>
  <si>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</si>
  <si>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</si>
  <si>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</si>
  <si>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</si>
  <si>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</si>
  <si>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</si>
  <si>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</si>
  <si>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</si>
  <si>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</si>
  <si>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</si>
  <si>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</si>
  <si>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</si>
  <si>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</si>
  <si>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</si>
  <si>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</si>
  <si>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</si>
  <si>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</si>
  <si>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</si>
  <si>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</si>
  <si>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</si>
  <si>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</si>
  <si>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</si>
  <si>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</si>
  <si>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</si>
  <si>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</si>
  <si>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</si>
  <si>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</si>
  <si>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</si>
  <si>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</si>
  <si>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</si>
  <si>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</si>
  <si>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</si>
  <si>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</si>
  <si>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</si>
  <si>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</si>
  <si>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</si>
  <si>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</si>
  <si>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</si>
  <si>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</si>
  <si>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</si>
  <si>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</si>
  <si>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</si>
  <si>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</si>
  <si>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</si>
  <si>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</si>
  <si>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</si>
  <si>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</si>
  <si>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</si>
  <si>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</si>
  <si>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</si>
  <si>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</si>
  <si>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</si>
  <si>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</si>
  <si>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</si>
  <si>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</si>
  <si>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</si>
  <si>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</si>
  <si>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</si>
  <si>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</si>
  <si>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</si>
  <si>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</si>
  <si>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</si>
  <si>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</si>
  <si>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</si>
  <si>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</si>
  <si>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</si>
  <si>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</si>
  <si>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</si>
  <si>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</si>
  <si>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</si>
  <si>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</si>
  <si>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</si>
  <si>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</si>
  <si>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</si>
  <si>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</si>
  <si>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</si>
  <si>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</si>
  <si>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</si>
  <si>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</si>
  <si>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</si>
  <si>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</si>
  <si>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</si>
  <si>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</si>
  <si>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</si>
  <si>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</si>
  <si>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</si>
  <si>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</si>
  <si>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</si>
  <si>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</si>
  <si>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</si>
  <si>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</si>
  <si>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</si>
  <si>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</si>
  <si>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</si>
  <si>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</si>
  <si>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</si>
  <si>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</si>
  <si>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</si>
  <si>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</si>
  <si>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</si>
  <si>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</si>
  <si>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</si>
  <si>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</si>
  <si>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</si>
  <si>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</si>
  <si>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</si>
  <si>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</si>
  <si>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</si>
  <si>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</si>
  <si>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</si>
  <si>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</si>
  <si>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</si>
  <si>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</si>
  <si>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</si>
  <si>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</si>
  <si>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</si>
  <si>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</si>
  <si>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</si>
  <si>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</si>
  <si>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</si>
  <si>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</si>
  <si>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</si>
  <si>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</si>
  <si>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</si>
  <si>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</si>
  <si>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</si>
  <si>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</si>
  <si>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</si>
  <si>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</si>
  <si>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</si>
  <si>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</si>
  <si>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</si>
  <si>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</si>
  <si>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</si>
  <si>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</si>
  <si>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</si>
  <si>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</si>
  <si>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</si>
  <si>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</si>
  <si>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</si>
  <si>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</si>
  <si>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</si>
  <si>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</si>
  <si>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</si>
  <si>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</si>
  <si>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</si>
  <si>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</si>
  <si>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</si>
  <si>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</si>
  <si>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</si>
  <si>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</si>
  <si>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</si>
  <si>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</si>
  <si>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</si>
  <si>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</si>
  <si>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</si>
  <si>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</si>
  <si>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</si>
  <si>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</si>
  <si>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</si>
  <si>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</si>
  <si>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</si>
  <si>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</si>
  <si>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</si>
  <si>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</si>
  <si>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</si>
  <si>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</si>
  <si>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</si>
  <si>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</si>
  <si>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</si>
  <si>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</si>
  <si>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</si>
  <si>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</si>
  <si>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</si>
  <si>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</si>
  <si>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</si>
  <si>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</si>
  <si>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</si>
  <si>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</si>
  <si>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</si>
  <si>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</si>
  <si>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</si>
  <si>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</si>
  <si>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</si>
  <si>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</si>
  <si>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</si>
  <si>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</si>
  <si>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</si>
  <si>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</si>
  <si>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</si>
  <si>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</si>
  <si>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</si>
  <si>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</si>
  <si>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</si>
  <si>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</si>
  <si>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</si>
  <si>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</si>
  <si>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</si>
  <si>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</si>
  <si>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</si>
  <si>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</si>
  <si>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</si>
  <si>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</si>
  <si>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</si>
  <si>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</si>
  <si>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</si>
  <si>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</si>
  <si>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</si>
  <si>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</si>
  <si>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</si>
  <si>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</si>
  <si>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</si>
  <si>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</si>
  <si>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</si>
  <si>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</si>
  <si>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</si>
  <si>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</si>
  <si>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</si>
  <si>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</si>
  <si>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</si>
  <si>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</si>
  <si>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</si>
  <si>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</si>
  <si>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</si>
  <si>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</si>
  <si>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</si>
  <si>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</si>
  <si>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</si>
  <si>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</si>
  <si>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</si>
  <si>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</si>
  <si>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</si>
  <si>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</si>
  <si>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</si>
  <si>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</si>
  <si>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</si>
  <si>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</si>
  <si>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</si>
  <si>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</si>
  <si>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</si>
  <si>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</si>
  <si>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</si>
  <si>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</si>
  <si>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</si>
  <si>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</si>
  <si>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</si>
  <si>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</si>
  <si>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</si>
  <si>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</si>
  <si>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</si>
  <si>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</si>
  <si>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</si>
  <si>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</si>
  <si>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</si>
  <si>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</si>
  <si>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</si>
  <si>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</si>
  <si>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</si>
  <si>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</si>
  <si>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</si>
  <si>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</si>
  <si>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</si>
  <si>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</si>
  <si>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</si>
  <si>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</si>
  <si>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</si>
  <si>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</si>
  <si>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</si>
  <si>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</si>
  <si>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</si>
  <si>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</si>
  <si>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</si>
  <si>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</si>
  <si>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</si>
  <si>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</si>
  <si>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</si>
  <si>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</si>
  <si>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</si>
  <si>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</si>
  <si>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</si>
  <si>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</si>
  <si>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</si>
  <si>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</si>
  <si>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</si>
  <si>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</si>
  <si>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</si>
  <si>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</si>
  <si>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</si>
  <si>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</si>
  <si>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</si>
  <si>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</si>
  <si>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</si>
  <si>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</si>
  <si>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</si>
  <si>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</si>
  <si>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</si>
  <si>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</si>
  <si>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</si>
  <si>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</si>
  <si>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</si>
  <si>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</si>
  <si>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</si>
  <si>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</si>
  <si>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</si>
  <si>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</si>
  <si>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</si>
  <si>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</si>
  <si>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</si>
  <si>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</si>
  <si>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</si>
  <si>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</si>
  <si>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</si>
  <si>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</si>
  <si>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</si>
  <si>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</si>
  <si>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</si>
  <si>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</si>
  <si>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</si>
  <si>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</si>
  <si>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</si>
  <si>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</si>
  <si>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</si>
  <si>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</si>
  <si>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</si>
  <si>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</si>
  <si>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</si>
  <si>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</si>
  <si>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</si>
  <si>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</si>
  <si>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</si>
  <si>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</si>
  <si>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</si>
  <si>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</si>
  <si>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</si>
  <si>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</si>
  <si>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</si>
  <si>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</si>
  <si>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</si>
  <si>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</si>
  <si>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</si>
  <si>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</si>
  <si>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</si>
  <si>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</si>
  <si>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</si>
  <si>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</si>
  <si>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</si>
  <si>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</si>
  <si>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</si>
  <si>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</si>
  <si>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</si>
  <si>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</si>
  <si>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</si>
  <si>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</si>
  <si>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</si>
  <si>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</si>
  <si>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</si>
  <si>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</si>
  <si>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</si>
  <si>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</si>
  <si>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</si>
  <si>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</si>
  <si>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</si>
  <si>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</si>
  <si>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</si>
  <si>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</si>
  <si>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</si>
  <si>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</si>
  <si>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</si>
  <si>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</si>
  <si>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</si>
  <si>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 xml:space="preserve">   PARTLY   CLOUDY</t>
  </si>
  <si>
    <t xml:space="preserve">   SCATTERED SHOWERS AND T-STORMS  ENDING  EARLY CHANCE  OF P.M.  RAIN.</t>
  </si>
  <si>
    <t xml:space="preserve"> TONIGHT…CLOUDY  WITH A 40% CHANCE OF SHOWERS  AND T-STORMS</t>
  </si>
  <si>
    <t xml:space="preserve">   MOSTLY  CLOUDY  WITH  SHOWERS  AND  T-STORMS  LIKELY.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</si>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</sst>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6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6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CC16B107-403A-3019-61AE-F8D321B874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6C6188ED-A6BD-8E0E-5894-A003EC66A3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4ABFAE5C-28B0-30DE-E538-E95EC0EDC6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E2FDCAB8-C31D-D375-5CF2-754B4A22BD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B6E839D-FE27-E813-8B81-7F44B8DFC3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DCE041E-C845-B8E7-AB50-98E6AE33B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DFA4C40-A5A5-7DC0-058B-0D67746EF3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6921C51-DD09-D3AC-D1DD-90B8E2F3B2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1A5A1338-A188-C04C-4A92-B4AE72483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B4A2DBDA-129B-1AF9-8CEC-05922412D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9DC4B2F5-B8C7-8657-F66D-E1A999931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30EA793-05F3-D2A0-61FE-2E06D96E44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248624CA-C348-4750-9733-ED4B3FB732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58CC3B6D-D48E-9BFE-3790-BDBF86E401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BCEB5523-90C7-DE93-60B7-9071F80BB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97CA655-A6D7-795C-3254-961FBC4EF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3FC2E6E5-D967-2C2C-EEFF-8197F7E06D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946B3510-4CC4-73F2-F8FE-1054137C6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EA627AE5-E681-19D3-E73D-58F742C960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571E4C65-2ED5-2EDD-32F8-A755871E69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87DB311F-3A04-F742-CC02-CD800BDFA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0FD81FF5-D406-F3BF-0992-ADF13AAAB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FAB9CD66-39B7-6C26-55D2-E88CA663B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A3284497-9019-6401-E310-8877A8A62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74616AF6-2DA4-9CD8-DB8B-2B35B88CA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FACAD7CD-402F-B67F-4598-0888C7C11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BA4CA380-5C38-2FB7-9382-4E955A834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FACD100B-0233-7BCE-C9FF-85C372ECD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68E3751F-52D8-4A5B-5B1D-99E30344F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D69FB927-58AA-DF68-9A1F-0895976B9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CF68BDC8-3D1A-BCDB-20DC-B60DED74E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FED0C5C7-3B02-9E55-55F4-25DB466A2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C3ED7BD9-B6F9-21AC-47BE-322A01EFA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A2669C53-3404-AA55-39E4-8E310FF49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70BA0C8D-1D0F-3D9D-2657-5942CE6A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BD754547-164B-06A1-B6A1-33D61A9F7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95417BCE-8ACD-A0E5-3966-5CC0489A1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D4EEB559-C02F-D086-BEFA-C11D65386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F200FD85-0E36-383E-8F33-EF3785584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323B757B-7D31-0881-2696-6BB6DED5F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1BE56517-394F-AD03-9C6E-E41629258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0CCC0FE8-D3AD-9135-263E-E1FFD54A1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3E46FB2A-6E51-EA97-619D-33EE23A52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D8D74FCE-08CD-F20C-AB5A-A3AEE9089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793" name="Day_1">
          <a:extLst>
            <a:ext uri="{FF2B5EF4-FFF2-40B4-BE49-F238E27FC236}">
              <a16:creationId xmlns:a16="http://schemas.microsoft.com/office/drawing/2014/main" id="{27853168-3B73-7445-7A84-B4DA20A6A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794" name="Day_2">
          <a:extLst>
            <a:ext uri="{FF2B5EF4-FFF2-40B4-BE49-F238E27FC236}">
              <a16:creationId xmlns:a16="http://schemas.microsoft.com/office/drawing/2014/main" id="{7067356D-4BEB-7D78-6A5C-7777154F6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795" name="Day_3">
          <a:extLst>
            <a:ext uri="{FF2B5EF4-FFF2-40B4-BE49-F238E27FC236}">
              <a16:creationId xmlns:a16="http://schemas.microsoft.com/office/drawing/2014/main" id="{3F5FC124-00F0-0A8B-59EF-7D7E5E5C5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796" name="Day_4">
          <a:extLst>
            <a:ext uri="{FF2B5EF4-FFF2-40B4-BE49-F238E27FC236}">
              <a16:creationId xmlns:a16="http://schemas.microsoft.com/office/drawing/2014/main" id="{0C14657A-53F0-A0AD-B36F-83AE2812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797" name="Day_5">
          <a:extLst>
            <a:ext uri="{FF2B5EF4-FFF2-40B4-BE49-F238E27FC236}">
              <a16:creationId xmlns:a16="http://schemas.microsoft.com/office/drawing/2014/main" id="{565910F8-5399-B554-E8CD-7C05EF958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798" name="Day_6">
          <a:extLst>
            <a:ext uri="{FF2B5EF4-FFF2-40B4-BE49-F238E27FC236}">
              <a16:creationId xmlns:a16="http://schemas.microsoft.com/office/drawing/2014/main" id="{44A9F7EA-F1A4-1DE5-F7D0-241624197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D11EEE27-BCF5-532F-E70E-51F1BBEBD0B6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3961FDBB-F692-978E-45E1-0CE5ECEDD821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8E413CC4-DC78-6B66-62A4-4934688E8362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6B2F9DC7-98C0-2CB0-C1E1-EC272D030FC1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1180C31A-BB19-A143-34C8-0C18B86EB643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E07B5298-0152-B256-DD26-F91CADB0E208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5942D14B-1A3E-495F-0E6E-269515926D8D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3F4F7C79-CB97-8262-B9EC-92B3CFE468A8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F1AADE29-D532-8684-89CC-ECE45686D5AB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26CEACC4-F509-70DD-93BC-2758C858B22A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152AAF55-7B01-55A1-9F68-F1AE83CF1483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16A6FF4C-F078-C933-618B-911E92A875E0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9573D697-889D-9C46-02F7-A699AC562847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9504F5DE-428E-8D98-A37B-C17098DC026E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DB20F774-4A29-25FD-CFBD-ACC661E7A2D3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D11D304B-8E96-5115-F484-E4FD63E4302A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B7D5B367-6722-E541-A877-6BE965361983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CF3877C4-7C0C-9550-1992-735CA5502F3A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B1F3D7B4-9156-CABC-0718-70C1B20663A8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364BB241-A23B-004E-5068-852CFD04A6F7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DB8EF6D0-00AC-BCAD-4BAD-3C94743D1117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DEA616DA-4C77-209D-FF8B-B6E2091F6187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47BD5C6D-FC16-C4A9-A2F7-86DCA130642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F1EF936B-530E-9095-F484-49D8ADF6D701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6A8AFC26-E590-AFCD-ECC1-66D786007FE4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60F4498F-C8E0-5839-4264-74A26FEC8462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5BC43CF6-A6C6-ABEE-0A1D-1977E31ECF1B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1227BB29-F504-5B88-71F2-41D2E094EE23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2B1F7FB7-0B68-BA7D-4820-3A2A3D8AB1F1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CEDB3073-DE08-45E6-5C1D-1BB30A6AC04A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6EAB56EC-1F7B-EA45-430F-27EB7618EEDB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AEACF695-DF1B-B72F-D5A1-C4B2E7D125EF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D4422A81-F7B3-F9DC-2F8C-90850E23F179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FEBD5E8C-E410-8036-452D-70523CE80CCE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EE874CE1-8530-38D4-BB5C-45B70EB260F5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9E34F4A4-828F-6AD8-2230-9C42FD9C9E2B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072C3D7F-2F90-9698-C2DB-2DA7FCF4375A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869331CD-92EC-0AFE-C078-D44733CEB74E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6D67C516-4566-0416-73EC-E33BA1D404D5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10BA4D46-9401-87B1-A6D9-758BA8505499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39CE7C69-7435-79B3-1E42-0C231F74EB02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768CFB18-D6D9-DB88-259A-3A34D380B1F4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EB95C908-32F0-8F70-7EE3-F51211EA511C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8E65661A-1B40-B43A-6FE2-EB08E700E345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2F28F39D-9D6D-21D9-6450-E28996E30497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5F18037B-F16E-5A49-8FB0-F939757A275A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D3197985-6CF0-0A26-00F4-5081A895B4E9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0BD37EBB-1C2C-6DC2-D6B6-7D2962DB8466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FF4ED50C-003A-41AF-4394-98C809E34B1C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DA245D8D-3F6E-BF62-1498-84BFEE08B219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0840CF8E-3030-2517-E40E-C7AEF58D6239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3D4EB59B-6072-D8AB-432A-1560E40BD129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1C3D6941-08B1-CBC6-6544-3CA0BB965E01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8357DA6E-BDA2-F3A0-4F73-CD1DFD4C43FF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095779B0-986A-042A-7378-2DF1D826E969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1C9FD183-599A-7CEA-CB2C-2AF12311B07D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A3BE3801-7338-6380-2DED-575AE5EFED70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34FF26ED-3EE5-28D6-00DE-A90E17AA74BB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C019FB9C-94C5-4CD8-301E-4074542FB0DF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7A89BAC3-2680-015C-88ED-38C52B90BF4E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DF31FBC1-078D-0A30-2192-02C8E96E781C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C02C86D7-D652-1411-F547-DF5ECEB74ECB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2570AF16-B314-8F81-ED29-D560384FD771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266627CD-1042-1D50-0106-3ED32AA48770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C3E10DA9-0FBA-2510-C055-39D3AC46AC33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FB4E6198-94A8-DF58-F9AF-7063D6CD7056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AD019912-AD9A-7749-6E2F-24D342B9E5C4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9F1FE453-6D59-C727-D604-B5F7245EB0E7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5F651459-AD0E-CA53-6FD9-E0A8D0058EA0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5B203D85-87CE-9428-AD5D-314B36AAFF52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D8C9E0F7-A031-8052-CEE4-3318D28309E0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B7B60E24-1442-6E87-7F11-CAD38755E108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CEEA92C7-9BC0-6E01-C0B4-E67D03328479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A3993A87-1E07-BC44-7669-A479C3E3EA42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B4615445-93A0-7A27-B414-A065CA47A254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24A90B3A-18F5-6F5F-5350-254F583FA822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7740CFE8-68BF-F381-AD8B-4916F5DE1BE8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C1EEDACF-4DD8-A236-A081-85F7ED626B2E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638E0363-AE29-5233-4491-B41B34C8B7DA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B4FD7856-826B-3270-000F-FE486AB70B1F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DA166860-C1F0-A75D-215F-2C2882C3F750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AF83167F-B2A7-7A76-B47B-8DF433F9B8D4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5786A0CB-356D-7BBE-3E28-F2A4C3F72B28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8035E315-A332-FB62-8D95-D877A9FC49EF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954510C0-1F6C-DA58-0985-673B9568FBB1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1BC60C0C-3F46-A0FC-1A91-D631AB988E27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5E11E923-2E01-FA89-0D85-2D31F3078A22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70CE6E81-AA19-B320-F217-97E7AFBE64C2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7B1F7F81-12EC-50A4-2AC8-D86C06F749DA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FEAC4CA9-37AD-132A-5ACE-94C5BDBC0448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917CA162-5261-8A1C-F2E8-DAACBB8E4A8C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D05727FB-289F-A44A-F450-FEBCD9E801A4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74BA22EC-BDC7-7836-28E6-4BA06B168329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14A7C361-A534-CD8C-3271-FC51ADD54CED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D3AF7D24-558C-F0FD-DFC7-2CDE9EB8780B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2E4066AD-F8D9-C3F7-023A-9A32C19FD936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B18A50A2-D332-36E4-A97F-F66B3AE4531F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61031B0A-6320-0172-2972-0960A30519FB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862E8B8C-081E-CE7F-C20B-39E5606C83CC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80D23437-9404-2DD0-1EF6-4CEBDEA305E7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08CCB27A-E8C1-4C25-DC2E-33CFD20C1ACD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65F1B60D-ADAA-26AB-58DD-61A3AD5599C1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71E53A02-9957-B350-2ACC-B1FC4AFEF466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32D48FBC-CD5C-0724-9B3E-30DC089B6D2C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6A6E8FA6-07EE-726D-FDD5-4CFDCC265FCA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F6A0630C-F22F-384D-010C-A6229B6F8E2E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F1DDF8F2-29D1-3096-A26A-54B13AB4BEBF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44590C79-6555-4CFB-6830-C204E6520C45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3E3C5E3F-6660-9A96-71D6-43D3E144888B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D26B376B-222D-C62C-4E50-55A6354FD40E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AFF8DBB9-E6EE-7EA7-1D64-0A46B8FCF2CC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6EBDCEFD-68DB-1A96-FC30-0F044A7CF2F8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2BC9F990-D9F8-16B8-BEBB-986BA5CEDE90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18EB51C5-EAF7-06AF-A2EE-E6C01E6EFE81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A98D26EF-4711-1D9A-5C3D-9310FB5DD8B8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8C3FE8B5-1CF5-FC57-47EE-C3C83AC9F631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34FD3890-2017-3E4D-5C0A-1CD45E7A0CA2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82420275-C7E3-D717-3574-93F41DD16036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31450AE8-631B-F259-CDAF-1EE23F2E0464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09F9428E-8564-48A2-9304-A201397F88DC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C4C120A7-62E6-8BBE-F21B-D29E8913AC5A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B299C397-7729-44E8-6005-CE76606AD7CE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CE9C1B0E-108E-B3CD-D549-FCBE8CE3636F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DD0D11BD-2E5E-029C-ADF0-7AA3EF013A09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E9C499AE-0066-3C29-5411-63AC19A12395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2E76DED3-5EE1-6101-1CB1-D1E4B5D9A3B1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DF831BCD-836E-642A-55B4-52412296961F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5CEC9D12-F780-A186-8942-9D0D24A3AED7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4E5F3615-34CA-22DF-303A-595206F67C02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3DAABD80-3515-24A6-6074-2EB8D5202EE8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 t="s">
        <v>128</v>
      </c>
      <c r="B1" s="777"/>
    </row>
    <row r="2" spans="1:88">
      <c r="A2" s="1005"/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FRI</v>
      </c>
      <c r="I1" s="844">
        <f>D4</f>
        <v>37141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37141</v>
      </c>
      <c r="E4" s="812">
        <f>Weather_Input!A6</f>
        <v>37142</v>
      </c>
      <c r="F4" s="812">
        <f>Weather_Input!A7</f>
        <v>37143</v>
      </c>
      <c r="G4" s="812">
        <f>Weather_Input!A8</f>
        <v>37144</v>
      </c>
      <c r="H4" s="812">
        <f>Weather_Input!A9</f>
        <v>37145</v>
      </c>
      <c r="I4" s="813">
        <f>Weather_Input!A10</f>
        <v>37146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85/69/77</v>
      </c>
      <c r="E5" s="845" t="str">
        <f>TEXT(Weather_Input!B6,"0")&amp;"/"&amp;TEXT(Weather_Input!C6,"0") &amp; "/" &amp; TEXT((Weather_Input!B6+Weather_Input!C6)/2,"0")</f>
        <v>80/59/70</v>
      </c>
      <c r="F5" s="845" t="str">
        <f>TEXT(Weather_Input!B7,"0")&amp;"/"&amp;TEXT(Weather_Input!C7,"0") &amp; "/" &amp; TEXT((Weather_Input!B7+Weather_Input!C7)/2,"0")</f>
        <v>68/55/62</v>
      </c>
      <c r="G5" s="845" t="str">
        <f>TEXT(Weather_Input!B8,"0")&amp;"/"&amp;TEXT(Weather_Input!C8,"0") &amp; "/" &amp; TEXT((Weather_Input!B8+Weather_Input!C8)/2,"0")</f>
        <v>69/49/59</v>
      </c>
      <c r="H5" s="845" t="str">
        <f>TEXT(Weather_Input!B9,"0")&amp;"/"&amp;TEXT(Weather_Input!C9,"0") &amp; "/" &amp; TEXT((Weather_Input!B9+Weather_Input!C9)/2,"0")</f>
        <v>73/52/63</v>
      </c>
      <c r="I5" s="846" t="str">
        <f>TEXT(Weather_Input!B10,"0")&amp;"/"&amp;TEXT(Weather_Input!C10,"0") &amp; "/" &amp; TEXT((Weather_Input!B10+Weather_Input!C10)/2,"0")</f>
        <v>73/52/63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30.6</v>
      </c>
      <c r="E6" s="815">
        <f ca="1">VLOOKUP(E4,NSG_Sendouts,CELL("Col",NSG_Deliveries!C6),FALSE)/1000</f>
        <v>29</v>
      </c>
      <c r="F6" s="815">
        <f ca="1">VLOOKUP(F4,NSG_Sendouts,CELL("Col",NSG_Deliveries!C7),FALSE)/1000</f>
        <v>32</v>
      </c>
      <c r="G6" s="815">
        <f ca="1">VLOOKUP(G4,NSG_Sendouts,CELL("Col",NSG_Deliveries!C8),FALSE)/1000</f>
        <v>34</v>
      </c>
      <c r="H6" s="815">
        <f ca="1">VLOOKUP(H4,NSG_Sendouts,CELL("Col",NSG_Deliveries!C9),FALSE)/1000</f>
        <v>34</v>
      </c>
      <c r="I6" s="820">
        <f ca="1">VLOOKUP(I4,NSG_Sendouts,CELL("Col",NSG_Deliveries!C10),FALSE)/1000</f>
        <v>34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13.6</v>
      </c>
      <c r="E8" s="815">
        <f>NSG_Requirements!J8/1000</f>
        <v>0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44.2</v>
      </c>
      <c r="E11" s="824">
        <f t="shared" ca="1" si="1"/>
        <v>29</v>
      </c>
      <c r="F11" s="824">
        <f t="shared" ca="1" si="1"/>
        <v>32</v>
      </c>
      <c r="G11" s="824">
        <f t="shared" ca="1" si="1"/>
        <v>34</v>
      </c>
      <c r="H11" s="824">
        <f t="shared" ca="1" si="1"/>
        <v>34</v>
      </c>
      <c r="I11" s="825">
        <f t="shared" ca="1" si="1"/>
        <v>34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1.65</v>
      </c>
      <c r="E17" s="815">
        <f>NSG_Supplies!F8/1000</f>
        <v>2</v>
      </c>
      <c r="F17" s="815">
        <f>NSG_Supplies!F9/1000</f>
        <v>2</v>
      </c>
      <c r="G17" s="815">
        <f>NSG_Supplies!F10/1000</f>
        <v>2</v>
      </c>
      <c r="H17" s="815">
        <f>NSG_Supplies!F11/1000</f>
        <v>2</v>
      </c>
      <c r="I17" s="820">
        <f>NSG_Supplies!F12/1000</f>
        <v>2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27.548999999999999</v>
      </c>
      <c r="E19" s="815">
        <f>NSG_Supplies!Q8/1000</f>
        <v>26.748999999999999</v>
      </c>
      <c r="F19" s="815">
        <f>NSG_Supplies!Q9/1000</f>
        <v>26.748999999999999</v>
      </c>
      <c r="G19" s="815">
        <f>NSG_Supplies!Q10/1000</f>
        <v>26.748999999999999</v>
      </c>
      <c r="H19" s="815">
        <f>NSG_Supplies!Q11/1000</f>
        <v>26.748999999999999</v>
      </c>
      <c r="I19" s="816">
        <f>NSG_Supplies!Q12/1000</f>
        <v>26.748999999999999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15</v>
      </c>
      <c r="E20" s="815">
        <f>NSG_Supplies!P8/1000</f>
        <v>15</v>
      </c>
      <c r="F20" s="815">
        <f>NSG_Supplies!P9/1000</f>
        <v>15</v>
      </c>
      <c r="G20" s="815">
        <f>NSG_Supplies!P10/1000</f>
        <v>15</v>
      </c>
      <c r="H20" s="815">
        <f>NSG_Supplies!P11/1000</f>
        <v>15</v>
      </c>
      <c r="I20" s="816">
        <f>NSG_Supplies!P12/1000</f>
        <v>15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44.198999999999998</v>
      </c>
      <c r="E21" s="1200">
        <f t="shared" si="2"/>
        <v>43.748999999999995</v>
      </c>
      <c r="F21" s="1200">
        <f t="shared" si="2"/>
        <v>43.748999999999995</v>
      </c>
      <c r="G21" s="1200">
        <f t="shared" si="2"/>
        <v>43.748999999999995</v>
      </c>
      <c r="H21" s="1200">
        <f t="shared" si="2"/>
        <v>43.748999999999995</v>
      </c>
      <c r="I21" s="1201">
        <f t="shared" si="2"/>
        <v>43.748999999999995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0</v>
      </c>
      <c r="E22" s="856">
        <f t="shared" ca="1" si="3"/>
        <v>14.748999999999995</v>
      </c>
      <c r="F22" s="856">
        <f t="shared" ca="1" si="3"/>
        <v>11.748999999999995</v>
      </c>
      <c r="G22" s="856">
        <f t="shared" ca="1" si="3"/>
        <v>9.7489999999999952</v>
      </c>
      <c r="H22" s="856">
        <f t="shared" ca="1" si="3"/>
        <v>9.7489999999999952</v>
      </c>
      <c r="I22" s="857">
        <f t="shared" ca="1" si="3"/>
        <v>9.7489999999999952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1.0000000000047748E-3</v>
      </c>
      <c r="E23" s="840">
        <f t="shared" ca="1" si="4"/>
        <v>0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17.692</v>
      </c>
      <c r="E24" s="1058">
        <f>NSG_Supplies!R8/1000</f>
        <v>16.891999999999999</v>
      </c>
      <c r="F24" s="1058">
        <f>NSG_Supplies!R9/1000</f>
        <v>16.891999999999999</v>
      </c>
      <c r="G24" s="1058">
        <f>NSG_Supplies!R10/1000</f>
        <v>16.891999999999999</v>
      </c>
      <c r="H24" s="1058">
        <f>NSG_Supplies!R11/1000</f>
        <v>16.891999999999999</v>
      </c>
      <c r="I24" s="1059">
        <f>NSG_Supplies!R12/1000</f>
        <v>16.891999999999999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14</v>
      </c>
      <c r="E26" s="863">
        <f>Weather_Input!D6</f>
        <v>12</v>
      </c>
      <c r="F26" s="863">
        <f>Weather_Input!D7</f>
        <v>12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F23" zoomScale="75" workbookViewId="0">
      <selection activeCell="O31" sqref="O31"/>
    </sheetView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37141</v>
      </c>
      <c r="N1" s="1175" t="str">
        <f>CHOOSE(WEEKDAY(M1),"SUN","MON","TUE","WED","THU","FRI","SAT")</f>
        <v>FRI</v>
      </c>
      <c r="O1" s="576"/>
    </row>
    <row r="2" spans="1:17">
      <c r="A2" s="416" t="s">
        <v>659</v>
      </c>
      <c r="B2" s="315">
        <f>PGL_Supplies!W7/1000</f>
        <v>5.0999999999999996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85</v>
      </c>
      <c r="K3" s="918">
        <f>Weather_Input!C5</f>
        <v>69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2.9</v>
      </c>
      <c r="G4" s="509" t="s">
        <v>9</v>
      </c>
      <c r="H4" s="1194"/>
      <c r="I4" t="s">
        <v>725</v>
      </c>
      <c r="J4" s="1009"/>
      <c r="K4" s="1213">
        <v>76.3</v>
      </c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79.546000000000006</v>
      </c>
      <c r="C5" s="1012" t="s">
        <v>9</v>
      </c>
      <c r="D5" s="340"/>
      <c r="E5" s="1155" t="s">
        <v>420</v>
      </c>
      <c r="F5" s="936">
        <f>F3+F4</f>
        <v>2.9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188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84.646000000000001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0.42499999999999999</v>
      </c>
      <c r="C8" s="577"/>
      <c r="D8" s="304"/>
      <c r="E8" s="416" t="s">
        <v>423</v>
      </c>
      <c r="F8" s="379">
        <f>PGL_Requirements!E7/1000</f>
        <v>0.8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10.9</v>
      </c>
      <c r="C9" s="304"/>
      <c r="D9" s="304"/>
      <c r="E9" s="416" t="s">
        <v>424</v>
      </c>
      <c r="F9" s="315">
        <f>PGL_Supplies!F7/1000</f>
        <v>39</v>
      </c>
      <c r="G9" s="315"/>
      <c r="H9" s="1085"/>
      <c r="I9" s="119" t="s">
        <v>656</v>
      </c>
      <c r="J9" s="1009"/>
      <c r="K9" s="1217">
        <f>+B6</f>
        <v>84.646000000000001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0.42499999999999999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10.9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10.9</v>
      </c>
      <c r="C11" s="514"/>
      <c r="D11" s="514"/>
      <c r="E11" s="771" t="s">
        <v>512</v>
      </c>
      <c r="F11" s="945">
        <f>+F10+F9-F8+F7</f>
        <v>43.228000000000002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-104.6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39.700000000000003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105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232.137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2.9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43.228000000000002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1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0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-79.45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1.575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-5.7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-104.6</v>
      </c>
      <c r="C19" s="503"/>
      <c r="D19" s="515"/>
      <c r="E19" s="1104" t="s">
        <v>697</v>
      </c>
      <c r="F19" s="1169">
        <f>PGL_Requirements!J7/1000</f>
        <v>5.7</v>
      </c>
      <c r="G19" s="998" t="s">
        <v>9</v>
      </c>
      <c r="H19" s="1105" t="s">
        <v>9</v>
      </c>
      <c r="I19" t="s">
        <v>515</v>
      </c>
      <c r="J19" s="1171"/>
      <c r="K19" s="1221">
        <f>-F24</f>
        <v>-57.85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165.91100000000003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22.08899999999997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79">
        <f>PGL_Requirements!C7/1000</f>
        <v>0.3</v>
      </c>
      <c r="C24" s="343"/>
      <c r="D24" s="1085"/>
      <c r="E24" s="534" t="s">
        <v>701</v>
      </c>
      <c r="F24" s="1169">
        <f>PGL_Requirements!G7/1000*0.5</f>
        <v>57.85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40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1.575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23.66399999999997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39.700000000000003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5.44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-29.105</v>
      </c>
      <c r="L30" s="1119"/>
      <c r="M30" s="1023">
        <f>-PGL_Supplies!AB7/1000</f>
        <v>-29.105</v>
      </c>
      <c r="N30" s="1120"/>
      <c r="O30" s="1179">
        <f>-PGL_Supplies!AB7/1000</f>
        <v>-29.105</v>
      </c>
    </row>
    <row r="31" spans="1:15" ht="16.5" thickBot="1">
      <c r="A31" s="361" t="s">
        <v>449</v>
      </c>
      <c r="B31" s="938">
        <f>PGL_Supplies!D7/1000</f>
        <v>29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198.137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10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232.137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174.28700000000001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57.85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232.137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FRI</v>
      </c>
      <c r="G1" s="1181">
        <f>Weather_Input!A5</f>
        <v>37141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>
        <v>76.3</v>
      </c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85</v>
      </c>
      <c r="C4" s="737">
        <f>Weather_Input!C5</f>
        <v>69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30.6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29.200000000000003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1.4000000000000004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29.200000000000003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-1.65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-27.548999999999999</v>
      </c>
      <c r="D25" s="697"/>
      <c r="E25" s="690">
        <f>-NSG_Supplies!Q7/1000</f>
        <v>-27.548999999999999</v>
      </c>
      <c r="F25" s="697"/>
      <c r="G25" s="690">
        <f>-NSG_Supplies!Q7/1000</f>
        <v>-27.548999999999999</v>
      </c>
      <c r="H25" s="696"/>
      <c r="I25" s="753">
        <f>-NSG_Supplies!Q7/1000</f>
        <v>-27.548999999999999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13.6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15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1.4000000000000004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37141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85</v>
      </c>
      <c r="C5" s="257">
        <f>Weather_Input!C5</f>
        <v>69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188</v>
      </c>
      <c r="C8" s="265">
        <f>NSG_Deliveries!C5/1000</f>
        <v>30.6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164.25900000000001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2.9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17.774000000000001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1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79.45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0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30.6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1.575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30.6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</v>
      </c>
      <c r="C27" s="301">
        <f>NSG_Requirements!P7/1000</f>
        <v>0</v>
      </c>
      <c r="D27" s="301">
        <f>PGL_Requirements!Q7/1000</f>
        <v>0.6</v>
      </c>
      <c r="E27" s="301">
        <f>NSG_Requirements!P7/1000</f>
        <v>0</v>
      </c>
      <c r="F27" s="301">
        <f>PGL_Requirements!Q7/1000</f>
        <v>0.6</v>
      </c>
      <c r="G27" s="301">
        <f>NSG_Requirements!P7/1000</f>
        <v>0</v>
      </c>
      <c r="H27" s="302">
        <f>+B27</f>
        <v>0.6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-29.105</v>
      </c>
      <c r="C32" s="306">
        <f>-NSG_Supplies!Q7/1000</f>
        <v>-27.548999999999999</v>
      </c>
      <c r="D32" s="306">
        <f>B32</f>
        <v>-29.105</v>
      </c>
      <c r="E32" s="306">
        <f>C32</f>
        <v>-27.548999999999999</v>
      </c>
      <c r="F32" s="306">
        <f>B32</f>
        <v>-29.105</v>
      </c>
      <c r="G32" s="306">
        <f>C32</f>
        <v>-27.548999999999999</v>
      </c>
      <c r="H32" s="311">
        <f>B32</f>
        <v>-29.105</v>
      </c>
      <c r="I32" s="312">
        <f>C32</f>
        <v>-27.548999999999999</v>
      </c>
    </row>
    <row r="33" spans="1:9" ht="17.100000000000001" customHeight="1">
      <c r="A33" s="310" t="s">
        <v>361</v>
      </c>
      <c r="B33" s="306">
        <f>-PGL_Supplies!W7/1000</f>
        <v>-5.0999999999999996</v>
      </c>
      <c r="C33" s="306">
        <f>-NSG_Supplies!R7/1000</f>
        <v>-17.692</v>
      </c>
      <c r="D33" s="306">
        <f>B33</f>
        <v>-5.0999999999999996</v>
      </c>
      <c r="E33" s="306">
        <f>C33</f>
        <v>-17.692</v>
      </c>
      <c r="F33" s="306">
        <f>B33</f>
        <v>-5.0999999999999996</v>
      </c>
      <c r="G33" s="306">
        <f>C33</f>
        <v>-17.692</v>
      </c>
      <c r="H33" s="311">
        <f>B33</f>
        <v>-5.0999999999999996</v>
      </c>
      <c r="I33" s="312">
        <f>C33</f>
        <v>-17.692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5.44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-1.65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105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1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1.575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1.575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1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164.25900000000001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164.25900000000001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0.42499999999999999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10.9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79.546000000000006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43.228000000000002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105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0.8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17.774000000000001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FRI</v>
      </c>
      <c r="H73" s="397">
        <f>Weather_Input!A5</f>
        <v>37141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1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-135.74099999999999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122.77400000000002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79.45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0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-0.42499999999999999</v>
      </c>
      <c r="C116" s="410">
        <f>-NSG_Supplies!V7/1000</f>
        <v>0</v>
      </c>
      <c r="D116" s="306">
        <f>-PGL_Supplies!Y7/1000</f>
        <v>-0.42499999999999999</v>
      </c>
      <c r="E116" s="306">
        <f>-NSG_Supplies!V7/1000</f>
        <v>0</v>
      </c>
      <c r="F116" s="306">
        <f>-PGL_Supplies!Y7/1000</f>
        <v>-0.42499999999999999</v>
      </c>
      <c r="G116" s="306">
        <f>-NSG_Supplies!V7/1000</f>
        <v>0</v>
      </c>
      <c r="H116" s="311">
        <f>-PGL_Supplies!Y7/1000</f>
        <v>-0.42499999999999999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-5.0999999999999996</v>
      </c>
      <c r="C123" s="306">
        <f>-NSG_Supplies!R7/1000</f>
        <v>-17.692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0.42499999999999999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10.9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5.44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0.42499999999999999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300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40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124.259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-135.74099999999999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105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1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1.575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1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0.8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39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79.546000000000006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122.77400000000002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37142.185288425928</v>
      </c>
      <c r="F22" s="161" t="s">
        <v>256</v>
      </c>
      <c r="G22" s="186">
        <f ca="1">NOW()</f>
        <v>37142.185288425928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37141</v>
      </c>
      <c r="C5" s="15"/>
      <c r="D5" s="22" t="s">
        <v>274</v>
      </c>
      <c r="E5" s="23">
        <f>Weather_Input!B5</f>
        <v>85</v>
      </c>
      <c r="F5" s="24" t="s">
        <v>275</v>
      </c>
      <c r="G5" s="25">
        <f>Weather_Input!H5</f>
        <v>0</v>
      </c>
      <c r="H5" s="26" t="s">
        <v>276</v>
      </c>
      <c r="I5" s="27">
        <f ca="1">G5-(VLOOKUP(B5,DD_Normal_Data,CELL("Col",B6),FALSE))</f>
        <v>-2</v>
      </c>
    </row>
    <row r="6" spans="1:109" ht="15">
      <c r="A6" s="18"/>
      <c r="B6" s="21"/>
      <c r="C6" s="15"/>
      <c r="D6" s="22" t="s">
        <v>161</v>
      </c>
      <c r="E6" s="23">
        <f>Weather_Input!C5</f>
        <v>69</v>
      </c>
      <c r="F6" s="24" t="s">
        <v>277</v>
      </c>
      <c r="G6" s="25">
        <f>Weather_Input!F5</f>
        <v>6</v>
      </c>
      <c r="H6" s="26" t="s">
        <v>278</v>
      </c>
      <c r="I6" s="27">
        <f ca="1">G6-(VLOOKUP(B5,DD_Normal_Data,CELL("Col",C7),FALSE))</f>
        <v>-2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77</v>
      </c>
      <c r="F7" s="24" t="s">
        <v>280</v>
      </c>
      <c r="G7" s="25">
        <f>Weather_Input!G5</f>
        <v>6</v>
      </c>
      <c r="H7" s="26" t="s">
        <v>280</v>
      </c>
      <c r="I7" s="120">
        <f ca="1">G7-(VLOOKUP(B5,DD_Normal_Data,CELL("Col",D4),FALSE))</f>
        <v>-10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 SCATTERED SHOWERS AND T-STORMS  ENDING  EARLY CHANCE  OF P.M.  RAIN.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TONIGHT…CLOUDY  WITH A 40% CHANCE OF SHOWERS  AND T-STORMS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37142</v>
      </c>
      <c r="C10" s="15"/>
      <c r="D10" s="150" t="s">
        <v>274</v>
      </c>
      <c r="E10" s="23">
        <f>Weather_Input!B6</f>
        <v>80</v>
      </c>
      <c r="F10" s="24" t="s">
        <v>275</v>
      </c>
      <c r="G10" s="25">
        <f>IF(E12&lt;65,65-(Weather_Input!B6+Weather_Input!C6)/2,0)</f>
        <v>0</v>
      </c>
      <c r="H10" s="26" t="s">
        <v>276</v>
      </c>
      <c r="I10" s="27">
        <f ca="1">G10-(VLOOKUP(B10,DD_Normal_Data,CELL("Col",B11),FALSE))</f>
        <v>-2</v>
      </c>
    </row>
    <row r="11" spans="1:109" ht="15">
      <c r="A11" s="18"/>
      <c r="B11" s="21"/>
      <c r="C11" s="15"/>
      <c r="D11" s="22" t="s">
        <v>161</v>
      </c>
      <c r="E11" s="23">
        <f>Weather_Input!C6</f>
        <v>59</v>
      </c>
      <c r="F11" s="24" t="s">
        <v>277</v>
      </c>
      <c r="G11" s="25">
        <f>IF(DAY(B10)=1,G10,G6+G10)</f>
        <v>6</v>
      </c>
      <c r="H11" s="30" t="s">
        <v>278</v>
      </c>
      <c r="I11" s="27">
        <f ca="1">G11-(VLOOKUP(B10,DD_Normal_Data,CELL("Col",C12),FALSE))</f>
        <v>-4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69.5</v>
      </c>
      <c r="F12" s="24" t="s">
        <v>280</v>
      </c>
      <c r="G12" s="25">
        <f>IF(AND(DAY(B10)=1,MONTH(B10)=8),G10,G7+G10)</f>
        <v>6</v>
      </c>
      <c r="H12" s="26" t="s">
        <v>280</v>
      </c>
      <c r="I12" s="27">
        <f ca="1">G12-(VLOOKUP(B10,DD_Normal_Data,CELL("Col",D9),FALSE))</f>
        <v>-12</v>
      </c>
    </row>
    <row r="13" spans="1:109" ht="15">
      <c r="A13" s="18"/>
      <c r="B13" s="21"/>
      <c r="C13" s="15"/>
      <c r="D13" s="32" t="str">
        <f>IF(Weather_Input!I6=""," ",Weather_Input!I6)</f>
        <v xml:space="preserve">   MOSTLY  CLOUDY  WITH  SHOWERS  AND  T-STORMS  LIKELY.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37143</v>
      </c>
      <c r="C15" s="15"/>
      <c r="D15" s="22" t="s">
        <v>274</v>
      </c>
      <c r="E15" s="23">
        <f>Weather_Input!B7</f>
        <v>68</v>
      </c>
      <c r="F15" s="24" t="s">
        <v>275</v>
      </c>
      <c r="G15" s="25">
        <f>IF(E17&lt;65,65-(Weather_Input!B7+Weather_Input!C7)/2,0)</f>
        <v>3.5</v>
      </c>
      <c r="H15" s="26" t="s">
        <v>276</v>
      </c>
      <c r="I15" s="27">
        <f ca="1">G15-(VLOOKUP(B15,DD_Normal_Data,CELL("Col",B16),FALSE))</f>
        <v>1.5</v>
      </c>
    </row>
    <row r="16" spans="1:109" ht="15">
      <c r="A16" s="18"/>
      <c r="B16" s="20"/>
      <c r="C16" s="15"/>
      <c r="D16" s="22" t="s">
        <v>161</v>
      </c>
      <c r="E16" s="23">
        <f>Weather_Input!C7</f>
        <v>55</v>
      </c>
      <c r="F16" s="24" t="s">
        <v>277</v>
      </c>
      <c r="G16" s="25">
        <f>IF(DAY(B15)=1,G15,G11+G15)</f>
        <v>9.5</v>
      </c>
      <c r="H16" s="30" t="s">
        <v>278</v>
      </c>
      <c r="I16" s="27">
        <f ca="1">G16-(VLOOKUP(B15,DD_Normal_Data,CELL("Col",C17),FALSE))</f>
        <v>-2.5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61.5</v>
      </c>
      <c r="F17" s="24" t="s">
        <v>280</v>
      </c>
      <c r="G17" s="25">
        <f>IF(AND(DAY(B15)=1,MONTH(B15)=8),G15,G12+G15)</f>
        <v>9.5</v>
      </c>
      <c r="H17" s="26" t="s">
        <v>280</v>
      </c>
      <c r="I17" s="27">
        <f ca="1">G17-(VLOOKUP(B15,DD_Normal_Data,CELL("Col",D14),FALSE))</f>
        <v>-10.5</v>
      </c>
    </row>
    <row r="18" spans="1:109" ht="15">
      <c r="A18" s="18"/>
      <c r="B18" s="20"/>
      <c r="C18" s="15"/>
      <c r="D18" s="32" t="str">
        <f>IF(Weather_Input!I7=""," ",Weather_Input!I7)</f>
        <v xml:space="preserve">   PARTLY   CLOUDY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37144</v>
      </c>
      <c r="C20" s="15"/>
      <c r="D20" s="22" t="s">
        <v>274</v>
      </c>
      <c r="E20" s="23">
        <f>Weather_Input!B8</f>
        <v>69</v>
      </c>
      <c r="F20" s="24" t="s">
        <v>275</v>
      </c>
      <c r="G20" s="25">
        <f>IF(E22&lt;65,65-(Weather_Input!B8+Weather_Input!C8)/2,0)</f>
        <v>6</v>
      </c>
      <c r="H20" s="26" t="s">
        <v>276</v>
      </c>
      <c r="I20" s="27">
        <f ca="1">G20-(VLOOKUP(B20,DD_Normal_Data,CELL("Col",B21),FALSE))</f>
        <v>3</v>
      </c>
    </row>
    <row r="21" spans="1:109" ht="15">
      <c r="A21" s="18"/>
      <c r="B21" s="21"/>
      <c r="C21" s="15"/>
      <c r="D21" s="22" t="s">
        <v>161</v>
      </c>
      <c r="E21" s="23">
        <f>Weather_Input!C8</f>
        <v>49</v>
      </c>
      <c r="F21" s="24" t="s">
        <v>277</v>
      </c>
      <c r="G21" s="25">
        <f>IF(DAY(B20)=1,G20,G16+G20)</f>
        <v>15.5</v>
      </c>
      <c r="H21" s="30" t="s">
        <v>278</v>
      </c>
      <c r="I21" s="27">
        <f ca="1">G21-(VLOOKUP(B20,DD_Normal_Data,CELL("Col",C22),FALSE))</f>
        <v>0.5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59</v>
      </c>
      <c r="F22" s="24" t="s">
        <v>280</v>
      </c>
      <c r="G22" s="25">
        <f>IF(AND(DAY(B20)=1,MONTH(B20)=8),G20,G17+G20)</f>
        <v>15.5</v>
      </c>
      <c r="H22" s="26" t="s">
        <v>280</v>
      </c>
      <c r="I22" s="27">
        <f ca="1">G22-(VLOOKUP(B20,DD_Normal_Data,CELL("Col",D19),FALSE))</f>
        <v>-7.5</v>
      </c>
    </row>
    <row r="23" spans="1:109" ht="15">
      <c r="A23" s="18"/>
      <c r="B23" s="21"/>
      <c r="C23" s="15"/>
      <c r="D23" s="32" t="str">
        <f>IF(Weather_Input!I8=""," ",Weather_Input!I8)</f>
        <v xml:space="preserve">   PARTLY   CLOUDY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37145</v>
      </c>
      <c r="C25" s="15"/>
      <c r="D25" s="22" t="s">
        <v>274</v>
      </c>
      <c r="E25" s="23">
        <f>Weather_Input!B9</f>
        <v>73</v>
      </c>
      <c r="F25" s="24" t="s">
        <v>275</v>
      </c>
      <c r="G25" s="25">
        <f>IF(E27&lt;65,65-(Weather_Input!B9+Weather_Input!C9)/2,0)</f>
        <v>2.5</v>
      </c>
      <c r="H25" s="26" t="s">
        <v>276</v>
      </c>
      <c r="I25" s="27">
        <f ca="1">G25-(VLOOKUP(B25,DD_Normal_Data,CELL("Col",B26),FALSE))</f>
        <v>-0.5</v>
      </c>
    </row>
    <row r="26" spans="1:109" ht="15">
      <c r="A26" s="18"/>
      <c r="B26" s="21"/>
      <c r="C26" s="15"/>
      <c r="D26" s="22" t="s">
        <v>161</v>
      </c>
      <c r="E26" s="23">
        <f>Weather_Input!C9</f>
        <v>52</v>
      </c>
      <c r="F26" s="24" t="s">
        <v>277</v>
      </c>
      <c r="G26" s="25">
        <f>IF(DAY(B25)=1,G25,G21+G25)</f>
        <v>18</v>
      </c>
      <c r="H26" s="30" t="s">
        <v>278</v>
      </c>
      <c r="I26" s="27">
        <f ca="1">G26-(VLOOKUP(B25,DD_Normal_Data,CELL("Col",C27),FALSE))</f>
        <v>0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62.5</v>
      </c>
      <c r="F27" s="24" t="s">
        <v>280</v>
      </c>
      <c r="G27" s="25">
        <f>IF(AND(DAY(B25)=1,MONTH(B25)=8),G25,G22+G25)</f>
        <v>18</v>
      </c>
      <c r="H27" s="26" t="s">
        <v>280</v>
      </c>
      <c r="I27" s="27">
        <f ca="1">G27-(VLOOKUP(B25,DD_Normal_Data,CELL("Col",D24),FALSE))</f>
        <v>-8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37146</v>
      </c>
      <c r="C30" s="15"/>
      <c r="D30" s="22" t="s">
        <v>274</v>
      </c>
      <c r="E30" s="23">
        <f>Weather_Input!B10</f>
        <v>73</v>
      </c>
      <c r="F30" s="24" t="s">
        <v>275</v>
      </c>
      <c r="G30" s="25">
        <f>IF(E32&lt;65,65-(Weather_Input!B10+Weather_Input!C10)/2,0)</f>
        <v>2.5</v>
      </c>
      <c r="H30" s="26" t="s">
        <v>276</v>
      </c>
      <c r="I30" s="27">
        <f ca="1">G30-(VLOOKUP(B30,DD_Normal_Data,CELL("Col",B31),FALSE))</f>
        <v>-0.5</v>
      </c>
    </row>
    <row r="31" spans="1:109" ht="15">
      <c r="A31" s="15"/>
      <c r="B31" s="15"/>
      <c r="C31" s="15"/>
      <c r="D31" s="22" t="s">
        <v>161</v>
      </c>
      <c r="E31" s="23">
        <f>Weather_Input!C10</f>
        <v>52</v>
      </c>
      <c r="F31" s="24" t="s">
        <v>277</v>
      </c>
      <c r="G31" s="25">
        <f>IF(DAY(B30)=1,G30,G26+G30)</f>
        <v>20.5</v>
      </c>
      <c r="H31" s="30" t="s">
        <v>278</v>
      </c>
      <c r="I31" s="27">
        <f ca="1">G31-(VLOOKUP(B30,DD_Normal_Data,CELL("Col",C32),FALSE))</f>
        <v>-0.5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62.5</v>
      </c>
      <c r="F32" s="24" t="s">
        <v>280</v>
      </c>
      <c r="G32" s="25">
        <f>IF(AND(DAY(B30)=1,MONTH(B30)=8),G30,G27+G30)</f>
        <v>20.5</v>
      </c>
      <c r="H32" s="26" t="s">
        <v>280</v>
      </c>
      <c r="I32" s="27">
        <f ca="1">G32-(VLOOKUP(B30,DD_Normal_Data,CELL("Col",D29),FALSE))</f>
        <v>-8.5</v>
      </c>
    </row>
    <row r="33" spans="1:9" ht="15">
      <c r="A33" s="15"/>
      <c r="B33" s="34"/>
      <c r="C33" s="15"/>
      <c r="D33" s="32" t="str">
        <f>IF(Weather_Input!I10=""," ",Weather_Input!I10)</f>
        <v xml:space="preserve">   PARTLY   CLOUDY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37141</v>
      </c>
      <c r="C36" s="89">
        <f>B10</f>
        <v>37142</v>
      </c>
      <c r="D36" s="89">
        <f>B15</f>
        <v>37143</v>
      </c>
      <c r="E36" s="89">
        <f xml:space="preserve">       B20</f>
        <v>37144</v>
      </c>
      <c r="F36" s="89">
        <f>B25</f>
        <v>37145</v>
      </c>
      <c r="G36" s="89">
        <f>B30</f>
        <v>37146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188</v>
      </c>
      <c r="C37" s="41">
        <f ca="1">(VLOOKUP(C36,PGL_Sendouts,(CELL("COL",PGL_Deliveries!C7))))/1000</f>
        <v>170</v>
      </c>
      <c r="D37" s="41">
        <f ca="1">(VLOOKUP(D36,PGL_Sendouts,(CELL("COL",PGL_Deliveries!C8))))/1000</f>
        <v>185</v>
      </c>
      <c r="E37" s="41">
        <f ca="1">(VLOOKUP(E36,PGL_Sendouts,(CELL("COL",PGL_Deliveries!C9))))/1000</f>
        <v>200</v>
      </c>
      <c r="F37" s="41">
        <f ca="1">(VLOOKUP(F36,PGL_Sendouts,(CELL("COL",PGL_Deliveries!C10))))/1000</f>
        <v>200</v>
      </c>
      <c r="G37" s="41">
        <f ca="1">(VLOOKUP(G36,PGL_Sendouts,(CELL("COL",PGL_Deliveries!C10))))/1000</f>
        <v>200</v>
      </c>
      <c r="H37" s="14"/>
      <c r="I37" s="15"/>
    </row>
    <row r="38" spans="1:9" ht="15">
      <c r="A38" s="15" t="s">
        <v>285</v>
      </c>
      <c r="B38" s="41">
        <f>PGL_6_Day_Report!D25</f>
        <v>445.14</v>
      </c>
      <c r="C38" s="41">
        <f>PGL_6_Day_Report!E25</f>
        <v>335.82500000000005</v>
      </c>
      <c r="D38" s="41">
        <f>PGL_6_Day_Report!F25</f>
        <v>350.82500000000005</v>
      </c>
      <c r="E38" s="41">
        <f>PGL_6_Day_Report!G25</f>
        <v>365.82500000000005</v>
      </c>
      <c r="F38" s="41">
        <f>PGL_6_Day_Report!H25</f>
        <v>370.85300000000007</v>
      </c>
      <c r="G38" s="41">
        <f>PGL_6_Day_Report!I25</f>
        <v>370.85300000000007</v>
      </c>
      <c r="H38" s="14"/>
      <c r="I38" s="15"/>
    </row>
    <row r="39" spans="1:9" ht="15">
      <c r="A39" s="42" t="s">
        <v>103</v>
      </c>
      <c r="B39" s="41">
        <f>SUM(PGL_Supplies!Y7:AD7)/1000</f>
        <v>232.69499999999999</v>
      </c>
      <c r="C39" s="41">
        <f>SUM(PGL_Supplies!Y8:AD8)/1000</f>
        <v>229.083</v>
      </c>
      <c r="D39" s="41">
        <f>SUM(PGL_Supplies!Y9:AD9)/1000</f>
        <v>229.083</v>
      </c>
      <c r="E39" s="41">
        <f>SUM(PGL_Supplies!Y10:AD10)/1000</f>
        <v>229.083</v>
      </c>
      <c r="F39" s="41">
        <f>SUM(PGL_Supplies!Y11:AD11)/1000</f>
        <v>229.083</v>
      </c>
      <c r="G39" s="41">
        <f>SUM(PGL_Supplies!Y12:AD12)/1000</f>
        <v>229.083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10.9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1.0249999999999999</v>
      </c>
      <c r="C41" s="41">
        <f>SUM(PGL_Requirements!Q7:T7)/1000</f>
        <v>1.0249999999999999</v>
      </c>
      <c r="D41" s="41">
        <f>SUM(PGL_Requirements!Q7:T7)/1000</f>
        <v>1.0249999999999999</v>
      </c>
      <c r="E41" s="41">
        <f>SUM(PGL_Requirements!Q7:T7)/1000</f>
        <v>1.0249999999999999</v>
      </c>
      <c r="F41" s="41">
        <f>SUM(PGL_Requirements!Q7:T7)/1000</f>
        <v>1.0249999999999999</v>
      </c>
      <c r="G41" s="41">
        <f>SUM(PGL_Requirements!Q7:T7)/1000</f>
        <v>1.0249999999999999</v>
      </c>
      <c r="H41" s="14"/>
      <c r="I41" s="15"/>
    </row>
    <row r="42" spans="1:9" ht="15">
      <c r="A42" s="15" t="s">
        <v>126</v>
      </c>
      <c r="B42" s="41">
        <f>PGL_Supplies!U7/1000</f>
        <v>124.259</v>
      </c>
      <c r="C42" s="41">
        <f>PGL_Supplies!U8/1000</f>
        <v>124.259</v>
      </c>
      <c r="D42" s="41">
        <f>PGL_Supplies!U9/1000</f>
        <v>124.259</v>
      </c>
      <c r="E42" s="41">
        <f>PGL_Supplies!U10/1000</f>
        <v>124.259</v>
      </c>
      <c r="F42" s="41">
        <f>PGL_Supplies!U11/1000</f>
        <v>124.259</v>
      </c>
      <c r="G42" s="41">
        <f>PGL_Supplies!U12/1000</f>
        <v>124.259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37141</v>
      </c>
      <c r="C44" s="89">
        <f t="shared" si="0"/>
        <v>37142</v>
      </c>
      <c r="D44" s="89">
        <f t="shared" si="0"/>
        <v>37143</v>
      </c>
      <c r="E44" s="89">
        <f t="shared" si="0"/>
        <v>37144</v>
      </c>
      <c r="F44" s="89">
        <f t="shared" si="0"/>
        <v>37145</v>
      </c>
      <c r="G44" s="89">
        <f t="shared" si="0"/>
        <v>37146</v>
      </c>
      <c r="H44" s="14"/>
      <c r="I44" s="15"/>
    </row>
    <row r="45" spans="1:9" ht="15">
      <c r="A45" s="15" t="s">
        <v>54</v>
      </c>
      <c r="B45" s="41">
        <f ca="1">NSG_6_Day_Report!D6</f>
        <v>30.6</v>
      </c>
      <c r="C45" s="41">
        <f ca="1">NSG_6_Day_Report!E6</f>
        <v>29</v>
      </c>
      <c r="D45" s="41">
        <f ca="1">NSG_6_Day_Report!F6</f>
        <v>32</v>
      </c>
      <c r="E45" s="41">
        <f ca="1">NSG_6_Day_Report!G6</f>
        <v>34</v>
      </c>
      <c r="F45" s="41">
        <f ca="1">NSG_6_Day_Report!H6</f>
        <v>34</v>
      </c>
      <c r="G45" s="41">
        <f ca="1">NSG_6_Day_Report!I6</f>
        <v>34</v>
      </c>
      <c r="H45" s="14"/>
      <c r="I45" s="15"/>
    </row>
    <row r="46" spans="1:9" ht="15">
      <c r="A46" s="42" t="s">
        <v>285</v>
      </c>
      <c r="B46" s="41">
        <f ca="1">NSG_6_Day_Report!D11</f>
        <v>44.2</v>
      </c>
      <c r="C46" s="41">
        <f ca="1">NSG_6_Day_Report!E11</f>
        <v>29</v>
      </c>
      <c r="D46" s="41">
        <f ca="1">NSG_6_Day_Report!F11</f>
        <v>32</v>
      </c>
      <c r="E46" s="41">
        <f ca="1">NSG_6_Day_Report!G11</f>
        <v>34</v>
      </c>
      <c r="F46" s="41">
        <f ca="1">NSG_6_Day_Report!H11</f>
        <v>34</v>
      </c>
      <c r="G46" s="41">
        <f ca="1">NSG_6_Day_Report!I11</f>
        <v>34</v>
      </c>
      <c r="H46" s="14"/>
      <c r="I46" s="15"/>
    </row>
    <row r="47" spans="1:9" ht="15">
      <c r="A47" s="42" t="s">
        <v>103</v>
      </c>
      <c r="B47" s="41">
        <f>SUM(NSG_Supplies!O7:Q7)/1000</f>
        <v>42.548999999999999</v>
      </c>
      <c r="C47" s="41">
        <f>SUM(NSG_Supplies!O8:Q8)/1000</f>
        <v>41.749000000000002</v>
      </c>
      <c r="D47" s="41">
        <f>SUM(NSG_Supplies!O9:Q9)/1000</f>
        <v>41.749000000000002</v>
      </c>
      <c r="E47" s="41">
        <f>SUM(NSG_Supplies!O10:Q10)/1000</f>
        <v>41.749000000000002</v>
      </c>
      <c r="F47" s="41">
        <f>SUM(NSG_Supplies!O11:Q11)/1000</f>
        <v>41.749000000000002</v>
      </c>
      <c r="G47" s="41">
        <f>SUM(NSG_Supplies!O12:Q12)/1000</f>
        <v>41.749000000000002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17.692</v>
      </c>
      <c r="C50" s="41">
        <f>NSG_Supplies!R8/1000</f>
        <v>16.891999999999999</v>
      </c>
      <c r="D50" s="41">
        <f>NSG_Supplies!R9/1000</f>
        <v>16.891999999999999</v>
      </c>
      <c r="E50" s="41">
        <f>NSG_Supplies!R10/1000</f>
        <v>16.891999999999999</v>
      </c>
      <c r="F50" s="41">
        <f>NSG_Supplies!R11/1000</f>
        <v>16.891999999999999</v>
      </c>
      <c r="G50" s="41">
        <f>NSG_Supplies!R12/1000</f>
        <v>16.891999999999999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37141</v>
      </c>
      <c r="C52" s="89">
        <f t="shared" si="1"/>
        <v>37142</v>
      </c>
      <c r="D52" s="89">
        <f t="shared" si="1"/>
        <v>37143</v>
      </c>
      <c r="E52" s="89">
        <f t="shared" si="1"/>
        <v>37144</v>
      </c>
      <c r="F52" s="89">
        <f t="shared" si="1"/>
        <v>37145</v>
      </c>
      <c r="G52" s="89">
        <f t="shared" si="1"/>
        <v>37146</v>
      </c>
      <c r="H52" s="14"/>
      <c r="I52" s="15"/>
    </row>
    <row r="53" spans="1:9" ht="15">
      <c r="A53" s="92" t="s">
        <v>289</v>
      </c>
      <c r="B53" s="41">
        <f>PGL_Requirements!O7/1000</f>
        <v>105</v>
      </c>
      <c r="C53" s="41">
        <f>PGL_Requirements!O8/1000</f>
        <v>120</v>
      </c>
      <c r="D53" s="41">
        <f>PGL_Requirements!O9/1000</f>
        <v>120</v>
      </c>
      <c r="E53" s="41">
        <f>PGL_Requirements!O10/1000</f>
        <v>120</v>
      </c>
      <c r="F53" s="41">
        <f>PGL_Requirements!O11/1000</f>
        <v>120</v>
      </c>
      <c r="G53" s="41">
        <f>PGL_Requirements!O12/1000</f>
        <v>120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Saturday</v>
      </c>
      <c r="C4" s="1028" t="str">
        <f>Six_Day_Summary!A15</f>
        <v>Sunday</v>
      </c>
      <c r="D4" s="1028" t="str">
        <f>Six_Day_Summary!A20</f>
        <v>Monday</v>
      </c>
      <c r="E4" s="1028" t="str">
        <f>Six_Day_Summary!A25</f>
        <v>Tuesday</v>
      </c>
      <c r="F4" s="1029" t="str">
        <f>Six_Day_Summary!A30</f>
        <v>Wednesday</v>
      </c>
      <c r="G4" s="98"/>
    </row>
    <row r="5" spans="1:8">
      <c r="A5" s="101" t="s">
        <v>296</v>
      </c>
      <c r="B5" s="1030">
        <f>Weather_Input!A6</f>
        <v>37142</v>
      </c>
      <c r="C5" s="1031">
        <f>Weather_Input!A7</f>
        <v>37143</v>
      </c>
      <c r="D5" s="1031">
        <f>Weather_Input!A8</f>
        <v>37144</v>
      </c>
      <c r="E5" s="1031">
        <f>Weather_Input!A9</f>
        <v>37145</v>
      </c>
      <c r="F5" s="1032">
        <f>Weather_Input!A10</f>
        <v>37146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37.728999999999999</v>
      </c>
      <c r="C6" s="1033">
        <f>PGL_Supplies!AB9/1000+PGL_Supplies!K9/1000-PGL_Requirements!N9/1000+C15-PGL_Requirements!S9/1000</f>
        <v>37.728999999999999</v>
      </c>
      <c r="D6" s="1033">
        <f>PGL_Supplies!AB10/1000+PGL_Supplies!K10/1000-PGL_Requirements!N10/1000+D15-PGL_Requirements!S10/1000</f>
        <v>37.728999999999999</v>
      </c>
      <c r="E6" s="1033">
        <f>PGL_Supplies!AB11/1000+PGL_Supplies!K11/1000-PGL_Requirements!N11/1000+E15-PGL_Requirements!S11/1000</f>
        <v>37.728999999999999</v>
      </c>
      <c r="F6" s="1034">
        <f>PGL_Supplies!AB12/1000+PGL_Supplies!K12/1000-PGL_Requirements!N12/1000+F15-PGL_Requirements!S12/1000</f>
        <v>37.728999999999999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Saturday</v>
      </c>
      <c r="C21" s="1043" t="str">
        <f t="shared" si="0"/>
        <v>Sunday</v>
      </c>
      <c r="D21" s="1043" t="str">
        <f t="shared" si="0"/>
        <v>Monday</v>
      </c>
      <c r="E21" s="1043" t="str">
        <f t="shared" si="0"/>
        <v>Tuesday</v>
      </c>
      <c r="F21" s="1044" t="str">
        <f t="shared" si="0"/>
        <v>Wednesday</v>
      </c>
      <c r="G21" s="98"/>
    </row>
    <row r="22" spans="1:7">
      <c r="A22" s="105" t="s">
        <v>296</v>
      </c>
      <c r="B22" s="1045">
        <f t="shared" si="0"/>
        <v>37142</v>
      </c>
      <c r="C22" s="1045">
        <f t="shared" si="0"/>
        <v>37143</v>
      </c>
      <c r="D22" s="1045">
        <f t="shared" si="0"/>
        <v>37144</v>
      </c>
      <c r="E22" s="1045">
        <f t="shared" si="0"/>
        <v>37145</v>
      </c>
      <c r="F22" s="1046">
        <f t="shared" si="0"/>
        <v>37146</v>
      </c>
      <c r="G22" s="98"/>
    </row>
    <row r="23" spans="1:7">
      <c r="A23" s="98" t="s">
        <v>297</v>
      </c>
      <c r="B23" s="1039">
        <f>NSG_Supplies!Q8/1000+NSG_Supplies!F8/1000-NSG_Requirements!H8/1000</f>
        <v>28.748999999999999</v>
      </c>
      <c r="C23" s="1039">
        <f>NSG_Supplies!Q9/1000+NSG_Supplies!F9/1000-NSG_Requirements!H9/1000</f>
        <v>28.748999999999999</v>
      </c>
      <c r="D23" s="1039">
        <f>NSG_Supplies!Q10/1000+NSG_Supplies!F10/1000-NSG_Requirements!H10/1000</f>
        <v>28.748999999999999</v>
      </c>
      <c r="E23" s="1039">
        <f>NSG_Supplies!Q12/1000+NSG_Supplies!F11/1000-NSG_Requirements!H11/1000</f>
        <v>28.748999999999999</v>
      </c>
      <c r="F23" s="1034">
        <f>NSG_Supplies!Q12/1000+NSG_Supplies!F12/1000-NSG_Requirements!H12/1000</f>
        <v>28.748999999999999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27" t="s">
        <v>763</v>
      </c>
      <c r="C1" s="1228">
        <f>Weather_Input!A6</f>
        <v>37142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15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0</v>
      </c>
      <c r="E4" s="1237"/>
      <c r="F4" s="169" t="s">
        <v>768</v>
      </c>
      <c r="G4" s="60"/>
      <c r="H4" s="151">
        <f>PGL_Requirements!O8/1000</f>
        <v>120</v>
      </c>
      <c r="I4" s="173">
        <f>AVERAGE(H4/1.025)</f>
        <v>117.07317073170732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15</v>
      </c>
      <c r="D5" s="427"/>
      <c r="E5" s="1240">
        <f>AVERAGE(C5/24)</f>
        <v>0.625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5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0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167.90100000000001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89.707999999999998</v>
      </c>
      <c r="D11" s="764"/>
      <c r="E11" s="1248"/>
      <c r="F11" s="1249" t="s">
        <v>778</v>
      </c>
      <c r="G11" s="1250">
        <f>G8+G10</f>
        <v>167.90100000000001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89.707999999999998</v>
      </c>
      <c r="D14" s="427"/>
      <c r="E14" s="1240">
        <f>AVERAGE(C14/24)</f>
        <v>3.7378333333333331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10.425000000000001</v>
      </c>
      <c r="D15" s="60"/>
      <c r="E15" s="158"/>
      <c r="F15" s="1252" t="s">
        <v>785</v>
      </c>
      <c r="G15" s="1250">
        <f>SUM(G11)-G16-G17-H13</f>
        <v>167.90100000000001</v>
      </c>
      <c r="H15" s="427" t="s">
        <v>9</v>
      </c>
      <c r="I15" s="1240">
        <f>AVERAGE(G15/24)</f>
        <v>6.9958750000000007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35.424999999999997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-24.999999999999996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-24.999999999999996</v>
      </c>
      <c r="D20" s="1260" t="s">
        <v>9</v>
      </c>
      <c r="E20" s="1240">
        <f>AVERAGE(C20/24)</f>
        <v>-1.0416666666666665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5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0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10.027999999999999</v>
      </c>
      <c r="H25" s="421"/>
      <c r="I25" s="1262">
        <f>AVERAGE(G25/24)</f>
        <v>0.41783333333333328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37142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295</v>
      </c>
      <c r="H2" s="889"/>
      <c r="I2" s="887" t="s">
        <v>608</v>
      </c>
      <c r="J2" s="909">
        <f>NSG_Supplies!P8/1000</f>
        <v>15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15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3</v>
      </c>
      <c r="H9" s="909">
        <f>NSG_Supplies!Q8/1000+NSG_Supplies!F8/1000-NSG_Requirements!H8/1000</f>
        <v>28.748999999999999</v>
      </c>
      <c r="I9" s="958"/>
      <c r="K9" s="887" t="s">
        <v>610</v>
      </c>
      <c r="L9" s="909">
        <f>NSG_Deliveries!C6/1000</f>
        <v>29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-24.999999999999996</v>
      </c>
      <c r="B11" s="958"/>
      <c r="H11" s="909">
        <f>NSG_Supplies!T8/1000</f>
        <v>0</v>
      </c>
      <c r="K11" s="890" t="s">
        <v>611</v>
      </c>
      <c r="L11" s="915">
        <f>SUM(K4+K17+K19+H11+H9-L9)</f>
        <v>14.748999999999995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89.707999999999998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315</v>
      </c>
      <c r="D18" s="961"/>
      <c r="E18" s="961"/>
      <c r="F18" s="954">
        <v>788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167.90100000000001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5.7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10.027999999999999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170</v>
      </c>
      <c r="L26" s="887" t="s">
        <v>610</v>
      </c>
      <c r="M26" s="909">
        <f>NSG_Deliveries!C6/1000</f>
        <v>29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126.637</v>
      </c>
      <c r="L28" s="890" t="s">
        <v>650</v>
      </c>
      <c r="M28" s="915">
        <f>SUM(J2+K17+K19+H11+H9-M26)</f>
        <v>14.748999999999995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37141</v>
      </c>
      <c r="G29" s="909">
        <f>PGL_Requirements!G7/1000</f>
        <v>115.7</v>
      </c>
      <c r="H29" s="888"/>
      <c r="J29" s="890" t="s">
        <v>614</v>
      </c>
      <c r="K29" s="909">
        <f>PGL_Supplies!AB8/1000+PGL_Supplies!K8/1000-PGL_Requirements!N8/1000</f>
        <v>37.728999999999999</v>
      </c>
    </row>
    <row r="30" spans="1:17" ht="10.5" customHeight="1">
      <c r="A30" s="892"/>
      <c r="B30" s="909"/>
      <c r="C30" s="890"/>
      <c r="D30" s="909"/>
      <c r="F30" s="1006">
        <f>PGL_Requirements!A8</f>
        <v>37142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-5.6340000000000146</v>
      </c>
    </row>
    <row r="32" spans="1:17">
      <c r="A32" s="909">
        <f>PGL_Supplies!G8/1000</f>
        <v>1</v>
      </c>
      <c r="G32" s="909">
        <f>PGL_Requirements!O8/1000</f>
        <v>120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323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246.637</v>
      </c>
      <c r="B40" s="903"/>
      <c r="C40" s="902"/>
      <c r="D40" s="903"/>
      <c r="E40" s="903"/>
      <c r="F40" s="969"/>
      <c r="G40" s="969">
        <f>SUM(G30:G35)</f>
        <v>120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126.637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297.5</v>
      </c>
      <c r="E45" s="974"/>
      <c r="F45" s="975">
        <v>6.7000000000000004E-2</v>
      </c>
      <c r="G45" s="976">
        <f>(C45-D45)*F45</f>
        <v>7.5375000000000005</v>
      </c>
      <c r="H45" s="976">
        <f>(D45-B45)*F45</f>
        <v>3.1825000000000001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319</v>
      </c>
      <c r="E48" s="974"/>
      <c r="F48" s="975">
        <v>0.161</v>
      </c>
      <c r="G48" s="976">
        <f>(C48-D48)*F48</f>
        <v>69.391000000000005</v>
      </c>
      <c r="H48" s="976">
        <f>(D48-B48)*F48</f>
        <v>3.0590000000000002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92.438500000000005</v>
      </c>
      <c r="H49" s="976">
        <f>SUM(H45:H48)</f>
        <v>13.291499999999999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37141</v>
      </c>
      <c r="B5" s="11">
        <v>85</v>
      </c>
      <c r="C5" s="49">
        <v>69</v>
      </c>
      <c r="D5" s="49">
        <v>14</v>
      </c>
      <c r="E5" s="11" t="s">
        <v>824</v>
      </c>
      <c r="F5" s="11">
        <v>6</v>
      </c>
      <c r="G5" s="11">
        <v>6</v>
      </c>
      <c r="H5" s="11">
        <v>0</v>
      </c>
      <c r="I5" s="867" t="s">
        <v>821</v>
      </c>
      <c r="J5" s="867" t="s">
        <v>822</v>
      </c>
      <c r="K5" s="11">
        <v>3</v>
      </c>
      <c r="L5" s="11">
        <v>1</v>
      </c>
      <c r="N5" s="15" t="str">
        <f>I5&amp;" "&amp;I5</f>
        <v xml:space="preserve">   SCATTERED SHOWERS AND T-STORMS  ENDING  EARLY CHANCE  OF P.M.  RAIN.    SCATTERED SHOWERS AND T-STORMS  ENDING  EARLY CHANCE  OF P.M.  RAIN.</v>
      </c>
      <c r="AE5" s="15">
        <v>1</v>
      </c>
      <c r="AH5" s="15" t="s">
        <v>32</v>
      </c>
    </row>
    <row r="6" spans="1:34" ht="16.5" customHeight="1">
      <c r="A6" s="86">
        <f>A5+1</f>
        <v>37142</v>
      </c>
      <c r="B6" s="11">
        <v>80</v>
      </c>
      <c r="C6" s="49">
        <v>59</v>
      </c>
      <c r="D6" s="49">
        <v>12</v>
      </c>
      <c r="E6" s="11" t="s">
        <v>9</v>
      </c>
      <c r="F6" s="11" t="s">
        <v>9</v>
      </c>
      <c r="G6" s="11"/>
      <c r="H6" s="11" t="s">
        <v>9</v>
      </c>
      <c r="I6" s="867" t="s">
        <v>823</v>
      </c>
      <c r="J6" s="867" t="s">
        <v>157</v>
      </c>
      <c r="K6" s="11">
        <v>6</v>
      </c>
      <c r="L6" s="11" t="s">
        <v>558</v>
      </c>
      <c r="N6" s="15" t="str">
        <f>I6&amp;" "&amp;J6</f>
        <v xml:space="preserve">   MOSTLY  CLOUDY  WITH  SHOWERS  AND  T-STORMS  LIKELY.    </v>
      </c>
      <c r="AE6" s="15">
        <v>1</v>
      </c>
      <c r="AH6" s="15" t="s">
        <v>33</v>
      </c>
    </row>
    <row r="7" spans="1:34" ht="16.5" customHeight="1">
      <c r="A7" s="86">
        <f>A6+1</f>
        <v>37143</v>
      </c>
      <c r="B7" s="11">
        <v>68</v>
      </c>
      <c r="C7" s="49">
        <v>55</v>
      </c>
      <c r="D7" s="49">
        <v>12</v>
      </c>
      <c r="E7" s="11" t="s">
        <v>9</v>
      </c>
      <c r="F7" s="11" t="s">
        <v>9</v>
      </c>
      <c r="G7" s="11"/>
      <c r="H7" s="11" t="s">
        <v>9</v>
      </c>
      <c r="I7" s="867" t="s">
        <v>820</v>
      </c>
      <c r="J7" s="867" t="s">
        <v>9</v>
      </c>
      <c r="K7" s="11">
        <v>6</v>
      </c>
      <c r="L7" s="11" t="s">
        <v>20</v>
      </c>
      <c r="N7" s="15" t="str">
        <f>I7&amp;" "&amp;J7</f>
        <v xml:space="preserve">   PARTLY   CLOUDY  </v>
      </c>
    </row>
    <row r="8" spans="1:34" ht="16.5" customHeight="1">
      <c r="A8" s="86">
        <f>A7+1</f>
        <v>37144</v>
      </c>
      <c r="B8" s="11">
        <v>69</v>
      </c>
      <c r="C8" s="49">
        <v>49</v>
      </c>
      <c r="D8" s="49">
        <v>12</v>
      </c>
      <c r="E8" s="11" t="s">
        <v>9</v>
      </c>
      <c r="F8" s="11" t="s">
        <v>9</v>
      </c>
      <c r="G8" s="11"/>
      <c r="H8" s="11" t="s">
        <v>9</v>
      </c>
      <c r="I8" s="867" t="s">
        <v>820</v>
      </c>
      <c r="J8" s="867" t="s">
        <v>9</v>
      </c>
      <c r="K8" s="11">
        <v>3</v>
      </c>
      <c r="L8" s="11"/>
      <c r="N8" s="15" t="str">
        <f>I8&amp;" "&amp;J8</f>
        <v xml:space="preserve">   PARTLY   CLOUDY  </v>
      </c>
    </row>
    <row r="9" spans="1:34" ht="16.5" customHeight="1">
      <c r="A9" s="86">
        <f>A8+1</f>
        <v>37145</v>
      </c>
      <c r="B9" s="11">
        <v>73</v>
      </c>
      <c r="C9" s="49">
        <v>52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67" t="s">
        <v>820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 PARTLY   CLOUDY  </v>
      </c>
    </row>
    <row r="10" spans="1:34" ht="16.5" customHeight="1">
      <c r="A10" s="86">
        <f>A9+1</f>
        <v>37146</v>
      </c>
      <c r="B10" s="11">
        <v>73</v>
      </c>
      <c r="C10" s="49">
        <v>52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67" t="s">
        <v>820</v>
      </c>
      <c r="J10" s="867" t="s">
        <v>9</v>
      </c>
      <c r="K10" s="11">
        <v>3</v>
      </c>
      <c r="L10" s="11" t="s">
        <v>382</v>
      </c>
      <c r="N10" s="15" t="str">
        <f>I10&amp;" "&amp;J10</f>
        <v xml:space="preserve">   PARTLY   CLOUDY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2.524</v>
      </c>
      <c r="C2" s="60"/>
      <c r="D2" s="118" t="s">
        <v>309</v>
      </c>
      <c r="E2" s="417">
        <f>Weather_Input!A5</f>
        <v>37141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0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0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88.563999999999993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0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134.369</v>
      </c>
      <c r="C11" s="63"/>
      <c r="D11" s="115" t="s">
        <v>196</v>
      </c>
      <c r="E11" s="151">
        <f>PGL_Deliveries!R5/1000</f>
        <v>0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0</v>
      </c>
      <c r="C12" s="63"/>
      <c r="D12" s="115" t="s">
        <v>198</v>
      </c>
      <c r="E12" s="151">
        <f>PGL_Deliveries!T5/1000</f>
        <v>1.143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1.381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232.1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</v>
      </c>
      <c r="C15" s="63"/>
      <c r="D15" s="115" t="s">
        <v>204</v>
      </c>
      <c r="E15" s="151">
        <f>PGL_Deliveries!F5/1000</f>
        <v>0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-94.664000000000001</v>
      </c>
      <c r="C16" s="63"/>
      <c r="D16" s="115" t="s">
        <v>205</v>
      </c>
      <c r="E16" s="151">
        <f>PGL_Deliveries!H5/1000</f>
        <v>0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0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26.175000000000001</v>
      </c>
      <c r="C18" s="63" t="s">
        <v>9</v>
      </c>
      <c r="D18" s="115" t="s">
        <v>208</v>
      </c>
      <c r="E18" s="151">
        <f>PGL_Deliveries!L5/1000</f>
        <v>0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115.7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270.84400000000005</v>
      </c>
      <c r="C21" s="1268"/>
      <c r="D21" s="175" t="s">
        <v>530</v>
      </c>
      <c r="E21" s="174">
        <f>SUM(E7:E20)</f>
        <v>2.524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79.546000000000006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5.0999999999999996</v>
      </c>
      <c r="C23" s="63"/>
      <c r="D23" s="115" t="s">
        <v>174</v>
      </c>
      <c r="E23" s="151">
        <f>PGL_Deliveries!AY5/1000+B44</f>
        <v>1.4235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3.9474999999999998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84.646000000000001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0.42499999999999999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0.42499999999999999</v>
      </c>
      <c r="D27" s="242" t="s">
        <v>538</v>
      </c>
      <c r="E27" s="60" t="s">
        <v>9</v>
      </c>
      <c r="F27" s="173">
        <f>PGL_Deliveries!AS5/1000</f>
        <v>6.9850000000000003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10.9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29.105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22.12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</v>
      </c>
      <c r="C36" s="63"/>
      <c r="D36" s="757" t="s">
        <v>546</v>
      </c>
      <c r="E36" s="775"/>
      <c r="F36" s="173">
        <f>PGL_Requirements!J7/1000</f>
        <v>5.7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198.137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94.9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10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0.83599999999999997</v>
      </c>
      <c r="C42" s="63"/>
      <c r="D42" s="72" t="s">
        <v>744</v>
      </c>
      <c r="E42" s="60"/>
      <c r="F42" s="173">
        <f>PGL_Deliveries!BG5/1000</f>
        <v>115.7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5.7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85</v>
      </c>
      <c r="F45" s="1116"/>
    </row>
    <row r="46" spans="1:13" ht="15">
      <c r="A46" s="169" t="s">
        <v>548</v>
      </c>
      <c r="B46" s="151">
        <f>PGL_Deliveries!AY5/1000</f>
        <v>1.4235</v>
      </c>
      <c r="C46" s="63"/>
      <c r="D46" s="169" t="s">
        <v>550</v>
      </c>
      <c r="E46" s="230">
        <f>Weather_Input!C5</f>
        <v>69</v>
      </c>
      <c r="F46" s="158"/>
    </row>
    <row r="47" spans="1:13" ht="15">
      <c r="A47" s="172" t="s">
        <v>655</v>
      </c>
      <c r="B47" s="67"/>
      <c r="C47" s="1202">
        <f>PGL_Requirements!Q7/1000</f>
        <v>0.6</v>
      </c>
      <c r="D47" s="170" t="s">
        <v>551</v>
      </c>
      <c r="E47" s="60" t="str">
        <f>Weather_Input!E5</f>
        <v>N/A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14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1.0129999999999999</v>
      </c>
      <c r="F49" s="158"/>
    </row>
    <row r="50" spans="1:6" ht="15.75" outlineLevel="2" thickBot="1">
      <c r="A50" s="167" t="s">
        <v>555</v>
      </c>
      <c r="B50" s="205">
        <f>PGL_Deliveries!AM5/1000</f>
        <v>0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0</v>
      </c>
      <c r="C3" s="117"/>
      <c r="D3" s="222" t="s">
        <v>309</v>
      </c>
      <c r="E3" s="420">
        <f>Weather_Input!A5</f>
        <v>37141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0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0</v>
      </c>
      <c r="C8" s="158"/>
      <c r="D8" s="785" t="s">
        <v>570</v>
      </c>
      <c r="E8" s="779">
        <f>NSG_Deliveries!F5/1000</f>
        <v>0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10.333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15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27.548999999999999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2.621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30.169999999999998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232.137</v>
      </c>
      <c r="E5" s="1263">
        <f>SUM(PGL_Nine_to_Nine!F24)*2</f>
        <v>115.7</v>
      </c>
      <c r="G5" s="1263">
        <f>SUM(C5-E5)</f>
        <v>116.437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37141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37140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99330</v>
      </c>
      <c r="O6" s="199">
        <v>0</v>
      </c>
      <c r="P6" s="199">
        <v>56282937</v>
      </c>
      <c r="Q6" s="199">
        <v>15045098</v>
      </c>
      <c r="R6" s="199">
        <v>41237839</v>
      </c>
      <c r="S6" s="199">
        <v>0</v>
      </c>
    </row>
    <row r="7" spans="1:19">
      <c r="A7" s="4">
        <f>B1</f>
        <v>37141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84574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56367511</v>
      </c>
      <c r="Q7">
        <f>IF(O7&gt;0,Q6+O7,Q6)</f>
        <v>15045098</v>
      </c>
      <c r="R7">
        <f>IF(P7&gt;Q7,P7-Q7,0)</f>
        <v>41322413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37141</v>
      </c>
      <c r="B5" s="1">
        <f>(Weather_Input!B5+Weather_Input!C5)/2</f>
        <v>77</v>
      </c>
      <c r="C5" s="868">
        <v>188000</v>
      </c>
      <c r="D5" s="869">
        <v>0</v>
      </c>
      <c r="E5" s="869">
        <v>0</v>
      </c>
      <c r="F5" s="869">
        <v>0</v>
      </c>
      <c r="G5" s="869">
        <v>0</v>
      </c>
      <c r="H5" s="869">
        <v>0</v>
      </c>
      <c r="I5" s="869">
        <v>0</v>
      </c>
      <c r="J5" s="869">
        <v>0</v>
      </c>
      <c r="K5" s="869">
        <v>0</v>
      </c>
      <c r="L5" s="869">
        <v>0</v>
      </c>
      <c r="M5" s="869">
        <v>0</v>
      </c>
      <c r="N5" s="869">
        <v>0</v>
      </c>
      <c r="O5" s="869">
        <v>0</v>
      </c>
      <c r="P5" s="869">
        <v>0</v>
      </c>
      <c r="Q5" s="869">
        <v>0</v>
      </c>
      <c r="R5" s="869">
        <v>0</v>
      </c>
      <c r="S5" s="869">
        <v>1381</v>
      </c>
      <c r="T5" s="874">
        <v>1143</v>
      </c>
      <c r="U5" s="1047">
        <v>0</v>
      </c>
      <c r="V5" s="868">
        <f>SUM(D5:T5)-U5</f>
        <v>2524</v>
      </c>
      <c r="W5" s="868">
        <v>88564</v>
      </c>
      <c r="X5" s="11">
        <v>0</v>
      </c>
      <c r="Y5" s="11">
        <v>134369</v>
      </c>
      <c r="Z5" s="11">
        <v>0</v>
      </c>
      <c r="AA5" s="11">
        <v>107500</v>
      </c>
      <c r="AB5" s="11">
        <v>124600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">
        <v>1013</v>
      </c>
      <c r="AP5" s="1"/>
      <c r="AQ5" s="1">
        <v>0</v>
      </c>
      <c r="AR5" s="1">
        <v>26175</v>
      </c>
      <c r="AS5" s="1">
        <v>6985</v>
      </c>
      <c r="AT5" s="1">
        <v>0</v>
      </c>
      <c r="AU5" s="1">
        <v>0</v>
      </c>
      <c r="AV5" s="1">
        <v>836</v>
      </c>
      <c r="AW5" s="1">
        <v>94900</v>
      </c>
      <c r="AX5" s="1">
        <v>600</v>
      </c>
      <c r="AY5" s="610">
        <f>AW5*0.015</f>
        <v>1423.5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/>
      <c r="BG5" s="1">
        <v>115700</v>
      </c>
      <c r="BH5" s="1">
        <v>5700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37142</v>
      </c>
      <c r="B6" s="886">
        <f>(Weather_Input!B6+Weather_Input!C6)/2</f>
        <v>69.5</v>
      </c>
      <c r="C6" s="868">
        <v>170000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37143</v>
      </c>
      <c r="B7" s="886">
        <f>(Weather_Input!B7+Weather_Input!C7)/2</f>
        <v>61.5</v>
      </c>
      <c r="C7" s="868">
        <v>185000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37144</v>
      </c>
      <c r="B8" s="886">
        <f>(Weather_Input!B8+Weather_Input!C8)/2</f>
        <v>59</v>
      </c>
      <c r="C8" s="868">
        <v>200000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37145</v>
      </c>
      <c r="B9" s="886">
        <f>(Weather_Input!B9+Weather_Input!C9)/2</f>
        <v>62.5</v>
      </c>
      <c r="C9" s="868">
        <v>200000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37146</v>
      </c>
      <c r="B10" s="886">
        <f>(Weather_Input!B10+Weather_Input!C10)/2</f>
        <v>62.5</v>
      </c>
      <c r="C10" s="868">
        <v>200000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37141</v>
      </c>
      <c r="B5" s="1">
        <f>(Weather_Input!B5+Weather_Input!C5)/2</f>
        <v>77</v>
      </c>
      <c r="C5" s="868">
        <v>30600</v>
      </c>
      <c r="D5" s="868">
        <v>0</v>
      </c>
      <c r="E5" s="868">
        <v>0</v>
      </c>
      <c r="F5" s="868">
        <v>0</v>
      </c>
      <c r="G5" s="868">
        <v>0</v>
      </c>
      <c r="H5" s="876">
        <f>SUM(D5:G5)</f>
        <v>0</v>
      </c>
      <c r="I5" s="1">
        <v>1001</v>
      </c>
      <c r="J5" s="1" t="s">
        <v>9</v>
      </c>
      <c r="K5" s="1">
        <v>0</v>
      </c>
      <c r="L5" s="1">
        <v>2621</v>
      </c>
      <c r="M5" s="1">
        <v>10333</v>
      </c>
      <c r="N5" s="1">
        <v>0</v>
      </c>
    </row>
    <row r="6" spans="1:14">
      <c r="A6" s="12">
        <f>A5+1</f>
        <v>37142</v>
      </c>
      <c r="B6" s="886">
        <f>(Weather_Input!B6+Weather_Input!C6)/2</f>
        <v>69.5</v>
      </c>
      <c r="C6" s="868">
        <v>29000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37143</v>
      </c>
      <c r="B7" s="886">
        <f>(Weather_Input!B7+Weather_Input!C7)/2</f>
        <v>61.5</v>
      </c>
      <c r="C7" s="868">
        <v>32000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37144</v>
      </c>
      <c r="B8" s="886">
        <f>(Weather_Input!B8+Weather_Input!C8)/2</f>
        <v>59</v>
      </c>
      <c r="C8" s="868">
        <v>34000</v>
      </c>
      <c r="D8" s="871" t="s">
        <v>9</v>
      </c>
      <c r="E8" s="871"/>
      <c r="F8" s="871"/>
      <c r="G8" s="871"/>
      <c r="H8" s="15"/>
    </row>
    <row r="9" spans="1:14">
      <c r="A9" s="12">
        <f>A8+1</f>
        <v>37145</v>
      </c>
      <c r="B9" s="886">
        <f>(Weather_Input!B9+Weather_Input!C9)/2</f>
        <v>62.5</v>
      </c>
      <c r="C9" s="868">
        <v>34000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37146</v>
      </c>
      <c r="B10" s="886">
        <f>(Weather_Input!B10+Weather_Input!C10)/2</f>
        <v>62.5</v>
      </c>
      <c r="C10" s="868">
        <v>34000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zoomScale="75" workbookViewId="0"/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3" width="9" bestFit="1" customWidth="1"/>
    <col min="34" max="34" width="10.109375" bestFit="1" customWidth="1"/>
  </cols>
  <sheetData>
    <row r="1" spans="1:87">
      <c r="A1" s="10"/>
      <c r="B1" s="5"/>
      <c r="C1" s="5"/>
      <c r="D1" s="5"/>
      <c r="E1" s="5"/>
      <c r="F1" s="5"/>
      <c r="G1" s="5"/>
    </row>
    <row r="2" spans="1:87" s="1" customFormat="1" ht="12.75">
      <c r="A2" s="10"/>
      <c r="B2" s="10"/>
      <c r="C2" s="10"/>
      <c r="D2" s="10"/>
      <c r="E2" s="10"/>
      <c r="F2" s="10"/>
      <c r="G2" s="10"/>
    </row>
    <row r="3" spans="1:87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2.75">
      <c r="A7" s="798">
        <f>Weather_Input!A5</f>
        <v>37141</v>
      </c>
      <c r="B7" s="877">
        <v>0</v>
      </c>
      <c r="C7" s="608">
        <v>300</v>
      </c>
      <c r="D7" s="608">
        <v>0</v>
      </c>
      <c r="E7" s="877">
        <v>800</v>
      </c>
      <c r="F7" s="877">
        <v>79450</v>
      </c>
      <c r="G7" s="879">
        <v>115700</v>
      </c>
      <c r="H7" s="607">
        <v>0</v>
      </c>
      <c r="I7" s="607">
        <v>0</v>
      </c>
      <c r="J7" s="608">
        <v>5700</v>
      </c>
      <c r="K7" s="607">
        <v>0</v>
      </c>
      <c r="L7" s="608">
        <v>0</v>
      </c>
      <c r="M7" s="608">
        <v>0</v>
      </c>
      <c r="N7" s="609">
        <v>5440</v>
      </c>
      <c r="O7" s="608">
        <v>105000</v>
      </c>
      <c r="P7" s="610">
        <f t="shared" ref="P7:P12" si="0">O7*0.015</f>
        <v>1575</v>
      </c>
      <c r="Q7" s="608">
        <v>600</v>
      </c>
      <c r="R7" s="608">
        <v>0</v>
      </c>
      <c r="S7" s="608">
        <v>0</v>
      </c>
      <c r="T7" s="607">
        <v>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2.75">
      <c r="A8" s="798">
        <f>A7+1</f>
        <v>37142</v>
      </c>
      <c r="B8" s="877">
        <v>0</v>
      </c>
      <c r="C8" s="608">
        <v>0</v>
      </c>
      <c r="D8" s="608">
        <v>0</v>
      </c>
      <c r="E8" s="877">
        <v>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8000</v>
      </c>
      <c r="O8" s="608">
        <v>120000</v>
      </c>
      <c r="P8" s="610">
        <f t="shared" si="0"/>
        <v>1800</v>
      </c>
      <c r="Q8" s="608">
        <v>600</v>
      </c>
      <c r="R8" s="608">
        <v>0</v>
      </c>
      <c r="S8" s="608">
        <v>0</v>
      </c>
      <c r="T8" s="607">
        <v>35425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2.75">
      <c r="A9" s="798">
        <f>A8+1</f>
        <v>37143</v>
      </c>
      <c r="B9" s="877">
        <v>0</v>
      </c>
      <c r="C9" s="608">
        <v>0</v>
      </c>
      <c r="D9" s="608">
        <v>0</v>
      </c>
      <c r="E9" s="877">
        <v>0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8000</v>
      </c>
      <c r="O9" s="608">
        <v>120000</v>
      </c>
      <c r="P9" s="610">
        <f t="shared" si="0"/>
        <v>1800</v>
      </c>
      <c r="Q9" s="608">
        <v>600</v>
      </c>
      <c r="R9" s="608">
        <v>0</v>
      </c>
      <c r="S9" s="608">
        <v>0</v>
      </c>
      <c r="T9" s="607">
        <v>35425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2.75">
      <c r="A10" s="798">
        <f>A9+1</f>
        <v>37144</v>
      </c>
      <c r="B10" s="877">
        <v>0</v>
      </c>
      <c r="C10" s="608">
        <v>0</v>
      </c>
      <c r="D10" s="608">
        <v>0</v>
      </c>
      <c r="E10" s="877">
        <v>0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8000</v>
      </c>
      <c r="O10" s="608">
        <v>120000</v>
      </c>
      <c r="P10" s="610">
        <f t="shared" si="0"/>
        <v>1800</v>
      </c>
      <c r="Q10" s="608">
        <v>600</v>
      </c>
      <c r="R10" s="608">
        <v>0</v>
      </c>
      <c r="S10" s="608">
        <v>0</v>
      </c>
      <c r="T10" s="607">
        <v>35425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2.75">
      <c r="A11" s="798">
        <f>A10+1</f>
        <v>37145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120000</v>
      </c>
      <c r="P11" s="610">
        <f t="shared" si="0"/>
        <v>1800</v>
      </c>
      <c r="Q11" s="608">
        <v>600</v>
      </c>
      <c r="R11" s="608">
        <v>0</v>
      </c>
      <c r="S11" s="608">
        <v>0</v>
      </c>
      <c r="T11" s="607">
        <v>35425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2.75">
      <c r="A12" s="798">
        <f>A11+1</f>
        <v>37146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120000</v>
      </c>
      <c r="P12" s="610">
        <f t="shared" si="0"/>
        <v>1800</v>
      </c>
      <c r="Q12" s="608">
        <v>600</v>
      </c>
      <c r="R12" s="608">
        <v>0</v>
      </c>
      <c r="S12" s="608">
        <v>0</v>
      </c>
      <c r="T12" s="607">
        <v>35425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zoomScale="75" workbookViewId="0"/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37141</v>
      </c>
      <c r="B7" s="610">
        <v>0</v>
      </c>
      <c r="C7" s="610">
        <v>40000</v>
      </c>
      <c r="D7" s="610">
        <v>29000</v>
      </c>
      <c r="E7" s="610">
        <v>0</v>
      </c>
      <c r="F7" s="877">
        <v>39000</v>
      </c>
      <c r="G7" s="608">
        <v>1000</v>
      </c>
      <c r="H7" s="608">
        <v>2900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10900</v>
      </c>
      <c r="Q7" s="880">
        <v>0</v>
      </c>
      <c r="R7" s="1265">
        <v>10000</v>
      </c>
      <c r="S7" s="1266">
        <v>5000</v>
      </c>
      <c r="T7" s="608">
        <v>0</v>
      </c>
      <c r="U7" s="609">
        <v>124259</v>
      </c>
      <c r="V7" s="609">
        <v>0</v>
      </c>
      <c r="W7" s="607">
        <v>5100</v>
      </c>
      <c r="X7" s="880">
        <v>79546</v>
      </c>
      <c r="Y7" s="609">
        <v>425</v>
      </c>
      <c r="Z7" s="1">
        <v>0</v>
      </c>
      <c r="AA7" s="607">
        <v>198137</v>
      </c>
      <c r="AB7" s="607">
        <v>29105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37142</v>
      </c>
      <c r="B8" s="610">
        <v>0</v>
      </c>
      <c r="C8" s="610">
        <v>0</v>
      </c>
      <c r="D8" s="610">
        <v>0</v>
      </c>
      <c r="E8" s="610">
        <v>0</v>
      </c>
      <c r="F8" s="877">
        <v>5000</v>
      </c>
      <c r="G8" s="608">
        <v>1000</v>
      </c>
      <c r="H8" s="608">
        <v>3000</v>
      </c>
      <c r="I8" s="608">
        <v>0</v>
      </c>
      <c r="J8" s="880">
        <v>0</v>
      </c>
      <c r="K8" s="609">
        <v>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0</v>
      </c>
      <c r="S8" s="1266">
        <v>0</v>
      </c>
      <c r="T8" s="608">
        <v>0</v>
      </c>
      <c r="U8" s="609">
        <v>124259</v>
      </c>
      <c r="V8" s="609">
        <v>0</v>
      </c>
      <c r="W8" s="607">
        <v>0</v>
      </c>
      <c r="X8" s="880">
        <v>89708</v>
      </c>
      <c r="Y8" s="609">
        <v>10425</v>
      </c>
      <c r="Z8" s="1">
        <v>0</v>
      </c>
      <c r="AA8" s="607">
        <v>167901</v>
      </c>
      <c r="AB8" s="607">
        <v>45729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37143</v>
      </c>
      <c r="B9" s="610">
        <v>0</v>
      </c>
      <c r="C9" s="610">
        <v>0</v>
      </c>
      <c r="D9" s="610">
        <v>0</v>
      </c>
      <c r="E9" s="610">
        <v>0</v>
      </c>
      <c r="F9" s="877">
        <v>5000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0</v>
      </c>
      <c r="S9" s="1266">
        <v>0</v>
      </c>
      <c r="T9" s="608">
        <v>0</v>
      </c>
      <c r="U9" s="609">
        <v>124259</v>
      </c>
      <c r="V9" s="609">
        <v>0</v>
      </c>
      <c r="W9" s="607">
        <v>0</v>
      </c>
      <c r="X9" s="880">
        <v>89708</v>
      </c>
      <c r="Y9" s="609">
        <v>10425</v>
      </c>
      <c r="Z9" s="1">
        <v>0</v>
      </c>
      <c r="AA9" s="607">
        <v>167901</v>
      </c>
      <c r="AB9" s="607">
        <v>45729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f>A9+1</f>
        <v>37144</v>
      </c>
      <c r="B10" s="610">
        <v>0</v>
      </c>
      <c r="C10" s="610">
        <v>0</v>
      </c>
      <c r="D10" s="610">
        <v>0</v>
      </c>
      <c r="E10" s="610">
        <v>0</v>
      </c>
      <c r="F10" s="877">
        <v>19000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0</v>
      </c>
      <c r="S10" s="1266">
        <v>0</v>
      </c>
      <c r="T10" s="608">
        <v>0</v>
      </c>
      <c r="U10" s="609">
        <v>124259</v>
      </c>
      <c r="V10" s="609">
        <v>0</v>
      </c>
      <c r="W10" s="607">
        <v>0</v>
      </c>
      <c r="X10" s="880">
        <v>89708</v>
      </c>
      <c r="Y10" s="609">
        <v>10425</v>
      </c>
      <c r="Z10" s="1">
        <v>0</v>
      </c>
      <c r="AA10" s="607">
        <v>167901</v>
      </c>
      <c r="AB10" s="607">
        <v>45729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37145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0</v>
      </c>
      <c r="S11" s="1266">
        <v>0</v>
      </c>
      <c r="T11" s="608">
        <v>0</v>
      </c>
      <c r="U11" s="609">
        <v>124259</v>
      </c>
      <c r="V11" s="609">
        <v>0</v>
      </c>
      <c r="W11" s="607">
        <v>0</v>
      </c>
      <c r="X11" s="880">
        <v>89708</v>
      </c>
      <c r="Y11" s="609">
        <v>10425</v>
      </c>
      <c r="Z11" s="1">
        <v>0</v>
      </c>
      <c r="AA11" s="607">
        <v>167901</v>
      </c>
      <c r="AB11" s="607">
        <v>45729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37146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124259</v>
      </c>
      <c r="V12" s="609">
        <v>0</v>
      </c>
      <c r="W12" s="607">
        <v>0</v>
      </c>
      <c r="X12" s="880">
        <v>89708</v>
      </c>
      <c r="Y12" s="609">
        <v>10425</v>
      </c>
      <c r="Z12" s="1">
        <v>0</v>
      </c>
      <c r="AA12" s="607">
        <v>167901</v>
      </c>
      <c r="AB12" s="607">
        <v>45729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37141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13600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37141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37142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37142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37143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37143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37144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37144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37145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37145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37146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37146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/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37141</v>
      </c>
      <c r="B7" s="610">
        <v>0</v>
      </c>
      <c r="C7" s="611">
        <v>0</v>
      </c>
      <c r="D7" s="610">
        <v>0</v>
      </c>
      <c r="E7" s="610">
        <v>0</v>
      </c>
      <c r="F7" s="610">
        <v>1650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15000</v>
      </c>
      <c r="Q7" s="610">
        <v>27549</v>
      </c>
      <c r="R7" s="610">
        <v>17692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37142</v>
      </c>
      <c r="B8" s="610">
        <v>0</v>
      </c>
      <c r="C8" s="611">
        <v>0</v>
      </c>
      <c r="D8" s="610">
        <v>0</v>
      </c>
      <c r="E8" s="610">
        <v>0</v>
      </c>
      <c r="F8" s="610">
        <v>2000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15000</v>
      </c>
      <c r="Q8" s="610">
        <v>26749</v>
      </c>
      <c r="R8" s="610">
        <v>16892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37143</v>
      </c>
      <c r="B9" s="610">
        <v>0</v>
      </c>
      <c r="C9" s="611">
        <v>0</v>
      </c>
      <c r="D9" s="610">
        <v>0</v>
      </c>
      <c r="E9" s="610">
        <v>0</v>
      </c>
      <c r="F9" s="610">
        <v>2000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15000</v>
      </c>
      <c r="Q9" s="610">
        <v>26749</v>
      </c>
      <c r="R9" s="610">
        <v>16892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37144</v>
      </c>
      <c r="B10" s="610">
        <v>0</v>
      </c>
      <c r="C10" s="611">
        <v>0</v>
      </c>
      <c r="D10" s="610">
        <v>0</v>
      </c>
      <c r="E10" s="610">
        <v>0</v>
      </c>
      <c r="F10" s="610">
        <v>2000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15000</v>
      </c>
      <c r="Q10" s="610">
        <v>26749</v>
      </c>
      <c r="R10" s="610">
        <v>16892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37145</v>
      </c>
      <c r="B11" s="610">
        <v>0</v>
      </c>
      <c r="C11" s="611">
        <v>0</v>
      </c>
      <c r="D11" s="610">
        <v>0</v>
      </c>
      <c r="E11" s="610">
        <v>0</v>
      </c>
      <c r="F11" s="610">
        <v>2000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15000</v>
      </c>
      <c r="Q11" s="610">
        <v>26749</v>
      </c>
      <c r="R11" s="610">
        <v>16892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37146</v>
      </c>
      <c r="B12" s="610">
        <v>0</v>
      </c>
      <c r="C12" s="611">
        <v>0</v>
      </c>
      <c r="D12" s="610">
        <v>0</v>
      </c>
      <c r="E12" s="610">
        <v>0</v>
      </c>
      <c r="F12" s="610">
        <v>2000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15000</v>
      </c>
      <c r="Q12" s="610">
        <v>26749</v>
      </c>
      <c r="R12" s="610">
        <v>16892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FRI</v>
      </c>
      <c r="I1" s="803">
        <f>D4</f>
        <v>37141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FRI</v>
      </c>
      <c r="E3" s="808" t="str">
        <f t="shared" si="0"/>
        <v>SAT</v>
      </c>
      <c r="F3" s="808" t="str">
        <f t="shared" si="0"/>
        <v>SUN</v>
      </c>
      <c r="G3" s="808" t="str">
        <f t="shared" si="0"/>
        <v>MON</v>
      </c>
      <c r="H3" s="808" t="str">
        <f t="shared" si="0"/>
        <v>TUE</v>
      </c>
      <c r="I3" s="809" t="str">
        <f t="shared" si="0"/>
        <v>WED</v>
      </c>
    </row>
    <row r="4" spans="1:256" ht="18.95" customHeight="1" thickBot="1">
      <c r="A4" s="810"/>
      <c r="B4" s="811"/>
      <c r="C4" s="811"/>
      <c r="D4" s="449">
        <f>Weather_Input!A5</f>
        <v>37141</v>
      </c>
      <c r="E4" s="449">
        <f>Weather_Input!A6</f>
        <v>37142</v>
      </c>
      <c r="F4" s="449">
        <f>Weather_Input!A7</f>
        <v>37143</v>
      </c>
      <c r="G4" s="449">
        <f>Weather_Input!A8</f>
        <v>37144</v>
      </c>
      <c r="H4" s="449">
        <f>Weather_Input!A9</f>
        <v>37145</v>
      </c>
      <c r="I4" s="450">
        <f>Weather_Input!A10</f>
        <v>37146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85/69/77</v>
      </c>
      <c r="E5" s="451" t="str">
        <f>TEXT(Weather_Input!B6,"0")&amp;"/"&amp;TEXT(Weather_Input!C6,"0") &amp; "/" &amp; TEXT((Weather_Input!B6+Weather_Input!C6)/2,"0")</f>
        <v>80/59/70</v>
      </c>
      <c r="F5" s="451" t="str">
        <f>TEXT(Weather_Input!B7,"0")&amp;"/"&amp;TEXT(Weather_Input!C7,"0") &amp; "/" &amp; TEXT((Weather_Input!B7+Weather_Input!C7)/2,"0")</f>
        <v>68/55/62</v>
      </c>
      <c r="G5" s="451" t="str">
        <f>TEXT(Weather_Input!B8,"0")&amp;"/"&amp;TEXT(Weather_Input!C8,"0") &amp; "/" &amp; TEXT((Weather_Input!B8+Weather_Input!C8)/2,"0")</f>
        <v>69/49/59</v>
      </c>
      <c r="H5" s="451" t="str">
        <f>TEXT(Weather_Input!B9,"0")&amp;"/"&amp;TEXT(Weather_Input!C9,"0") &amp; "/" &amp; TEXT((Weather_Input!B9+Weather_Input!C9)/2,"0")</f>
        <v>73/52/63</v>
      </c>
      <c r="I5" s="452" t="str">
        <f>TEXT(Weather_Input!B10,"0")&amp;"/"&amp;TEXT(Weather_Input!C10,"0") &amp; "/" &amp; TEXT((Weather_Input!B10+Weather_Input!C10)/2,"0")</f>
        <v>73/52/63</v>
      </c>
    </row>
    <row r="6" spans="1:256" ht="18.95" customHeight="1">
      <c r="A6" s="817" t="s">
        <v>133</v>
      </c>
      <c r="B6" s="805"/>
      <c r="C6" s="805"/>
      <c r="D6" s="451">
        <f>PGL_Deliveries!C5/1000</f>
        <v>188</v>
      </c>
      <c r="E6" s="451">
        <f>PGL_Deliveries!C6/1000</f>
        <v>170</v>
      </c>
      <c r="F6" s="451">
        <f>PGL_Deliveries!C7/1000</f>
        <v>185</v>
      </c>
      <c r="G6" s="451">
        <f>PGL_Deliveries!C8/1000</f>
        <v>200</v>
      </c>
      <c r="H6" s="451">
        <f>PGL_Deliveries!C9/1000</f>
        <v>200</v>
      </c>
      <c r="I6" s="452">
        <f>PGL_Deliveries!C10/1000</f>
        <v>200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57.85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5.7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105</v>
      </c>
      <c r="E11" s="451">
        <f>PGL_Requirements!O8/1000</f>
        <v>120</v>
      </c>
      <c r="F11" s="451">
        <f>PGL_Requirements!O9/1000</f>
        <v>120</v>
      </c>
      <c r="G11" s="451">
        <f>PGL_Requirements!O10/1000</f>
        <v>120</v>
      </c>
      <c r="H11" s="451">
        <f>PGL_Requirements!O11/1000</f>
        <v>120</v>
      </c>
      <c r="I11" s="452">
        <f>PGL_Requirements!O12/1000</f>
        <v>120</v>
      </c>
    </row>
    <row r="12" spans="1:256" ht="18.95" customHeight="1">
      <c r="A12" s="814"/>
      <c r="B12" s="805"/>
      <c r="C12" s="805" t="s">
        <v>96</v>
      </c>
      <c r="D12" s="451">
        <f>PGL_Requirements!P7/1000</f>
        <v>1.575</v>
      </c>
      <c r="E12" s="451">
        <f>PGL_Requirements!P8/1000</f>
        <v>1.8</v>
      </c>
      <c r="F12" s="451">
        <f>PGL_Requirements!P9/1000</f>
        <v>1.8</v>
      </c>
      <c r="G12" s="451">
        <f>PGL_Requirements!P10/1000</f>
        <v>1.8</v>
      </c>
      <c r="H12" s="451">
        <f>PGL_Requirements!P11/1000</f>
        <v>1.8</v>
      </c>
      <c r="I12" s="452">
        <f>PGL_Requirements!P12/1000</f>
        <v>1.8</v>
      </c>
    </row>
    <row r="13" spans="1:256" ht="18.95" customHeight="1">
      <c r="A13" s="814"/>
      <c r="C13" s="805" t="s">
        <v>651</v>
      </c>
      <c r="D13" s="451">
        <f>PGL_Requirements!Q7/1000</f>
        <v>0.6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0.42499999999999999</v>
      </c>
      <c r="E15" s="451">
        <f>PGL_Requirements!T8/1000</f>
        <v>35.424999999999997</v>
      </c>
      <c r="F15" s="451">
        <f>PGL_Requirements!T9/1000</f>
        <v>35.424999999999997</v>
      </c>
      <c r="G15" s="451">
        <f>PGL_Requirements!T10/1000</f>
        <v>35.424999999999997</v>
      </c>
      <c r="H15" s="451">
        <f>PGL_Requirements!T11/1000</f>
        <v>35.424999999999997</v>
      </c>
      <c r="I15" s="452">
        <f>PGL_Requirements!T12/1000</f>
        <v>35.424999999999997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5.44</v>
      </c>
      <c r="E17" s="451">
        <f>PGL_Requirements!N8/1000</f>
        <v>8</v>
      </c>
      <c r="F17" s="451">
        <f>PGL_Requirements!N9/1000</f>
        <v>8</v>
      </c>
      <c r="G17" s="451">
        <f>PGL_Requirements!N10/1000</f>
        <v>8</v>
      </c>
      <c r="H17" s="451">
        <f>PGL_Requirements!N11/1000</f>
        <v>8</v>
      </c>
      <c r="I17" s="452">
        <f>PGL_Requirements!N12/1000</f>
        <v>8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79.45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0.3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0.8</v>
      </c>
      <c r="E24" s="453">
        <f>PGL_Requirements!E8/1000</f>
        <v>0</v>
      </c>
      <c r="F24" s="453">
        <f>PGL_Requirements!E9/1000</f>
        <v>0</v>
      </c>
      <c r="G24" s="453">
        <f>PGL_Requirements!E10/1000</f>
        <v>0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445.14</v>
      </c>
      <c r="E25" s="455">
        <f t="shared" si="1"/>
        <v>335.82500000000005</v>
      </c>
      <c r="F25" s="455">
        <f t="shared" si="1"/>
        <v>350.82500000000005</v>
      </c>
      <c r="G25" s="455">
        <f t="shared" si="1"/>
        <v>365.82500000000005</v>
      </c>
      <c r="H25" s="455">
        <f t="shared" si="1"/>
        <v>370.85300000000007</v>
      </c>
      <c r="I25" s="1060">
        <f t="shared" si="1"/>
        <v>370.85300000000007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1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10.9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0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5</v>
      </c>
      <c r="E36" s="451">
        <f>PGL_Supplies!S8/1000</f>
        <v>0</v>
      </c>
      <c r="F36" s="451">
        <f>PGL_Supplies!S9/1000</f>
        <v>0</v>
      </c>
      <c r="G36" s="451">
        <f>PGL_Supplies!S10/1000</f>
        <v>0</v>
      </c>
      <c r="H36" s="451">
        <f>PGL_Supplies!S11/1000</f>
        <v>0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79.546000000000006</v>
      </c>
      <c r="E37" s="451">
        <f>PGL_Supplies!X8/1000</f>
        <v>89.707999999999998</v>
      </c>
      <c r="F37" s="451">
        <f>PGL_Supplies!X9/1000</f>
        <v>89.707999999999998</v>
      </c>
      <c r="G37" s="451">
        <f>PGL_Supplies!X10/1000</f>
        <v>89.707999999999998</v>
      </c>
      <c r="H37" s="451">
        <f>PGL_Supplies!X11/1000</f>
        <v>89.707999999999998</v>
      </c>
      <c r="I37" s="452">
        <f>PGL_Supplies!X12/1000</f>
        <v>89.707999999999998</v>
      </c>
    </row>
    <row r="38" spans="1:10" ht="18.95" customHeight="1">
      <c r="A38" s="817"/>
      <c r="B38" s="805" t="s">
        <v>136</v>
      </c>
      <c r="C38" s="818"/>
      <c r="D38" s="451">
        <f>PGL_Supplies!Y7/1000</f>
        <v>0.42499999999999999</v>
      </c>
      <c r="E38" s="451">
        <f>PGL_Supplies!Y8/1000</f>
        <v>10.425000000000001</v>
      </c>
      <c r="F38" s="451">
        <f>PGL_Supplies!Y9/1000</f>
        <v>10.425000000000001</v>
      </c>
      <c r="G38" s="451">
        <f>PGL_Supplies!Y10/1000</f>
        <v>10.425000000000001</v>
      </c>
      <c r="H38" s="451">
        <f>PGL_Supplies!Y11/1000</f>
        <v>10.425000000000001</v>
      </c>
      <c r="I38" s="452">
        <f>PGL_Supplies!Y12/1000</f>
        <v>10.425000000000001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198.137</v>
      </c>
      <c r="E40" s="451">
        <f>PGL_Supplies!AA8/1000</f>
        <v>167.90100000000001</v>
      </c>
      <c r="F40" s="451">
        <f>PGL_Supplies!AA9/1000</f>
        <v>167.90100000000001</v>
      </c>
      <c r="G40" s="451">
        <f>PGL_Supplies!AA10/1000</f>
        <v>167.90100000000001</v>
      </c>
      <c r="H40" s="451">
        <f>PGL_Supplies!AA11/1000</f>
        <v>167.90100000000001</v>
      </c>
      <c r="I40" s="452">
        <f>PGL_Supplies!AA12/1000</f>
        <v>167.90100000000001</v>
      </c>
    </row>
    <row r="41" spans="1:10" ht="18.95" customHeight="1">
      <c r="A41" s="817"/>
      <c r="B41" s="805" t="s">
        <v>134</v>
      </c>
      <c r="C41" s="805"/>
      <c r="D41" s="451">
        <f>PGL_Supplies!AB7/1000</f>
        <v>29.105</v>
      </c>
      <c r="E41" s="451">
        <f>PGL_Supplies!AB8/1000</f>
        <v>45.728999999999999</v>
      </c>
      <c r="F41" s="451">
        <f>PGL_Supplies!AB9/1000</f>
        <v>45.728999999999999</v>
      </c>
      <c r="G41" s="451">
        <f>PGL_Supplies!AB10/1000</f>
        <v>45.728999999999999</v>
      </c>
      <c r="H41" s="451">
        <f>PGL_Supplies!AB11/1000</f>
        <v>45.728999999999999</v>
      </c>
      <c r="I41" s="452">
        <f>PGL_Supplies!AB12/1000</f>
        <v>45.728999999999999</v>
      </c>
    </row>
    <row r="42" spans="1:10" ht="18.95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95" customHeight="1">
      <c r="A43" s="831"/>
      <c r="B43" s="805" t="s">
        <v>146</v>
      </c>
      <c r="C43" s="805"/>
      <c r="D43" s="451">
        <f>PGL_Supplies!H7/1000</f>
        <v>2.9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0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5.0999999999999996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40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29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39</v>
      </c>
      <c r="E49" s="453">
        <f>PGL_Supplies!F8/1000</f>
        <v>5</v>
      </c>
      <c r="F49" s="453">
        <f>PGL_Supplies!F9/1000</f>
        <v>5</v>
      </c>
      <c r="G49" s="453">
        <f>PGL_Supplies!F10/1000</f>
        <v>19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445.14100000000002</v>
      </c>
      <c r="E50" s="461">
        <f t="shared" si="2"/>
        <v>327.791</v>
      </c>
      <c r="F50" s="461">
        <f t="shared" si="2"/>
        <v>327.791</v>
      </c>
      <c r="G50" s="461">
        <f t="shared" si="2"/>
        <v>341.791</v>
      </c>
      <c r="H50" s="461">
        <f t="shared" si="2"/>
        <v>322.791</v>
      </c>
      <c r="I50" s="1062">
        <f t="shared" si="2"/>
        <v>322.791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1.0000000000331966E-3</v>
      </c>
      <c r="E51" s="462">
        <f t="shared" si="3"/>
        <v>0</v>
      </c>
      <c r="F51" s="462">
        <f t="shared" si="3"/>
        <v>0</v>
      </c>
      <c r="G51" s="462">
        <f t="shared" si="3"/>
        <v>0</v>
      </c>
      <c r="H51" s="462">
        <f t="shared" si="3"/>
        <v>0</v>
      </c>
      <c r="I51" s="1063">
        <f t="shared" si="3"/>
        <v>0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8.0340000000000487</v>
      </c>
      <c r="F52" s="463">
        <f t="shared" si="4"/>
        <v>23.034000000000049</v>
      </c>
      <c r="G52" s="463">
        <f t="shared" si="4"/>
        <v>24.034000000000049</v>
      </c>
      <c r="H52" s="463">
        <f t="shared" si="4"/>
        <v>48.062000000000069</v>
      </c>
      <c r="I52" s="1064">
        <f t="shared" si="4"/>
        <v>48.062000000000069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124.259</v>
      </c>
      <c r="E53" s="1053">
        <f>PGL_Supplies!U8/1000</f>
        <v>124.259</v>
      </c>
      <c r="F53" s="1053">
        <f>PGL_Supplies!U9/1000</f>
        <v>124.259</v>
      </c>
      <c r="G53" s="1053">
        <f>PGL_Supplies!U10/1000</f>
        <v>124.259</v>
      </c>
      <c r="H53" s="1053">
        <f>PGL_Supplies!U11/1000</f>
        <v>124.259</v>
      </c>
      <c r="I53" s="1054">
        <f>PGL_Supplies!U12/1000</f>
        <v>124.259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2001-09-08T09:22:04Z</cp:lastPrinted>
  <dcterms:created xsi:type="dcterms:W3CDTF">1997-07-16T16:14:22Z</dcterms:created>
  <dcterms:modified xsi:type="dcterms:W3CDTF">2023-09-10T17:00:32Z</dcterms:modified>
</cp:coreProperties>
</file>