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09A1AD-17A2-4F97-A4B5-98B0C48D80EA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<sst xmlns="http://schemas.openxmlformats.org/spreadsheetml/2006/main" count="2089" uniqueCount="828">
  <si>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</si>
  <si>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</si>
  <si>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</si>
  <si>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</si>
  <si>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</si>
  <si>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</si>
  <si>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</si>
  <si>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</si>
  <si>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</si>
  <si>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</si>
  <si>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</si>
  <si>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</si>
  <si>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</si>
  <si>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</si>
  <si>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</si>
  <si>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</si>
  <si>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</si>
  <si>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</si>
  <si>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</si>
  <si>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</si>
  <si>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</si>
  <si>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</si>
  <si>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</si>
  <si>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</si>
  <si>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</si>
  <si>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</si>
  <si>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</si>
  <si>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</si>
  <si>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</si>
  <si>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</si>
  <si>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</si>
  <si>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</si>
  <si>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</si>
  <si>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</si>
  <si>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</si>
  <si>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</si>
  <si>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</si>
  <si>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</si>
  <si>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</si>
  <si>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</si>
  <si>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</si>
  <si>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</si>
  <si>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</si>
  <si>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</si>
  <si>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</si>
  <si>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</si>
  <si>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</si>
  <si>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</si>
  <si>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</si>
  <si>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</si>
  <si>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</si>
  <si>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</si>
  <si>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</si>
  <si>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</si>
  <si>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</si>
  <si>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</si>
  <si>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</si>
  <si>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</si>
  <si>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</si>
  <si>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</si>
  <si>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</si>
  <si>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</si>
  <si>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</si>
  <si>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</si>
  <si>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</si>
  <si>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</si>
  <si>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</si>
  <si>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</si>
  <si>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</si>
  <si>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</si>
  <si>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</si>
  <si>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</si>
  <si>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</si>
  <si>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</si>
  <si>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</si>
  <si>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</si>
  <si>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</si>
  <si>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</si>
  <si>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</si>
  <si>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</si>
  <si>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</si>
  <si>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</si>
  <si>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</si>
  <si>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</si>
  <si>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</si>
  <si>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</si>
  <si>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</si>
  <si>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</si>
  <si>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</si>
  <si>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</si>
  <si>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</si>
  <si>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</si>
  <si>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</si>
  <si>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</si>
  <si>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</si>
  <si>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</si>
  <si>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</si>
  <si>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</si>
  <si>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</si>
  <si>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</si>
  <si>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</si>
  <si>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</si>
  <si>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</si>
  <si>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</si>
  <si>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</si>
  <si>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</si>
  <si>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</si>
  <si>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</si>
  <si>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</si>
  <si>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</si>
  <si>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</si>
  <si>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</si>
  <si>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</si>
  <si>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</si>
  <si>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</si>
  <si>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</si>
  <si>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</si>
  <si>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</si>
  <si>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</si>
  <si>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</si>
  <si>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</si>
  <si>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</si>
  <si>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</si>
  <si>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</si>
  <si>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</si>
  <si>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</si>
  <si>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</si>
  <si>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</si>
  <si>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</si>
  <si>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</si>
  <si>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</si>
  <si>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</si>
  <si>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</si>
  <si>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</si>
  <si>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</si>
  <si>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</si>
  <si>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</si>
  <si>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</si>
  <si>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</si>
  <si>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</si>
  <si>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</si>
  <si>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</si>
  <si>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</si>
  <si>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</si>
  <si>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</si>
  <si>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</si>
  <si>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</si>
  <si>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</si>
  <si>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</si>
  <si>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</si>
  <si>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</si>
  <si>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</si>
  <si>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</si>
  <si>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</si>
  <si>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</si>
  <si>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</si>
  <si>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</si>
  <si>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</si>
  <si>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</si>
  <si>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</si>
  <si>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</si>
  <si>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</si>
  <si>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</si>
  <si>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</si>
  <si>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</si>
  <si>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</si>
  <si>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</si>
  <si>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</si>
  <si>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</si>
  <si>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</si>
  <si>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</si>
  <si>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</si>
  <si>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</si>
  <si>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</si>
  <si>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</si>
  <si>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</si>
  <si>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</si>
  <si>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</si>
  <si>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</si>
  <si>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</si>
  <si>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</si>
  <si>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</si>
  <si>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</si>
  <si>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</si>
  <si>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</si>
  <si>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</si>
  <si>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</si>
  <si>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</si>
  <si>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</si>
  <si>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</si>
  <si>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</si>
  <si>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</si>
  <si>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</si>
  <si>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</si>
  <si>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</si>
  <si>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</si>
  <si>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</si>
  <si>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</si>
  <si>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</si>
  <si>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</si>
  <si>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</si>
  <si>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</si>
  <si>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</si>
  <si>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</si>
  <si>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</si>
  <si>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</si>
  <si>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</si>
  <si>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</si>
  <si>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</si>
  <si>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</si>
  <si>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</si>
  <si>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</si>
  <si>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</si>
  <si>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</si>
  <si>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</si>
  <si>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</si>
  <si>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</si>
  <si>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</si>
  <si>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</si>
  <si>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</si>
  <si>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</si>
  <si>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</si>
  <si>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</si>
  <si>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</si>
  <si>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</si>
  <si>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</si>
  <si>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</si>
  <si>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</si>
  <si>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</si>
  <si>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</si>
  <si>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</si>
  <si>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</si>
  <si>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</si>
  <si>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</si>
  <si>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</si>
  <si>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</si>
  <si>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</si>
  <si>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</si>
  <si>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</si>
  <si>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</si>
  <si>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</si>
  <si>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</si>
  <si>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</si>
  <si>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</si>
  <si>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</si>
  <si>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</si>
  <si>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</si>
  <si>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</si>
  <si>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</si>
  <si>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</si>
  <si>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</si>
  <si>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</si>
  <si>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</si>
  <si>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</si>
  <si>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</si>
  <si>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</si>
  <si>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</si>
  <si>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</si>
  <si>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</si>
  <si>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</si>
  <si>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</si>
  <si>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</si>
  <si>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</si>
  <si>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</si>
  <si>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</si>
  <si>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</si>
  <si>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</si>
  <si>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</si>
  <si>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</si>
  <si>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</si>
  <si>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</si>
  <si>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</si>
  <si>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</si>
  <si>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</si>
  <si>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</si>
  <si>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</si>
  <si>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</si>
  <si>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</si>
  <si>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</si>
  <si>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</si>
  <si>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</si>
  <si>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</si>
  <si>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</si>
  <si>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</si>
  <si>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</si>
  <si>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</si>
  <si>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</si>
  <si>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</si>
  <si>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</si>
  <si>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</si>
  <si>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</si>
  <si>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</si>
  <si>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</si>
  <si>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</si>
  <si>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</si>
  <si>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</si>
  <si>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</si>
  <si>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</si>
  <si>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</si>
  <si>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</si>
  <si>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</si>
  <si>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</si>
  <si>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</si>
  <si>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</si>
  <si>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</si>
  <si>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</si>
  <si>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</si>
  <si>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</si>
  <si>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</si>
  <si>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</si>
  <si>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</si>
  <si>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</si>
  <si>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</si>
  <si>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</si>
  <si>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</si>
  <si>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</si>
  <si>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</si>
  <si>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</si>
  <si>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</si>
  <si>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</si>
  <si>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</si>
  <si>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</si>
  <si>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</si>
  <si>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</si>
  <si>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</si>
  <si>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</si>
  <si>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</si>
  <si>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</si>
  <si>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</si>
  <si>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</si>
  <si>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</si>
  <si>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</si>
  <si>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</si>
  <si>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</si>
  <si>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</si>
  <si>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</si>
  <si>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</si>
  <si>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</si>
  <si>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</si>
  <si>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</si>
  <si>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</si>
  <si>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</si>
  <si>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</si>
  <si>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</si>
  <si>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</si>
  <si>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</si>
  <si>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</si>
  <si>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</si>
  <si>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</si>
  <si>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</si>
  <si>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</si>
  <si>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</si>
  <si>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</si>
  <si>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</si>
  <si>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</si>
  <si>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</si>
  <si>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</si>
  <si>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</si>
  <si>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</si>
  <si>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</si>
  <si>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</si>
  <si>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</si>
  <si>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</si>
  <si>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</si>
  <si>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</si>
  <si>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</si>
  <si>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</si>
  <si>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</si>
  <si>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</si>
  <si>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</si>
  <si>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</si>
  <si>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</si>
  <si>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</si>
  <si>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</si>
  <si>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</si>
  <si>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</si>
  <si>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</si>
  <si>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</si>
  <si>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</si>
  <si>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</si>
  <si>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</si>
  <si>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</si>
  <si>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</si>
  <si>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</si>
  <si>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</si>
  <si>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</si>
  <si>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</si>
  <si>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</si>
  <si>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</si>
  <si>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</si>
  <si>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</si>
  <si>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</si>
  <si>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</si>
  <si>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</si>
  <si>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</si>
  <si>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</si>
  <si>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</si>
  <si>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</si>
  <si>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</si>
  <si>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</si>
  <si>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</si>
  <si>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</si>
  <si>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</si>
  <si>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</si>
  <si>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</si>
  <si>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</si>
  <si>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</si>
  <si>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</si>
  <si>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</si>
  <si>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</si>
  <si>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</si>
  <si>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</si>
  <si>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</si>
  <si>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</si>
  <si>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</si>
  <si>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</si>
  <si>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</si>
  <si>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</si>
  <si>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</si>
  <si>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</si>
  <si>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</si>
  <si>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</si>
  <si>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</si>
  <si>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</si>
  <si>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</si>
  <si>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</si>
  <si>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</si>
  <si>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</si>
  <si>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</si>
  <si>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</si>
  <si>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</si>
  <si>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</si>
  <si>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</si>
  <si>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</si>
  <si>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</si>
  <si>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</si>
  <si>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</si>
  <si>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</si>
  <si>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</si>
  <si>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</si>
  <si>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</si>
  <si>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</si>
  <si>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</si>
  <si>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</si>
  <si>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</si>
  <si>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</si>
  <si>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</si>
  <si>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</si>
  <si>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</si>
  <si>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</si>
  <si>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</si>
  <si>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</si>
  <si>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</si>
  <si>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</si>
  <si>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</si>
  <si>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</si>
  <si>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</si>
  <si>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</si>
  <si>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</si>
  <si>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</si>
  <si>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</si>
  <si>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</si>
  <si>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</si>
  <si>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</si>
  <si>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</si>
  <si>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</si>
  <si>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</si>
  <si>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</si>
  <si>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</si>
  <si>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</si>
  <si>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</si>
  <si>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</si>
  <si>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</si>
  <si>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</si>
  <si>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</si>
  <si>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</si>
  <si>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</si>
  <si>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</si>
  <si>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</si>
  <si>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</si>
  <si>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</si>
  <si>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</si>
  <si>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</si>
  <si>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</si>
  <si>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</si>
  <si>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</si>
  <si>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</si>
  <si>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</si>
  <si>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</si>
  <si>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</si>
  <si>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</si>
  <si>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</si>
  <si>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</si>
  <si>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</si>
  <si>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</si>
  <si>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</si>
  <si>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</si>
  <si>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</si>
  <si>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</si>
  <si>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</si>
  <si>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</si>
  <si>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</si>
  <si>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</si>
  <si>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</si>
  <si>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</si>
  <si>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</si>
  <si>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</si>
  <si>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</si>
  <si>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</si>
  <si>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</si>
  <si>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</si>
  <si>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</si>
  <si>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</si>
  <si>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</si>
  <si>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</si>
  <si>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</si>
  <si>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</si>
  <si>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</si>
  <si>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</si>
  <si>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</si>
  <si>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</si>
  <si>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</si>
  <si>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</si>
  <si>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</si>
  <si>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</si>
  <si>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</si>
  <si>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</si>
  <si>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</si>
  <si>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</si>
  <si>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</si>
  <si>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</si>
  <si>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</si>
  <si>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</si>
  <si>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</si>
  <si>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</si>
  <si>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</si>
  <si>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</si>
  <si>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</si>
  <si>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</si>
  <si>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</si>
  <si>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</si>
  <si>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</si>
  <si>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</si>
  <si>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</si>
  <si>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</si>
  <si>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</si>
  <si>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</si>
  <si>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</si>
  <si>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</si>
  <si>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</si>
  <si>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</si>
  <si>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</si>
  <si>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</si>
  <si>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</si>
  <si>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</si>
  <si>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</si>
  <si>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</si>
  <si>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</si>
  <si>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</si>
  <si>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</si>
  <si>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</si>
  <si>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</si>
  <si>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</si>
  <si>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</si>
  <si>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</si>
  <si>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</si>
  <si>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</si>
  <si>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</si>
  <si>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</si>
  <si>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</si>
  <si>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</si>
  <si>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</si>
  <si>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</si>
  <si>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</si>
  <si>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</si>
  <si>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</si>
  <si>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</si>
  <si>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</si>
  <si>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</si>
  <si>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</si>
  <si>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</si>
  <si>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</si>
  <si>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</si>
  <si>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</si>
  <si>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</si>
  <si>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</si>
  <si>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</si>
  <si>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</si>
  <si>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</si>
  <si>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</si>
  <si>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</si>
  <si>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</si>
  <si>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</si>
  <si>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</si>
  <si>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</si>
  <si>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</si>
  <si>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</si>
  <si>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</si>
  <si>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</si>
  <si>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</si>
  <si>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</si>
  <si>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</si>
  <si>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</si>
  <si>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</si>
  <si>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</si>
  <si>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</si>
  <si>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</si>
  <si>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</si>
  <si>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</si>
  <si>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</si>
  <si>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</si>
  <si>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</si>
  <si>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</si>
  <si>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</si>
  <si>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</si>
  <si>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</si>
  <si>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</si>
  <si>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</si>
  <si>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</si>
  <si>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</si>
  <si>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</si>
  <si>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</si>
  <si>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</si>
  <si>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</si>
  <si>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</si>
  <si>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</si>
  <si>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</si>
  <si>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</si>
  <si>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</si>
  <si>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</si>
  <si>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</si>
  <si>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</si>
  <si>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</si>
  <si>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</si>
  <si>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</si>
  <si>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</si>
  <si>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</si>
  <si>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</si>
  <si>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</si>
  <si>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</si>
  <si>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</si>
  <si>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</si>
  <si>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</si>
  <si>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</si>
  <si>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</si>
  <si>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</si>
  <si>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</si>
  <si>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</si>
  <si>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</si>
  <si>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</si>
  <si>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</si>
  <si>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</si>
  <si>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</si>
  <si>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</si>
  <si>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</si>
  <si>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</si>
  <si>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</si>
  <si>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</si>
  <si>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</si>
  <si>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</si>
  <si>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</si>
  <si>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</si>
  <si>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</si>
  <si>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</si>
  <si>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</si>
  <si>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</si>
  <si>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</si>
  <si>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</si>
  <si>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</si>
  <si>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</si>
  <si>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</si>
  <si>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</si>
  <si>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</si>
  <si>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</si>
  <si>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</si>
  <si>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</si>
  <si>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</si>
  <si>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</si>
  <si>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</si>
  <si>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</si>
  <si>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</si>
  <si>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</si>
  <si>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</si>
  <si>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</si>
  <si>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</si>
  <si>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</si>
  <si>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</si>
  <si>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</si>
  <si>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</si>
  <si>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</si>
  <si>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</si>
  <si>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</si>
  <si>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</si>
  <si>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</si>
  <si>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</si>
  <si>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</si>
  <si>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</si>
  <si>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</si>
  <si>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</si>
  <si>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</si>
  <si>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</si>
  <si>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</si>
  <si>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</si>
  <si>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</si>
  <si>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</si>
  <si>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</si>
  <si>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</si>
  <si>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</si>
  <si>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</si>
  <si>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</si>
  <si>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</si>
  <si>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</si>
  <si>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</si>
  <si>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</si>
  <si>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</si>
  <si>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</si>
  <si>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</si>
  <si>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</si>
  <si>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</si>
  <si>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</si>
  <si>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</si>
  <si>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</si>
  <si>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</si>
  <si>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</si>
  <si>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</si>
  <si>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</si>
  <si>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</si>
  <si>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</si>
  <si>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</si>
  <si>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</si>
  <si>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</si>
  <si>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</si>
  <si>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</si>
  <si>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</si>
  <si>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</si>
  <si>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</si>
  <si>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</si>
  <si>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</si>
  <si>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</si>
  <si>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</si>
  <si>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</si>
  <si>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</si>
  <si>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</si>
  <si>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</si>
  <si>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</si>
  <si>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</si>
  <si>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</si>
  <si>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</si>
  <si>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</si>
  <si>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</si>
  <si>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</si>
  <si>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</si>
  <si>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</si>
  <si>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</si>
  <si>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</si>
  <si>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</si>
  <si>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</si>
  <si>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</si>
  <si>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</si>
  <si>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</si>
  <si>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</si>
  <si>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</si>
  <si>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</si>
  <si>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</si>
  <si>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</si>
  <si>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</si>
  <si>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</si>
  <si>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</si>
  <si>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</si>
  <si>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</si>
  <si>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</si>
  <si>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</si>
  <si>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</si>
  <si>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</si>
  <si>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</si>
  <si>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</si>
  <si>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</si>
  <si>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</si>
  <si>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</si>
  <si>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</si>
  <si>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</si>
  <si>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</si>
  <si>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</si>
  <si>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</si>
  <si>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</si>
  <si>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</si>
  <si>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</si>
  <si>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</si>
  <si>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</si>
  <si>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</si>
  <si>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</si>
  <si>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</si>
  <si>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</si>
  <si>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</si>
  <si>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</si>
  <si>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</si>
  <si>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</si>
  <si>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</si>
  <si>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</si>
  <si>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</si>
  <si>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</si>
  <si>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</si>
  <si>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</si>
  <si>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</si>
  <si>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</si>
  <si>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</si>
  <si>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</si>
  <si>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</si>
  <si>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</si>
  <si>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</si>
  <si>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</si>
  <si>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</si>
  <si>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</si>
  <si>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</si>
  <si>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</si>
  <si>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</si>
  <si>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</si>
  <si>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</si>
  <si>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</si>
  <si>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</si>
  <si>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</si>
  <si>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  TODAY - DELIGHTFUL WITH SUNSHINE</t>
  </si>
  <si>
    <t xml:space="preserve">  TONIGHT - MAINLY CLEAR</t>
  </si>
  <si>
    <t xml:space="preserve">  WARM WITH SUNSHINE AND A FEW CLOUDS</t>
  </si>
  <si>
    <t xml:space="preserve">  IT MAY THUNDERSTORM WITH INTERVALS OF CLOUDS AND SUNSHINE</t>
  </si>
  <si>
    <t xml:space="preserve">  CLOUDY EARLY IN THE DAY WITH A SHOWER POSSIBLE </t>
  </si>
  <si>
    <t xml:space="preserve">  FOLLOWED BY PERIODS OF CLOUDS AND SUNSHINE</t>
  </si>
  <si>
    <t xml:space="preserve">  TIMES OF CLOUDS AND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</si>
</sst>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F22486B-C68D-DBF6-BA79-25521B71C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FF027FA-A4C4-18AE-01EC-30D6C378F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0C53C69-944D-44DD-D49A-06A38BB15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DC94B61-FEE3-9329-51B6-2C8F5E3B1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C7DBECC-CFC4-2934-D1C5-CB4208C8C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26E7D0B-5B71-7C86-893F-25D41C563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0A43A8A-184D-A553-D1AF-72C2CD2C0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C77F723-9440-5367-5E51-D26DC3DD9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A2D8463-82FB-2F33-03F4-6CAA78C54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0F2EB81-D046-B852-F5CD-F13E73DF9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3E9723C-2B9E-879C-C40D-9736CFCFE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319806C-D431-5645-5764-E4DDC657F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09FF0CB-9EB9-21A1-DC9C-3BA982763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193F748-EC8E-B08C-D904-669478110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9193B21-61BB-E00D-D579-9204DD9D4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ED7A741-DD95-A2C0-D3C4-81C01DB9A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698F24C-456F-B09F-2557-27B82560C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B346868-4179-080C-3733-A61225465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ED66005-1166-BF19-8377-0F91AE158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AEE30D32-0602-5585-37F7-7C7A5AB2A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641F45C-DEA7-338A-DD3C-85F6CFC55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82A5C11A-D0B7-8BCA-5852-D8637B0AA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5E679DDA-44FC-6227-A7D8-3557975F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4E069F3-BD44-D5F5-631B-23C9A76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7EBEE975-BD3C-9D71-93F6-49CEED659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A5217E9-0412-BDC0-99BA-592DEAA4D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FC5263F6-4674-AFA5-560F-E36DEECA6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54FB9C81-B366-C021-0FD3-658421989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F3BC528-D40C-2DD3-70E0-9E790D2E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BCF0CF8-4851-36F5-872F-2DE94671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A698B352-D0D6-A93A-6CBF-068CA8DE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A44554B0-F246-59E3-1BE8-2070F5FC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3D0D7A2B-FC75-647A-2CEF-B4924ED54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4A37712-C41A-85E8-418F-F9A2ADA9C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132C979A-B7D2-00AF-0072-4BB516918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DA833F8-4552-64D0-65AB-CC593D246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E7E6DDF-936E-54CC-8DE6-76FD37CC2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4C21D1E-E67F-2636-9938-A32C4DBE6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36D1F26-2D41-ED11-8C2B-9FEB498B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1BC85E77-E02A-8CC1-3BEF-0791D6ED5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512A9DD-370C-3156-4188-3A23758F7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FA407129-2D07-C49E-4630-19BB0139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2304E70B-C1FF-7F25-B3D0-D57FA85AF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9610860E-625C-32DA-E7D7-8D6C6C3C1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81" name="Day_1">
          <a:extLst>
            <a:ext uri="{FF2B5EF4-FFF2-40B4-BE49-F238E27FC236}">
              <a16:creationId xmlns:a16="http://schemas.microsoft.com/office/drawing/2014/main" id="{214A6C9C-C279-4254-D003-AE3E6885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82" name="Day_2">
          <a:extLst>
            <a:ext uri="{FF2B5EF4-FFF2-40B4-BE49-F238E27FC236}">
              <a16:creationId xmlns:a16="http://schemas.microsoft.com/office/drawing/2014/main" id="{3933F756-F9D6-2F75-3AB6-3A602DE45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83" name="Day_3">
          <a:extLst>
            <a:ext uri="{FF2B5EF4-FFF2-40B4-BE49-F238E27FC236}">
              <a16:creationId xmlns:a16="http://schemas.microsoft.com/office/drawing/2014/main" id="{74106EF6-D74B-629D-C079-1825B972D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84" name="Day_4">
          <a:extLst>
            <a:ext uri="{FF2B5EF4-FFF2-40B4-BE49-F238E27FC236}">
              <a16:creationId xmlns:a16="http://schemas.microsoft.com/office/drawing/2014/main" id="{57443C44-4FE7-E043-08ED-66AD6E6B7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85" name="Day_5">
          <a:extLst>
            <a:ext uri="{FF2B5EF4-FFF2-40B4-BE49-F238E27FC236}">
              <a16:creationId xmlns:a16="http://schemas.microsoft.com/office/drawing/2014/main" id="{C1B851F6-6E16-E080-7673-DCD4DE97C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86" name="Day_6">
          <a:extLst>
            <a:ext uri="{FF2B5EF4-FFF2-40B4-BE49-F238E27FC236}">
              <a16:creationId xmlns:a16="http://schemas.microsoft.com/office/drawing/2014/main" id="{FB76C5EF-442C-97CF-4BCA-B34E53AA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719CD63-30AF-13CB-FDF8-E9C5970F79A8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E84A422-CDC0-2025-38D3-B95E1A60FCC6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59052B7-17F7-8CD3-2550-295AF28AE14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AB837CA-4065-97F6-8311-956423BB6A60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CBD61E04-6F6F-911C-210D-1F8571F1B3FF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7E22BDC8-129F-372D-23FD-172B9555729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992DAB66-DB3B-A986-30CF-18B09D4BF4D0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A492426-6D4A-E007-83DB-5B8845D6E1F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22EFE9D8-2DFF-ADBC-B671-8519CA91478F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37C87D99-598E-9EAF-E3FC-33764991696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DDDCD8FB-7D52-A24F-E5D6-5424B97E9879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50FE6AB-A471-9CB4-975D-08B7D93CDCD2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BF04FC8-9EBE-89D3-0A5A-9562144FD480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62CC38E-1880-58E0-4442-3C23963EFAB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8851732-32DC-D083-A1BF-6053DBF437F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D928F3B-5411-2CA1-C7A0-10818384865B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7F519B58-11FA-E7CA-AB0F-E30339F2C2DC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AE3DA270-EC9C-0B58-1ACC-58CFF5B0051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8485105D-611C-324C-8AAE-D870188BAF2B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7D8CCDB3-F470-DE76-D5DB-F58AE333CA3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292F150-E323-F5E1-6B65-B6B8B1FC3936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D674EA5-5C0E-4D79-DFFE-24079EBEF0F8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451B0B1A-35C5-523A-A6A7-E8BA088F577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B38CDC4-F1AB-3568-F3D0-123AB07FC3EC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55702F7-3E24-74BA-5C4A-15661A350133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DBE8097-65D8-144F-0A37-BC018D2F1BE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392EDBE-2BF9-4D61-39EE-ECEC4C60AA7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EC29522-6697-C108-0985-270D6B1910A8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F2A6A510-D895-2386-9BCE-8628168B5F9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17D1DA1-64B0-601F-467B-DC95E0D8AD33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000F3F0F-4B39-C5C8-4990-32145EC49490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0F69AC33-DA71-9E56-5ECF-40EFB8E23BC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2759A713-3D46-4B76-3E3E-8AA98DE29AE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CD3C8EF3-E2D2-85C6-D5A8-D0CF92DE42B5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26E3261A-0F70-DB89-FA74-80F4C9E624E1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D821D0BD-9078-91D6-FC68-2F0DED179C0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143608E1-4CB6-2D56-4712-92D05CB2E993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14B3FDC-200D-8CEE-A17A-1E09F56A056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7D5082D-0BD1-61A4-9F08-A8EDA3A33ADA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6F74AEE-B04F-456A-A9D6-F9510DCB06D0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816B25F-0DB5-9718-523E-CB15A57CC26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9814A80-2AD8-AFDD-D5B5-2C5B188C233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F9CDCE19-AA87-2664-D392-644ABF115FE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FD0B789A-4759-DB87-6388-0752DD7E0801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08F4F38E-F229-5510-9898-EB6C03084128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96A677BC-8D60-0719-14D9-E3996732EC6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43407845-0763-2224-558E-A03B6BE570E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F811DFF-7E0E-660E-2E72-0C07436298BF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9D375E0-A9ED-8170-17B7-25BEB64528FA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58C08BA2-5965-2474-8108-B7EC4634885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9E310B17-379F-107A-35B9-D6EED43E1F40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65EA38E1-44BD-10F3-5073-3263EF1D61E3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045A27B8-0971-07B9-ACC6-6705883EF41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8751BDD-00BB-65D0-AE7D-0E2D184B67E4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B4413691-3E21-4FB6-462C-4CB8BEF98EBF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339AF95E-2BCB-6E84-7C25-436E01D9BE30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A3A77FDB-6DB0-7FB5-4095-4B31662B42A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52EB20F-0F39-3D47-CB68-A3D743034B2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14DEDCA5-EAD8-9184-2CDC-38886E99700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87E616E-5F3D-6BDF-735B-CD402091EBA4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253E6B71-FDCF-0B64-454E-45A2D16C25D5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E9917FB2-0D4B-DD5B-84F6-8FFE11604DBA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38F315DE-3442-B173-0793-FA8E9B81564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B8B7C67A-32EB-3747-164A-52495AD79FC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A36035BF-962C-D576-15ED-E58BFEF5F02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4969598-3474-E9A6-40B4-495691DC5B43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070D854-38CD-2D79-1B4C-BF5BE186BE03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DE66BB42-A612-A309-7F69-906505679981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9CF01ACE-A75E-4C56-D94E-122E4615B6FF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99C4207E-19E0-BBF4-3924-4C16B2E122B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C5186BB-34C3-66E1-63D2-32539024C3EA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26F9A5FB-3339-844A-03A5-EBB4524761E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BDBDFC01-AC73-01A1-078B-190F1821558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ECBCF9A-7425-9589-0852-655C2BF000A7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5DA3E80-1FD3-0F68-F695-A242E0594613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681D896-8B3E-493B-46AC-250AA492FD89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45200C5-58A6-F7A3-95A7-3EE97DD8780A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FCA10B94-33C6-DA84-635F-804D7E43BA8A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B6FF580-42BB-884E-8024-E5CDD972D97E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E8B612E2-66F5-7C52-DA3F-D9D12EC4A92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9BCAB69B-2BDA-2428-567E-80101C7F1BA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ED7C264-7B27-8203-0A17-75E7EF977D66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FD2751D-268F-CC0F-19E9-B93417210327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EDAC6D77-A578-EDE7-4977-DD854A578753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BA1FBDB8-FBB9-1978-D92F-33E29FAD8F97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B37A16E0-5253-8FEC-1EA5-5532D41C5F7A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BDEE50BF-F46B-8E0E-B18B-4AC96731C26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02325537-3A47-B109-7744-39D5089E915E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E2D4424-F79E-2576-3993-B92A722291E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608AAC08-ABC7-F16E-33CD-F734B2D5D0C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C9E93F9-BCBA-7648-C32C-58B2AA39FF2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7C88E7B-4C51-B173-64FC-48C0E0C1DE1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32C046FE-F2C4-324A-48BB-DD8A70A4107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F6CDCFA-2876-1EC5-8FB3-92C54C5F9D1E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4F5995C4-83D9-7EA5-DDE3-B2E6FEAC0DB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9CE92396-798E-E497-C09C-3505193D0F0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5762FFE5-7287-0E27-4DD0-F26D1BDE624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C6F1C7B-D174-8AB0-161A-6BE7956FDCD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F7B4844E-73A1-F8EB-E72E-715C59A1B8C5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937E25D-AE85-3333-DB2A-B0D112228EB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186BC00-6B1E-6602-98EE-8B59B75B61FE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715BF085-4492-7188-D29D-967C4FD12DC5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6DB1556-5313-DAA7-A52B-63B9B47E029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4216B5C-B169-610A-7ECC-FEBD43DC9E2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DCF0300-0E79-9B51-873F-64CB19142053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7DD41030-24A1-D03D-084B-5CC7F4979E05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43D49F48-57F7-45F8-DC95-90FFFF90DFE8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D325C2F-30B3-46CE-65EF-65778604BE51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83822C11-DD4F-C875-0AC4-0105106DF97E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EA97829-8F9C-3A81-EA3F-3CDA12DEFFEC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9E7A1CFE-8988-9063-7C3B-A961929D3D91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E1AD099F-D6A7-36D9-8DCF-3F11CB3AE56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F30D8C1A-087E-F20B-26BD-988017139D6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BCD028C-AEB8-777B-5D7A-638A2345E14D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4D6A102F-A9DF-DA05-34A0-6390CC250E9F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C0883A70-7156-B0D1-C18B-12B2975E1CDF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8C53958-31FB-AB3C-FEF1-17FC1847A914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5253C6FE-460A-F178-396C-77AA7188513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2111907-AFFD-63E5-17AF-C885EB8EC9B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2762D1A1-56B5-FD3B-EDEA-E510F38126B6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D3D480A-A542-CBC9-3AB1-7AB0D6F9DD2C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45ACFF6-372E-51CF-563C-F038D8F3C717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BDC5117-A511-838F-7843-35BC154B441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E9295198-996E-B490-001D-8748DD967A4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2CFAB85-F986-B92B-626A-5E142123D3CF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BBEB56C9-2A4D-ED5D-22CF-7F37C3AC78A4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C65F102-AC6F-FE3B-74DB-D21E851DD61B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6925860-9ACC-0457-BFA3-7F13750F94E4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A0A4FEF1-082E-A631-FA80-5647459451E7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2B7E603-90CE-0B27-D78C-547994054DC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WED</v>
      </c>
      <c r="I1" s="844">
        <f>D4</f>
        <v>37139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WED</v>
      </c>
      <c r="E3" s="808" t="str">
        <f t="shared" si="0"/>
        <v>THU</v>
      </c>
      <c r="F3" s="808" t="str">
        <f t="shared" si="0"/>
        <v>FRI</v>
      </c>
      <c r="G3" s="808" t="str">
        <f t="shared" si="0"/>
        <v>SAT</v>
      </c>
      <c r="H3" s="808" t="str">
        <f t="shared" si="0"/>
        <v>SUN</v>
      </c>
      <c r="I3" s="809" t="str">
        <f t="shared" si="0"/>
        <v>MON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37139</v>
      </c>
      <c r="E4" s="812">
        <f>Weather_Input!A6</f>
        <v>37140</v>
      </c>
      <c r="F4" s="812">
        <f>Weather_Input!A7</f>
        <v>37141</v>
      </c>
      <c r="G4" s="812">
        <f>Weather_Input!A8</f>
        <v>37142</v>
      </c>
      <c r="H4" s="812">
        <f>Weather_Input!A9</f>
        <v>37143</v>
      </c>
      <c r="I4" s="813">
        <f>Weather_Input!A10</f>
        <v>37144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77/60/69</v>
      </c>
      <c r="E5" s="845" t="str">
        <f>TEXT(Weather_Input!B6,"0")&amp;"/"&amp;TEXT(Weather_Input!C6,"0") &amp; "/" &amp; TEXT((Weather_Input!B6+Weather_Input!C6)/2,"0")</f>
        <v>84/66/75</v>
      </c>
      <c r="F5" s="845" t="str">
        <f>TEXT(Weather_Input!B7,"0")&amp;"/"&amp;TEXT(Weather_Input!C7,"0") &amp; "/" &amp; TEXT((Weather_Input!B7+Weather_Input!C7)/2,"0")</f>
        <v>83/64/74</v>
      </c>
      <c r="G5" s="845" t="str">
        <f>TEXT(Weather_Input!B8,"0")&amp;"/"&amp;TEXT(Weather_Input!C8,"0") &amp; "/" &amp; TEXT((Weather_Input!B8+Weather_Input!C8)/2,"0")</f>
        <v>75/55/65</v>
      </c>
      <c r="H5" s="845" t="str">
        <f>TEXT(Weather_Input!B9,"0")&amp;"/"&amp;TEXT(Weather_Input!C9,"0") &amp; "/" &amp; TEXT((Weather_Input!B9+Weather_Input!C9)/2,"0")</f>
        <v>68/50/59</v>
      </c>
      <c r="I5" s="846" t="str">
        <f>TEXT(Weather_Input!B10,"0")&amp;"/"&amp;TEXT(Weather_Input!C10,"0") &amp; "/" &amp; TEXT((Weather_Input!B10+Weather_Input!C10)/2,"0")</f>
        <v>68/50/59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32.700000000000003</v>
      </c>
      <c r="E6" s="815">
        <f ca="1">VLOOKUP(E4,NSG_Sendouts,CELL("Col",NSG_Deliveries!C6),FALSE)/1000</f>
        <v>33</v>
      </c>
      <c r="F6" s="815">
        <f ca="1">VLOOKUP(F4,NSG_Sendouts,CELL("Col",NSG_Deliveries!C7),FALSE)/1000</f>
        <v>31</v>
      </c>
      <c r="G6" s="815">
        <f ca="1">VLOOKUP(G4,NSG_Sendouts,CELL("Col",NSG_Deliveries!C8),FALSE)/1000</f>
        <v>29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34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4.62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37.32</v>
      </c>
      <c r="E11" s="824">
        <f t="shared" ca="1" si="1"/>
        <v>33</v>
      </c>
      <c r="F11" s="824">
        <f t="shared" ca="1" si="1"/>
        <v>31</v>
      </c>
      <c r="G11" s="824">
        <f t="shared" ca="1" si="1"/>
        <v>29</v>
      </c>
      <c r="H11" s="824">
        <f t="shared" ca="1" si="1"/>
        <v>32</v>
      </c>
      <c r="I11" s="825">
        <f t="shared" ca="1" si="1"/>
        <v>34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1.1000000000000001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24.216000000000001</v>
      </c>
      <c r="E19" s="815">
        <f>NSG_Supplies!Q8/1000</f>
        <v>23.890999999999998</v>
      </c>
      <c r="F19" s="815">
        <f>NSG_Supplies!Q9/1000</f>
        <v>23.890999999999998</v>
      </c>
      <c r="G19" s="815">
        <f>NSG_Supplies!Q10/1000</f>
        <v>23.890999999999998</v>
      </c>
      <c r="H19" s="815">
        <f>NSG_Supplies!Q11/1000</f>
        <v>23.890999999999998</v>
      </c>
      <c r="I19" s="816">
        <f>NSG_Supplies!Q12/1000</f>
        <v>23.890999999999998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12</v>
      </c>
      <c r="E20" s="815">
        <f>NSG_Supplies!P8/1000</f>
        <v>12</v>
      </c>
      <c r="F20" s="815">
        <f>NSG_Supplies!P9/1000</f>
        <v>12</v>
      </c>
      <c r="G20" s="815">
        <f>NSG_Supplies!P10/1000</f>
        <v>12</v>
      </c>
      <c r="H20" s="815">
        <f>NSG_Supplies!P11/1000</f>
        <v>12</v>
      </c>
      <c r="I20" s="816">
        <f>NSG_Supplies!P12/1000</f>
        <v>12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37.316000000000003</v>
      </c>
      <c r="E21" s="1200">
        <f t="shared" si="2"/>
        <v>37.890999999999998</v>
      </c>
      <c r="F21" s="1200">
        <f t="shared" si="2"/>
        <v>37.890999999999998</v>
      </c>
      <c r="G21" s="1200">
        <f t="shared" si="2"/>
        <v>37.890999999999998</v>
      </c>
      <c r="H21" s="1200">
        <f t="shared" si="2"/>
        <v>37.890999999999998</v>
      </c>
      <c r="I21" s="1201">
        <f t="shared" si="2"/>
        <v>37.890999999999998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4.8909999999999982</v>
      </c>
      <c r="F22" s="856">
        <f t="shared" ca="1" si="3"/>
        <v>6.8909999999999982</v>
      </c>
      <c r="G22" s="856">
        <f t="shared" ca="1" si="3"/>
        <v>8.8909999999999982</v>
      </c>
      <c r="H22" s="856">
        <f t="shared" ca="1" si="3"/>
        <v>5.8909999999999982</v>
      </c>
      <c r="I22" s="857">
        <f t="shared" ca="1" si="3"/>
        <v>3.8909999999999982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3.9999999999977831E-3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18.288</v>
      </c>
      <c r="E24" s="1058">
        <f>NSG_Supplies!R8/1000</f>
        <v>18.288</v>
      </c>
      <c r="F24" s="1058">
        <f>NSG_Supplies!R9/1000</f>
        <v>18.288</v>
      </c>
      <c r="G24" s="1058">
        <f>NSG_Supplies!R10/1000</f>
        <v>18.288</v>
      </c>
      <c r="H24" s="1058">
        <f>NSG_Supplies!R11/1000</f>
        <v>18.288</v>
      </c>
      <c r="I24" s="1059">
        <f>NSG_Supplies!R12/1000</f>
        <v>18.288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6</v>
      </c>
      <c r="E26" s="863">
        <f>Weather_Input!D6</f>
        <v>15</v>
      </c>
      <c r="F26" s="863">
        <f>Weather_Input!D7</f>
        <v>15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37139</v>
      </c>
      <c r="N1" s="1175" t="str">
        <f>CHOOSE(WEEKDAY(M1),"SUN","MON","TUE","WED","THU","FRI","SAT")</f>
        <v>WED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8.4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77</v>
      </c>
      <c r="K3" s="918">
        <f>Weather_Input!C5</f>
        <v>60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>
        <v>66.900000000000006</v>
      </c>
      <c r="K4" s="1213"/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99.057000000000002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187.5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90.656999999999996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25.425000000000001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90.656999999999996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-124.6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10.8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125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178.929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-2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1.875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-124.6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156.786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30.713999999999999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10.8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1.875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32.588999999999999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10.8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31.4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7.5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-63.988</v>
      </c>
      <c r="L30" s="1119"/>
      <c r="M30" s="1023">
        <f>-PGL_Supplies!AB7/1000</f>
        <v>-63.988</v>
      </c>
      <c r="N30" s="1120"/>
      <c r="O30" s="1179">
        <f>-PGL_Supplies!AB7/1000</f>
        <v>-63.988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176.429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178.929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178.929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178.929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WED</v>
      </c>
      <c r="G1" s="1181">
        <f>Weather_Input!A5</f>
        <v>37139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66.900000000000006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77</v>
      </c>
      <c r="C4" s="737">
        <f>Weather_Input!C5</f>
        <v>60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32.700000000000003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25.320000000000004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7.38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25.320000000000004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-1.1000000000000001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-24.216000000000001</v>
      </c>
      <c r="D25" s="697"/>
      <c r="E25" s="690">
        <f>-NSG_Supplies!Q7/1000</f>
        <v>-24.216000000000001</v>
      </c>
      <c r="F25" s="697"/>
      <c r="G25" s="690">
        <f>-NSG_Supplies!Q7/1000</f>
        <v>-24.216000000000001</v>
      </c>
      <c r="H25" s="696"/>
      <c r="I25" s="753">
        <f>-NSG_Supplies!Q7/1000</f>
        <v>-24.216000000000001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4.62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12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7.38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37139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77</v>
      </c>
      <c r="C5" s="257">
        <f>Weather_Input!C5</f>
        <v>60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187.5</v>
      </c>
      <c r="C8" s="265">
        <f>NSG_Deliveries!C5/1000</f>
        <v>32.700000000000003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169.41400000000002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-25.942999999999998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32.700000000000003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1.875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32.700000000000003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-63.988</v>
      </c>
      <c r="C32" s="306">
        <f>-NSG_Supplies!Q7/1000</f>
        <v>-24.216000000000001</v>
      </c>
      <c r="D32" s="306">
        <f>B32</f>
        <v>-63.988</v>
      </c>
      <c r="E32" s="306">
        <f>C32</f>
        <v>-24.216000000000001</v>
      </c>
      <c r="F32" s="306">
        <f>B32</f>
        <v>-63.988</v>
      </c>
      <c r="G32" s="306">
        <f>C32</f>
        <v>-24.216000000000001</v>
      </c>
      <c r="H32" s="311">
        <f>B32</f>
        <v>-63.988</v>
      </c>
      <c r="I32" s="312">
        <f>C32</f>
        <v>-24.216000000000001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-18.288</v>
      </c>
      <c r="D33" s="306">
        <f>B33</f>
        <v>0</v>
      </c>
      <c r="E33" s="306">
        <f>C33</f>
        <v>-18.288</v>
      </c>
      <c r="F33" s="306">
        <f>B33</f>
        <v>0</v>
      </c>
      <c r="G33" s="306">
        <f>C33</f>
        <v>-18.288</v>
      </c>
      <c r="H33" s="311">
        <f>B33</f>
        <v>0</v>
      </c>
      <c r="I33" s="312">
        <f>C33</f>
        <v>-18.288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31.4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-1.1000000000000001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125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1.875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1.875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177.81400000000002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8.4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169.41400000000002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99.057000000000002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125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-25.942999999999998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WED</v>
      </c>
      <c r="H73" s="397">
        <f>Weather_Input!A5</f>
        <v>37139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-8222.1860000000015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99.057000000000002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2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-18.288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31.4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8400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10.8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167.01400000000001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-8222.1860000000015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125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1.875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99.057000000000002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99.057000000000002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37140.156253009256</v>
      </c>
      <c r="F22" s="161" t="s">
        <v>256</v>
      </c>
      <c r="G22" s="186">
        <f ca="1">NOW()</f>
        <v>37140.156253009256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37139</v>
      </c>
      <c r="C5" s="15"/>
      <c r="D5" s="22" t="s">
        <v>274</v>
      </c>
      <c r="E5" s="23">
        <f>Weather_Input!B5</f>
        <v>77</v>
      </c>
      <c r="F5" s="24" t="s">
        <v>275</v>
      </c>
      <c r="G5" s="25" t="str">
        <f>Weather_Input!H5</f>
        <v xml:space="preserve"> 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60</v>
      </c>
      <c r="F6" s="24" t="s">
        <v>277</v>
      </c>
      <c r="G6" s="25" t="str">
        <f>Weather_Input!F5</f>
        <v xml:space="preserve"> </v>
      </c>
      <c r="H6" s="26" t="s">
        <v>278</v>
      </c>
      <c r="I6" s="27">
        <f ca="1">G6-(VLOOKUP(B5,DD_Normal_Data,CELL("Col",C7),FALSE))</f>
        <v>-5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68.5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-13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DELIGHTFUL WITH SUNSHINE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37140</v>
      </c>
      <c r="C10" s="15"/>
      <c r="D10" s="150" t="s">
        <v>274</v>
      </c>
      <c r="E10" s="23">
        <f>Weather_Input!B6</f>
        <v>84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161</v>
      </c>
      <c r="E11" s="23">
        <f>Weather_Input!C6</f>
        <v>66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-6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75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-14</v>
      </c>
    </row>
    <row r="13" spans="1:109" ht="15">
      <c r="A13" s="18"/>
      <c r="B13" s="21"/>
      <c r="C13" s="15"/>
      <c r="D13" s="32" t="str">
        <f>IF(Weather_Input!I6=""," ",Weather_Input!I6)</f>
        <v xml:space="preserve">  WARM WITH SUNSHINE AND A FEW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37141</v>
      </c>
      <c r="C15" s="15"/>
      <c r="D15" s="22" t="s">
        <v>274</v>
      </c>
      <c r="E15" s="23">
        <f>Weather_Input!B7</f>
        <v>83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161</v>
      </c>
      <c r="E16" s="23">
        <f>Weather_Input!C7</f>
        <v>64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-8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73.5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-16</v>
      </c>
    </row>
    <row r="18" spans="1:109" ht="15">
      <c r="A18" s="18"/>
      <c r="B18" s="20"/>
      <c r="C18" s="15"/>
      <c r="D18" s="32" t="str">
        <f>IF(Weather_Input!I7=""," ",Weather_Input!I7)</f>
        <v xml:space="preserve">  IT MAY THUNDERSTORM WITH INTERVALS OF CLOUDS AND SUNSHINE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37142</v>
      </c>
      <c r="C20" s="15"/>
      <c r="D20" s="22" t="s">
        <v>274</v>
      </c>
      <c r="E20" s="23">
        <f>Weather_Input!B8</f>
        <v>75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161</v>
      </c>
      <c r="E21" s="23">
        <f>Weather_Input!C8</f>
        <v>55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-10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65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-18</v>
      </c>
    </row>
    <row r="23" spans="1:109" ht="15">
      <c r="A23" s="18"/>
      <c r="B23" s="21"/>
      <c r="C23" s="15"/>
      <c r="D23" s="32" t="str">
        <f>IF(Weather_Input!I8=""," ",Weather_Input!I8)</f>
        <v xml:space="preserve">  CLOUDY EARLY IN THE DAY WITH A SHOWER POSSIBLE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FOLLOWED BY PERIODS OF CLOUDS AND SUNSHINE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37143</v>
      </c>
      <c r="C25" s="15"/>
      <c r="D25" s="22" t="s">
        <v>274</v>
      </c>
      <c r="E25" s="23">
        <f>Weather_Input!B9</f>
        <v>68</v>
      </c>
      <c r="F25" s="24" t="s">
        <v>275</v>
      </c>
      <c r="G25" s="25">
        <f>IF(E27&lt;65,65-(Weather_Input!B9+Weather_Input!C9)/2,0)</f>
        <v>6</v>
      </c>
      <c r="H25" s="26" t="s">
        <v>276</v>
      </c>
      <c r="I25" s="27">
        <f ca="1">G25-(VLOOKUP(B25,DD_Normal_Data,CELL("Col",B26),FALSE))</f>
        <v>4</v>
      </c>
    </row>
    <row r="26" spans="1:109" ht="15">
      <c r="A26" s="18"/>
      <c r="B26" s="21"/>
      <c r="C26" s="15"/>
      <c r="D26" s="22" t="s">
        <v>161</v>
      </c>
      <c r="E26" s="23">
        <f>Weather_Input!C9</f>
        <v>50</v>
      </c>
      <c r="F26" s="24" t="s">
        <v>277</v>
      </c>
      <c r="G26" s="25">
        <f>IF(DAY(B25)=1,G25,G21+G25)</f>
        <v>6</v>
      </c>
      <c r="H26" s="30" t="s">
        <v>278</v>
      </c>
      <c r="I26" s="27">
        <f ca="1">G26-(VLOOKUP(B25,DD_Normal_Data,CELL("Col",C27),FALSE))</f>
        <v>-6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59</v>
      </c>
      <c r="F27" s="24" t="s">
        <v>280</v>
      </c>
      <c r="G27" s="25">
        <f>IF(AND(DAY(B25)=1,MONTH(B25)=8),G25,G22+G25)</f>
        <v>6</v>
      </c>
      <c r="H27" s="26" t="s">
        <v>280</v>
      </c>
      <c r="I27" s="27">
        <f ca="1">G27-(VLOOKUP(B25,DD_Normal_Data,CELL("Col",D24),FALSE))</f>
        <v>-14</v>
      </c>
    </row>
    <row r="28" spans="1:109" ht="15">
      <c r="A28" s="18"/>
      <c r="B28" s="20"/>
      <c r="C28" s="15"/>
      <c r="D28" s="32" t="str">
        <f>IF(Weather_Input!I9=""," ",Weather_Input!I9)</f>
        <v xml:space="preserve">  TIMES OF CLOUDS AND SUN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37144</v>
      </c>
      <c r="C30" s="15"/>
      <c r="D30" s="22" t="s">
        <v>274</v>
      </c>
      <c r="E30" s="23">
        <f>Weather_Input!B10</f>
        <v>68</v>
      </c>
      <c r="F30" s="24" t="s">
        <v>275</v>
      </c>
      <c r="G30" s="25">
        <f>IF(E32&lt;65,65-(Weather_Input!B10+Weather_Input!C10)/2,0)</f>
        <v>6</v>
      </c>
      <c r="H30" s="26" t="s">
        <v>276</v>
      </c>
      <c r="I30" s="27">
        <f ca="1">G30-(VLOOKUP(B30,DD_Normal_Data,CELL("Col",B31),FALSE))</f>
        <v>3</v>
      </c>
    </row>
    <row r="31" spans="1:109" ht="15">
      <c r="A31" s="15"/>
      <c r="B31" s="15"/>
      <c r="C31" s="15"/>
      <c r="D31" s="22" t="s">
        <v>161</v>
      </c>
      <c r="E31" s="23">
        <f>Weather_Input!C10</f>
        <v>50</v>
      </c>
      <c r="F31" s="24" t="s">
        <v>277</v>
      </c>
      <c r="G31" s="25">
        <f>IF(DAY(B30)=1,G30,G26+G30)</f>
        <v>12</v>
      </c>
      <c r="H31" s="30" t="s">
        <v>278</v>
      </c>
      <c r="I31" s="27">
        <f ca="1">G31-(VLOOKUP(B30,DD_Normal_Data,CELL("Col",C32),FALSE))</f>
        <v>-3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59</v>
      </c>
      <c r="F32" s="24" t="s">
        <v>280</v>
      </c>
      <c r="G32" s="25">
        <f>IF(AND(DAY(B30)=1,MONTH(B30)=8),G30,G27+G30)</f>
        <v>12</v>
      </c>
      <c r="H32" s="26" t="s">
        <v>280</v>
      </c>
      <c r="I32" s="27">
        <f ca="1">G32-(VLOOKUP(B30,DD_Normal_Data,CELL("Col",D29),FALSE))</f>
        <v>-11</v>
      </c>
    </row>
    <row r="33" spans="1:9" ht="15">
      <c r="A33" s="15"/>
      <c r="B33" s="34"/>
      <c r="C33" s="15"/>
      <c r="D33" s="32" t="str">
        <f>IF(Weather_Input!I10=""," ",Weather_Input!I10)</f>
        <v xml:space="preserve">  TIMES OF CLOUDS AND SUN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37139</v>
      </c>
      <c r="C36" s="89">
        <f>B10</f>
        <v>37140</v>
      </c>
      <c r="D36" s="89">
        <f>B15</f>
        <v>37141</v>
      </c>
      <c r="E36" s="89">
        <f xml:space="preserve">       B20</f>
        <v>37142</v>
      </c>
      <c r="F36" s="89">
        <f>B25</f>
        <v>37143</v>
      </c>
      <c r="G36" s="89">
        <f>B30</f>
        <v>37144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187.5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170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394.72800000000001</v>
      </c>
      <c r="C38" s="41">
        <f>PGL_6_Day_Report!E25</f>
        <v>350.70300000000003</v>
      </c>
      <c r="D38" s="41">
        <f>PGL_6_Day_Report!F25</f>
        <v>340.70300000000003</v>
      </c>
      <c r="E38" s="41">
        <f>PGL_6_Day_Report!G25</f>
        <v>330.70300000000003</v>
      </c>
      <c r="F38" s="41">
        <f>PGL_6_Day_Report!H25</f>
        <v>345.70300000000003</v>
      </c>
      <c r="G38" s="41">
        <f>PGL_6_Day_Report!I25</f>
        <v>360.70300000000003</v>
      </c>
      <c r="H38" s="14"/>
      <c r="I38" s="15"/>
    </row>
    <row r="39" spans="1:9" ht="15">
      <c r="A39" s="42" t="s">
        <v>103</v>
      </c>
      <c r="B39" s="41">
        <f>SUM(PGL_Supplies!Y7:AD7)/1000</f>
        <v>270.87</v>
      </c>
      <c r="C39" s="41">
        <f>SUM(PGL_Supplies!Y8:AD8)/1000</f>
        <v>226.315</v>
      </c>
      <c r="D39" s="41">
        <f>SUM(PGL_Supplies!Y9:AD9)/1000</f>
        <v>220.815</v>
      </c>
      <c r="E39" s="41">
        <f>SUM(PGL_Supplies!Y10:AD10)/1000</f>
        <v>220.815</v>
      </c>
      <c r="F39" s="41">
        <f>SUM(PGL_Supplies!Y11:AD11)/1000</f>
        <v>220.815</v>
      </c>
      <c r="G39" s="41">
        <f>SUM(PGL_Supplies!Y12:AD12)/1000</f>
        <v>220.815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26.024999999999999</v>
      </c>
      <c r="C41" s="41">
        <f>SUM(PGL_Requirements!Q7:T7)/1000</f>
        <v>26.024999999999999</v>
      </c>
      <c r="D41" s="41">
        <f>SUM(PGL_Requirements!Q7:T7)/1000</f>
        <v>26.024999999999999</v>
      </c>
      <c r="E41" s="41">
        <f>SUM(PGL_Requirements!Q7:T7)/1000</f>
        <v>26.024999999999999</v>
      </c>
      <c r="F41" s="41">
        <f>SUM(PGL_Requirements!Q7:T7)/1000</f>
        <v>26.024999999999999</v>
      </c>
      <c r="G41" s="41">
        <f>SUM(PGL_Requirements!Q7:T7)/1000</f>
        <v>26.024999999999999</v>
      </c>
      <c r="H41" s="14"/>
      <c r="I41" s="15"/>
    </row>
    <row r="42" spans="1:9" ht="15">
      <c r="A42" s="15" t="s">
        <v>126</v>
      </c>
      <c r="B42" s="41">
        <f>PGL_Supplies!U7/1000</f>
        <v>167.01400000000001</v>
      </c>
      <c r="C42" s="41">
        <f>PGL_Supplies!U8/1000</f>
        <v>167.01400000000001</v>
      </c>
      <c r="D42" s="41">
        <f>PGL_Supplies!U9/1000</f>
        <v>167.01400000000001</v>
      </c>
      <c r="E42" s="41">
        <f>PGL_Supplies!U10/1000</f>
        <v>167.01400000000001</v>
      </c>
      <c r="F42" s="41">
        <f>PGL_Supplies!U11/1000</f>
        <v>167.01400000000001</v>
      </c>
      <c r="G42" s="41">
        <f>PGL_Supplies!U12/1000</f>
        <v>167.01400000000001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37139</v>
      </c>
      <c r="C44" s="89">
        <f t="shared" si="0"/>
        <v>37140</v>
      </c>
      <c r="D44" s="89">
        <f t="shared" si="0"/>
        <v>37141</v>
      </c>
      <c r="E44" s="89">
        <f t="shared" si="0"/>
        <v>37142</v>
      </c>
      <c r="F44" s="89">
        <f t="shared" si="0"/>
        <v>37143</v>
      </c>
      <c r="G44" s="89">
        <f t="shared" si="0"/>
        <v>37144</v>
      </c>
      <c r="H44" s="14"/>
      <c r="I44" s="15"/>
    </row>
    <row r="45" spans="1:9" ht="15">
      <c r="A45" s="15" t="s">
        <v>54</v>
      </c>
      <c r="B45" s="41">
        <f ca="1">NSG_6_Day_Report!D6</f>
        <v>32.700000000000003</v>
      </c>
      <c r="C45" s="41">
        <f ca="1">NSG_6_Day_Report!E6</f>
        <v>33</v>
      </c>
      <c r="D45" s="41">
        <f ca="1">NSG_6_Day_Report!F6</f>
        <v>31</v>
      </c>
      <c r="E45" s="41">
        <f ca="1">NSG_6_Day_Report!G6</f>
        <v>29</v>
      </c>
      <c r="F45" s="41">
        <f ca="1">NSG_6_Day_Report!H6</f>
        <v>32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37.32</v>
      </c>
      <c r="C46" s="41">
        <f ca="1">NSG_6_Day_Report!E11</f>
        <v>33</v>
      </c>
      <c r="D46" s="41">
        <f ca="1">NSG_6_Day_Report!F11</f>
        <v>31</v>
      </c>
      <c r="E46" s="41">
        <f ca="1">NSG_6_Day_Report!G11</f>
        <v>29</v>
      </c>
      <c r="F46" s="41">
        <f ca="1">NSG_6_Day_Report!H11</f>
        <v>32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36.216000000000001</v>
      </c>
      <c r="C47" s="41">
        <f>SUM(NSG_Supplies!O8:Q8)/1000</f>
        <v>35.890999999999998</v>
      </c>
      <c r="D47" s="41">
        <f>SUM(NSG_Supplies!O9:Q9)/1000</f>
        <v>35.890999999999998</v>
      </c>
      <c r="E47" s="41">
        <f>SUM(NSG_Supplies!O10:Q10)/1000</f>
        <v>35.890999999999998</v>
      </c>
      <c r="F47" s="41">
        <f>SUM(NSG_Supplies!O11:Q11)/1000</f>
        <v>35.890999999999998</v>
      </c>
      <c r="G47" s="41">
        <f>SUM(NSG_Supplies!O12:Q12)/1000</f>
        <v>35.890999999999998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18.288</v>
      </c>
      <c r="C50" s="41">
        <f>NSG_Supplies!R8/1000</f>
        <v>18.288</v>
      </c>
      <c r="D50" s="41">
        <f>NSG_Supplies!R9/1000</f>
        <v>18.288</v>
      </c>
      <c r="E50" s="41">
        <f>NSG_Supplies!R10/1000</f>
        <v>18.288</v>
      </c>
      <c r="F50" s="41">
        <f>NSG_Supplies!R11/1000</f>
        <v>18.288</v>
      </c>
      <c r="G50" s="41">
        <f>NSG_Supplies!R12/1000</f>
        <v>18.288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37139</v>
      </c>
      <c r="C52" s="89">
        <f t="shared" si="1"/>
        <v>37140</v>
      </c>
      <c r="D52" s="89">
        <f t="shared" si="1"/>
        <v>37141</v>
      </c>
      <c r="E52" s="89">
        <f t="shared" si="1"/>
        <v>37142</v>
      </c>
      <c r="F52" s="89">
        <f t="shared" si="1"/>
        <v>37143</v>
      </c>
      <c r="G52" s="89">
        <f t="shared" si="1"/>
        <v>37144</v>
      </c>
      <c r="H52" s="14"/>
      <c r="I52" s="15"/>
    </row>
    <row r="53" spans="1:9" ht="15">
      <c r="A53" s="92" t="s">
        <v>289</v>
      </c>
      <c r="B53" s="41">
        <f>PGL_Requirements!O7/1000</f>
        <v>125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Thursday</v>
      </c>
      <c r="C4" s="1028" t="str">
        <f>Six_Day_Summary!A15</f>
        <v>Friday</v>
      </c>
      <c r="D4" s="1028" t="str">
        <f>Six_Day_Summary!A20</f>
        <v>Saturday</v>
      </c>
      <c r="E4" s="1028" t="str">
        <f>Six_Day_Summary!A25</f>
        <v>Sunday</v>
      </c>
      <c r="F4" s="1029" t="str">
        <f>Six_Day_Summary!A30</f>
        <v>Monday</v>
      </c>
      <c r="G4" s="98"/>
    </row>
    <row r="5" spans="1:8">
      <c r="A5" s="101" t="s">
        <v>296</v>
      </c>
      <c r="B5" s="1030">
        <f>Weather_Input!A6</f>
        <v>37140</v>
      </c>
      <c r="C5" s="1031">
        <f>Weather_Input!A7</f>
        <v>37141</v>
      </c>
      <c r="D5" s="1031">
        <f>Weather_Input!A8</f>
        <v>37142</v>
      </c>
      <c r="E5" s="1031">
        <f>Weather_Input!A9</f>
        <v>37143</v>
      </c>
      <c r="F5" s="1032">
        <f>Weather_Input!A10</f>
        <v>37144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34.383000000000003</v>
      </c>
      <c r="C6" s="1033">
        <f>PGL_Supplies!AB9/1000+PGL_Supplies!K9/1000-PGL_Requirements!N9/1000+C15-PGL_Requirements!S9/1000</f>
        <v>34.383000000000003</v>
      </c>
      <c r="D6" s="1033">
        <f>PGL_Supplies!AB10/1000+PGL_Supplies!K10/1000-PGL_Requirements!N10/1000+D15-PGL_Requirements!S10/1000</f>
        <v>34.383000000000003</v>
      </c>
      <c r="E6" s="1033">
        <f>PGL_Supplies!AB11/1000+PGL_Supplies!K11/1000-PGL_Requirements!N11/1000+E15-PGL_Requirements!S11/1000</f>
        <v>34.383000000000003</v>
      </c>
      <c r="F6" s="1034">
        <f>PGL_Supplies!AB12/1000+PGL_Supplies!K12/1000-PGL_Requirements!N12/1000+F15-PGL_Requirements!S12/1000</f>
        <v>34.383000000000003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Thursday</v>
      </c>
      <c r="C21" s="1043" t="str">
        <f t="shared" si="0"/>
        <v>Friday</v>
      </c>
      <c r="D21" s="1043" t="str">
        <f t="shared" si="0"/>
        <v>Saturday</v>
      </c>
      <c r="E21" s="1043" t="str">
        <f t="shared" si="0"/>
        <v>Sunday</v>
      </c>
      <c r="F21" s="1044" t="str">
        <f t="shared" si="0"/>
        <v>Monday</v>
      </c>
      <c r="G21" s="98"/>
    </row>
    <row r="22" spans="1:7">
      <c r="A22" s="105" t="s">
        <v>296</v>
      </c>
      <c r="B22" s="1045">
        <f t="shared" si="0"/>
        <v>37140</v>
      </c>
      <c r="C22" s="1045">
        <f t="shared" si="0"/>
        <v>37141</v>
      </c>
      <c r="D22" s="1045">
        <f t="shared" si="0"/>
        <v>37142</v>
      </c>
      <c r="E22" s="1045">
        <f t="shared" si="0"/>
        <v>37143</v>
      </c>
      <c r="F22" s="1046">
        <f t="shared" si="0"/>
        <v>37144</v>
      </c>
      <c r="G22" s="98"/>
    </row>
    <row r="23" spans="1:7">
      <c r="A23" s="98" t="s">
        <v>297</v>
      </c>
      <c r="B23" s="1039">
        <f>NSG_Supplies!Q8/1000+NSG_Supplies!F8/1000-NSG_Requirements!H8/1000</f>
        <v>25.890999999999998</v>
      </c>
      <c r="C23" s="1039">
        <f>NSG_Supplies!Q9/1000+NSG_Supplies!F9/1000-NSG_Requirements!H9/1000</f>
        <v>25.890999999999998</v>
      </c>
      <c r="D23" s="1039">
        <f>NSG_Supplies!Q10/1000+NSG_Supplies!F10/1000-NSG_Requirements!H10/1000</f>
        <v>25.890999999999998</v>
      </c>
      <c r="E23" s="1039">
        <f>NSG_Supplies!Q12/1000+NSG_Supplies!F11/1000-NSG_Requirements!H11/1000</f>
        <v>25.890999999999998</v>
      </c>
      <c r="F23" s="1034">
        <f>NSG_Supplies!Q12/1000+NSG_Supplies!F12/1000-NSG_Requirements!H12/1000</f>
        <v>25.890999999999998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37140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12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12</v>
      </c>
      <c r="D5" s="427"/>
      <c r="E5" s="1240">
        <f>AVERAGE(C5/24)</f>
        <v>0.5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178.47900000000001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94.302000000000007</v>
      </c>
      <c r="D11" s="764"/>
      <c r="E11" s="1248"/>
      <c r="F11" s="1249" t="s">
        <v>778</v>
      </c>
      <c r="G11" s="1250">
        <f>G8+G10</f>
        <v>183.47900000000001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94.302000000000007</v>
      </c>
      <c r="D14" s="427"/>
      <c r="E14" s="1240">
        <f>AVERAGE(C14/24)</f>
        <v>3.9292500000000001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0.42499999999999999</v>
      </c>
      <c r="D15" s="60"/>
      <c r="E15" s="158"/>
      <c r="F15" s="1252" t="s">
        <v>785</v>
      </c>
      <c r="G15" s="1250">
        <f>SUM(G11)-G16-G17-H13</f>
        <v>183.47900000000001</v>
      </c>
      <c r="H15" s="427" t="s">
        <v>9</v>
      </c>
      <c r="I15" s="1240">
        <f>AVERAGE(G15/24)</f>
        <v>7.6449583333333342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-35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-35</v>
      </c>
      <c r="D20" s="1260" t="s">
        <v>9</v>
      </c>
      <c r="E20" s="1240">
        <f>AVERAGE(C20/24)</f>
        <v>-1.4583333333333333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37140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12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12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25.890999999999998</v>
      </c>
      <c r="I9" s="958"/>
      <c r="K9" s="887" t="s">
        <v>610</v>
      </c>
      <c r="L9" s="909">
        <f>NSG_Deliveries!C6/1000</f>
        <v>33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-35</v>
      </c>
      <c r="B11" s="958"/>
      <c r="H11" s="909">
        <f>NSG_Supplies!T8/1000</f>
        <v>0</v>
      </c>
      <c r="K11" s="890" t="s">
        <v>611</v>
      </c>
      <c r="L11" s="915">
        <f>SUM(K4+K17+K19+H11+H9-L9)</f>
        <v>4.8909999999999982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94.302000000000007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390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183.47900000000001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190</v>
      </c>
      <c r="L26" s="887" t="s">
        <v>610</v>
      </c>
      <c r="M26" s="909">
        <f>NSG_Deliveries!C6/1000</f>
        <v>33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136.78100000000001</v>
      </c>
      <c r="L28" s="890" t="s">
        <v>650</v>
      </c>
      <c r="M28" s="915">
        <f>SUM(J2+K17+K19+H11+H9-M26)</f>
        <v>4.8909999999999982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37139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34.383000000000003</v>
      </c>
    </row>
    <row r="30" spans="1:17" ht="10.5" customHeight="1">
      <c r="A30" s="892"/>
      <c r="B30" s="909"/>
      <c r="C30" s="890"/>
      <c r="D30" s="909"/>
      <c r="F30" s="1006">
        <f>PGL_Requirements!A8</f>
        <v>37140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-18.835999999999984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425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246.78100000000001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136.78100000000001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407.5</v>
      </c>
      <c r="E48" s="974"/>
      <c r="F48" s="975">
        <v>0.161</v>
      </c>
      <c r="G48" s="976">
        <f>(C48-D48)*F48</f>
        <v>55.142499999999998</v>
      </c>
      <c r="H48" s="976">
        <f>(D48-B48)*F48</f>
        <v>17.307500000000001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78.022499999999994</v>
      </c>
      <c r="H49" s="976">
        <f>SUM(H45:H48)</f>
        <v>27.7075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37139</v>
      </c>
      <c r="B5" s="11">
        <v>77</v>
      </c>
      <c r="C5" s="49">
        <v>60</v>
      </c>
      <c r="D5" s="49">
        <v>6</v>
      </c>
      <c r="E5" s="11" t="s">
        <v>815</v>
      </c>
      <c r="F5" s="11" t="s">
        <v>9</v>
      </c>
      <c r="G5" s="11"/>
      <c r="H5" s="11" t="s">
        <v>9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  TODAY - DELIGHTFUL WITH SUNSHINE   TODAY - DELIGHTFUL WITH SUNSHINE</v>
      </c>
      <c r="AE5" s="15">
        <v>1</v>
      </c>
      <c r="AH5" s="15" t="s">
        <v>32</v>
      </c>
    </row>
    <row r="6" spans="1:34" ht="16.5" customHeight="1">
      <c r="A6" s="86">
        <f>A5+1</f>
        <v>37140</v>
      </c>
      <c r="B6" s="11">
        <v>84</v>
      </c>
      <c r="C6" s="49">
        <v>66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1</v>
      </c>
      <c r="L6" s="11" t="s">
        <v>558</v>
      </c>
      <c r="N6" s="15" t="str">
        <f>I6&amp;" "&amp;J6</f>
        <v xml:space="preserve">  WARM WITH SUNSHINE AND A FEW CLOUDS  </v>
      </c>
      <c r="AE6" s="15">
        <v>1</v>
      </c>
      <c r="AH6" s="15" t="s">
        <v>33</v>
      </c>
    </row>
    <row r="7" spans="1:34" ht="16.5" customHeight="1">
      <c r="A7" s="86">
        <f>A6+1</f>
        <v>37141</v>
      </c>
      <c r="B7" s="11">
        <v>83</v>
      </c>
      <c r="C7" s="49">
        <v>64</v>
      </c>
      <c r="D7" s="49">
        <v>15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IT MAY THUNDERSTORM WITH INTERVALS OF CLOUDS AND SUNSHINE  </v>
      </c>
    </row>
    <row r="8" spans="1:34" ht="16.5" customHeight="1">
      <c r="A8" s="86">
        <f>A7+1</f>
        <v>37142</v>
      </c>
      <c r="B8" s="11">
        <v>75</v>
      </c>
      <c r="C8" s="49">
        <v>55</v>
      </c>
      <c r="D8" s="49">
        <v>15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826</v>
      </c>
      <c r="K8" s="11">
        <v>3</v>
      </c>
      <c r="L8" s="11"/>
      <c r="N8" s="15" t="str">
        <f>I8&amp;" "&amp;J8</f>
        <v xml:space="preserve">  CLOUDY EARLY IN THE DAY WITH A SHOWER POSSIBLE    FOLLOWED BY PERIODS OF CLOUDS AND SUNSHINE</v>
      </c>
    </row>
    <row r="9" spans="1:34" ht="16.5" customHeight="1">
      <c r="A9" s="86">
        <f>A8+1</f>
        <v>37143</v>
      </c>
      <c r="B9" s="11">
        <v>68</v>
      </c>
      <c r="C9" s="49">
        <v>50</v>
      </c>
      <c r="D9" s="49">
        <v>15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TIMES OF CLOUDS AND SUN  </v>
      </c>
    </row>
    <row r="10" spans="1:34" ht="16.5" customHeight="1">
      <c r="A10" s="86">
        <f>A9+1</f>
        <v>37144</v>
      </c>
      <c r="B10" s="11">
        <v>68</v>
      </c>
      <c r="C10" s="49">
        <v>50</v>
      </c>
      <c r="D10" s="49">
        <v>15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TIMES OF CLOUDS AND SUN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37139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1.8140000000000001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156.25799999999998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99.057000000000002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8.4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90.656999999999996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25.425000000000001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63.988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57.003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176.429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77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60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6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37139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12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24.216000000000001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26.837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178.929</v>
      </c>
      <c r="E5" s="1263">
        <f>SUM(PGL_Nine_to_Nine!F24)*2</f>
        <v>0</v>
      </c>
      <c r="G5" s="1263">
        <f>SUM(C5-E5)</f>
        <v>178.929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37139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37138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93489</v>
      </c>
      <c r="O6" s="199">
        <v>0</v>
      </c>
      <c r="P6" s="199">
        <v>56079522</v>
      </c>
      <c r="Q6" s="199">
        <v>15045098</v>
      </c>
      <c r="R6" s="199">
        <v>41034424</v>
      </c>
      <c r="S6" s="199">
        <v>0</v>
      </c>
    </row>
    <row r="7" spans="1:19">
      <c r="A7" s="4">
        <f>B1</f>
        <v>37139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104085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56183607</v>
      </c>
      <c r="Q7">
        <f>IF(O7&gt;0,Q6+O7,Q6)</f>
        <v>15045098</v>
      </c>
      <c r="R7">
        <f>IF(P7&gt;Q7,P7-Q7,0)</f>
        <v>41138509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37139</v>
      </c>
      <c r="B5" s="1">
        <f>(Weather_Input!B5+Weather_Input!C5)/2</f>
        <v>68.5</v>
      </c>
      <c r="C5" s="868">
        <v>187500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1814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37140</v>
      </c>
      <c r="B6" s="886">
        <f>(Weather_Input!B6+Weather_Input!C6)/2</f>
        <v>75</v>
      </c>
      <c r="C6" s="868">
        <v>190000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37141</v>
      </c>
      <c r="B7" s="886">
        <f>(Weather_Input!B7+Weather_Input!C7)/2</f>
        <v>73.5</v>
      </c>
      <c r="C7" s="868">
        <v>180000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37142</v>
      </c>
      <c r="B8" s="886">
        <f>(Weather_Input!B8+Weather_Input!C8)/2</f>
        <v>65</v>
      </c>
      <c r="C8" s="868">
        <v>170000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37143</v>
      </c>
      <c r="B9" s="886">
        <f>(Weather_Input!B9+Weather_Input!C9)/2</f>
        <v>59</v>
      </c>
      <c r="C9" s="868">
        <v>185000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37144</v>
      </c>
      <c r="B10" s="886">
        <f>(Weather_Input!B10+Weather_Input!C10)/2</f>
        <v>59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37139</v>
      </c>
      <c r="B5" s="1">
        <f>(Weather_Input!B5+Weather_Input!C5)/2</f>
        <v>68.5</v>
      </c>
      <c r="C5" s="868">
        <v>32700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37140</v>
      </c>
      <c r="B6" s="886">
        <f>(Weather_Input!B6+Weather_Input!C6)/2</f>
        <v>75</v>
      </c>
      <c r="C6" s="868">
        <v>33000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37141</v>
      </c>
      <c r="B7" s="886">
        <f>(Weather_Input!B7+Weather_Input!C7)/2</f>
        <v>73.5</v>
      </c>
      <c r="C7" s="868">
        <v>31000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37142</v>
      </c>
      <c r="B8" s="886">
        <f>(Weather_Input!B8+Weather_Input!C8)/2</f>
        <v>65</v>
      </c>
      <c r="C8" s="868">
        <v>29000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37143</v>
      </c>
      <c r="B9" s="886">
        <f>(Weather_Input!B9+Weather_Input!C9)/2</f>
        <v>59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37144</v>
      </c>
      <c r="B10" s="886">
        <f>(Weather_Input!B10+Weather_Input!C10)/2</f>
        <v>59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37139</v>
      </c>
      <c r="B7" s="877">
        <v>0</v>
      </c>
      <c r="C7" s="608">
        <v>0</v>
      </c>
      <c r="D7" s="608">
        <v>7500</v>
      </c>
      <c r="E7" s="877">
        <v>5028</v>
      </c>
      <c r="F7" s="877">
        <v>2000</v>
      </c>
      <c r="G7" s="879">
        <v>0</v>
      </c>
      <c r="H7" s="607">
        <v>0</v>
      </c>
      <c r="I7" s="607">
        <v>8400</v>
      </c>
      <c r="J7" s="608">
        <v>0</v>
      </c>
      <c r="K7" s="607">
        <v>0</v>
      </c>
      <c r="L7" s="608">
        <v>0</v>
      </c>
      <c r="M7" s="608">
        <v>0</v>
      </c>
      <c r="N7" s="609">
        <v>31400</v>
      </c>
      <c r="O7" s="608">
        <v>125000</v>
      </c>
      <c r="P7" s="610">
        <f t="shared" ref="P7:P12" si="0">O7*0.015</f>
        <v>1875</v>
      </c>
      <c r="Q7" s="608">
        <v>600</v>
      </c>
      <c r="R7" s="608">
        <v>0</v>
      </c>
      <c r="S7" s="608">
        <v>0</v>
      </c>
      <c r="T7" s="607">
        <v>25425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37140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110000</v>
      </c>
      <c r="P8" s="610">
        <f t="shared" si="0"/>
        <v>1650</v>
      </c>
      <c r="Q8" s="608">
        <v>600</v>
      </c>
      <c r="R8" s="608">
        <v>0</v>
      </c>
      <c r="S8" s="608">
        <v>0</v>
      </c>
      <c r="T8" s="607">
        <v>35425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37141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110000</v>
      </c>
      <c r="P9" s="610">
        <f t="shared" si="0"/>
        <v>1650</v>
      </c>
      <c r="Q9" s="608">
        <v>600</v>
      </c>
      <c r="R9" s="608">
        <v>0</v>
      </c>
      <c r="S9" s="608">
        <v>0</v>
      </c>
      <c r="T9" s="607">
        <v>35425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37142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110000</v>
      </c>
      <c r="P10" s="610">
        <f t="shared" si="0"/>
        <v>1650</v>
      </c>
      <c r="Q10" s="608">
        <v>600</v>
      </c>
      <c r="R10" s="608">
        <v>0</v>
      </c>
      <c r="S10" s="608">
        <v>0</v>
      </c>
      <c r="T10" s="607">
        <v>35425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37143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110000</v>
      </c>
      <c r="P11" s="610">
        <f t="shared" si="0"/>
        <v>1650</v>
      </c>
      <c r="Q11" s="608">
        <v>600</v>
      </c>
      <c r="R11" s="608">
        <v>0</v>
      </c>
      <c r="S11" s="608">
        <v>0</v>
      </c>
      <c r="T11" s="607">
        <v>35425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37144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110000</v>
      </c>
      <c r="P12" s="610">
        <f t="shared" si="0"/>
        <v>1650</v>
      </c>
      <c r="Q12" s="608">
        <v>600</v>
      </c>
      <c r="R12" s="608">
        <v>0</v>
      </c>
      <c r="S12" s="608">
        <v>0</v>
      </c>
      <c r="T12" s="607">
        <v>35425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37139</v>
      </c>
      <c r="B7" s="610">
        <v>0</v>
      </c>
      <c r="C7" s="610">
        <v>10800</v>
      </c>
      <c r="D7" s="610">
        <v>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167014</v>
      </c>
      <c r="V7" s="609">
        <v>0</v>
      </c>
      <c r="W7" s="607">
        <v>0</v>
      </c>
      <c r="X7" s="880">
        <v>99057</v>
      </c>
      <c r="Y7" s="609">
        <v>25425</v>
      </c>
      <c r="Z7" s="1">
        <v>0</v>
      </c>
      <c r="AA7" s="607">
        <v>176429</v>
      </c>
      <c r="AB7" s="607">
        <v>63988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167014</v>
      </c>
      <c r="V8" s="609">
        <v>0</v>
      </c>
      <c r="W8" s="607">
        <v>0</v>
      </c>
      <c r="X8" s="880">
        <v>94302</v>
      </c>
      <c r="Y8" s="609">
        <v>425</v>
      </c>
      <c r="Z8" s="1">
        <v>0</v>
      </c>
      <c r="AA8" s="607">
        <v>178479</v>
      </c>
      <c r="AB8" s="607">
        <v>42383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167014</v>
      </c>
      <c r="V9" s="609">
        <v>0</v>
      </c>
      <c r="W9" s="607">
        <v>0</v>
      </c>
      <c r="X9" s="880">
        <v>87302</v>
      </c>
      <c r="Y9" s="609">
        <v>425</v>
      </c>
      <c r="Z9" s="1">
        <v>0</v>
      </c>
      <c r="AA9" s="607">
        <v>172979</v>
      </c>
      <c r="AB9" s="607">
        <v>42383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167014</v>
      </c>
      <c r="V10" s="609">
        <v>0</v>
      </c>
      <c r="W10" s="607">
        <v>0</v>
      </c>
      <c r="X10" s="880">
        <v>87302</v>
      </c>
      <c r="Y10" s="609">
        <v>425</v>
      </c>
      <c r="Z10" s="1">
        <v>0</v>
      </c>
      <c r="AA10" s="607">
        <v>172979</v>
      </c>
      <c r="AB10" s="607">
        <v>42383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167014</v>
      </c>
      <c r="V11" s="609">
        <v>0</v>
      </c>
      <c r="W11" s="607">
        <v>0</v>
      </c>
      <c r="X11" s="880">
        <v>87302</v>
      </c>
      <c r="Y11" s="609">
        <v>425</v>
      </c>
      <c r="Z11" s="1">
        <v>0</v>
      </c>
      <c r="AA11" s="607">
        <v>172979</v>
      </c>
      <c r="AB11" s="607">
        <v>42383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167014</v>
      </c>
      <c r="V12" s="609">
        <v>0</v>
      </c>
      <c r="W12" s="607">
        <v>0</v>
      </c>
      <c r="X12" s="880">
        <v>87302</v>
      </c>
      <c r="Y12" s="609">
        <v>425</v>
      </c>
      <c r="Z12" s="1">
        <v>0</v>
      </c>
      <c r="AA12" s="607">
        <v>172979</v>
      </c>
      <c r="AB12" s="607">
        <v>42383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37139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4620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37139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37140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37140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37141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37141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37142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37142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37143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37143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37144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37144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37139</v>
      </c>
      <c r="B7" s="610">
        <v>0</v>
      </c>
      <c r="C7" s="611">
        <v>0</v>
      </c>
      <c r="D7" s="610">
        <v>0</v>
      </c>
      <c r="E7" s="610">
        <v>0</v>
      </c>
      <c r="F7" s="610">
        <v>1100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12000</v>
      </c>
      <c r="Q7" s="610">
        <v>24216</v>
      </c>
      <c r="R7" s="610">
        <v>18288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37140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12000</v>
      </c>
      <c r="Q8" s="610">
        <v>23891</v>
      </c>
      <c r="R8" s="610">
        <v>18288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37141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12000</v>
      </c>
      <c r="Q9" s="610">
        <v>23891</v>
      </c>
      <c r="R9" s="610">
        <v>18288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37142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12000</v>
      </c>
      <c r="Q10" s="610">
        <v>23891</v>
      </c>
      <c r="R10" s="610">
        <v>18288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37143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12000</v>
      </c>
      <c r="Q11" s="610">
        <v>23891</v>
      </c>
      <c r="R11" s="610">
        <v>18288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37144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12000</v>
      </c>
      <c r="Q12" s="610">
        <v>23891</v>
      </c>
      <c r="R12" s="610">
        <v>18288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WED</v>
      </c>
      <c r="I1" s="803">
        <f>D4</f>
        <v>37139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WED</v>
      </c>
      <c r="E3" s="808" t="str">
        <f t="shared" si="0"/>
        <v>THU</v>
      </c>
      <c r="F3" s="808" t="str">
        <f t="shared" si="0"/>
        <v>FRI</v>
      </c>
      <c r="G3" s="808" t="str">
        <f t="shared" si="0"/>
        <v>SAT</v>
      </c>
      <c r="H3" s="808" t="str">
        <f t="shared" si="0"/>
        <v>SUN</v>
      </c>
      <c r="I3" s="809" t="str">
        <f t="shared" si="0"/>
        <v>MON</v>
      </c>
    </row>
    <row r="4" spans="1:256" ht="18.95" customHeight="1" thickBot="1">
      <c r="A4" s="810"/>
      <c r="B4" s="811"/>
      <c r="C4" s="811"/>
      <c r="D4" s="449">
        <f>Weather_Input!A5</f>
        <v>37139</v>
      </c>
      <c r="E4" s="449">
        <f>Weather_Input!A6</f>
        <v>37140</v>
      </c>
      <c r="F4" s="449">
        <f>Weather_Input!A7</f>
        <v>37141</v>
      </c>
      <c r="G4" s="449">
        <f>Weather_Input!A8</f>
        <v>37142</v>
      </c>
      <c r="H4" s="449">
        <f>Weather_Input!A9</f>
        <v>37143</v>
      </c>
      <c r="I4" s="450">
        <f>Weather_Input!A10</f>
        <v>37144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77/60/69</v>
      </c>
      <c r="E5" s="451" t="str">
        <f>TEXT(Weather_Input!B6,"0")&amp;"/"&amp;TEXT(Weather_Input!C6,"0") &amp; "/" &amp; TEXT((Weather_Input!B6+Weather_Input!C6)/2,"0")</f>
        <v>84/66/75</v>
      </c>
      <c r="F5" s="451" t="str">
        <f>TEXT(Weather_Input!B7,"0")&amp;"/"&amp;TEXT(Weather_Input!C7,"0") &amp; "/" &amp; TEXT((Weather_Input!B7+Weather_Input!C7)/2,"0")</f>
        <v>83/64/74</v>
      </c>
      <c r="G5" s="451" t="str">
        <f>TEXT(Weather_Input!B8,"0")&amp;"/"&amp;TEXT(Weather_Input!C8,"0") &amp; "/" &amp; TEXT((Weather_Input!B8+Weather_Input!C8)/2,"0")</f>
        <v>75/55/65</v>
      </c>
      <c r="H5" s="451" t="str">
        <f>TEXT(Weather_Input!B9,"0")&amp;"/"&amp;TEXT(Weather_Input!C9,"0") &amp; "/" &amp; TEXT((Weather_Input!B9+Weather_Input!C9)/2,"0")</f>
        <v>68/50/59</v>
      </c>
      <c r="I5" s="452" t="str">
        <f>TEXT(Weather_Input!B10,"0")&amp;"/"&amp;TEXT(Weather_Input!C10,"0") &amp; "/" &amp; TEXT((Weather_Input!B10+Weather_Input!C10)/2,"0")</f>
        <v>68/50/59</v>
      </c>
    </row>
    <row r="6" spans="1:256" ht="18.95" customHeight="1">
      <c r="A6" s="817" t="s">
        <v>133</v>
      </c>
      <c r="B6" s="805"/>
      <c r="C6" s="805"/>
      <c r="D6" s="451">
        <f>PGL_Deliveries!C5/1000</f>
        <v>187.5</v>
      </c>
      <c r="E6" s="451">
        <f>PGL_Deliveries!C6/1000</f>
        <v>190</v>
      </c>
      <c r="F6" s="451">
        <f>PGL_Deliveries!C7/1000</f>
        <v>180</v>
      </c>
      <c r="G6" s="451">
        <f>PGL_Deliveries!C8/1000</f>
        <v>170</v>
      </c>
      <c r="H6" s="451">
        <f>PGL_Deliveries!C9/1000</f>
        <v>185</v>
      </c>
      <c r="I6" s="452">
        <f>PGL_Deliveries!C10/1000</f>
        <v>200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125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1.875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95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25.425000000000001</v>
      </c>
      <c r="E15" s="451">
        <f>PGL_Requirements!T8/1000</f>
        <v>35.424999999999997</v>
      </c>
      <c r="F15" s="451">
        <f>PGL_Requirements!T9/1000</f>
        <v>35.424999999999997</v>
      </c>
      <c r="G15" s="451">
        <f>PGL_Requirements!T10/1000</f>
        <v>35.424999999999997</v>
      </c>
      <c r="H15" s="451">
        <f>PGL_Requirements!T11/1000</f>
        <v>35.424999999999997</v>
      </c>
      <c r="I15" s="452">
        <f>PGL_Requirements!T12/1000</f>
        <v>35.424999999999997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31.4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2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8.4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7.5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394.72800000000001</v>
      </c>
      <c r="E25" s="455">
        <f t="shared" si="1"/>
        <v>350.70300000000003</v>
      </c>
      <c r="F25" s="455">
        <f t="shared" si="1"/>
        <v>340.70300000000003</v>
      </c>
      <c r="G25" s="455">
        <f t="shared" si="1"/>
        <v>330.70300000000003</v>
      </c>
      <c r="H25" s="455">
        <f t="shared" si="1"/>
        <v>345.70300000000003</v>
      </c>
      <c r="I25" s="1060">
        <f t="shared" si="1"/>
        <v>360.70300000000003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99.057000000000002</v>
      </c>
      <c r="E37" s="451">
        <f>PGL_Supplies!X8/1000</f>
        <v>94.302000000000007</v>
      </c>
      <c r="F37" s="451">
        <f>PGL_Supplies!X9/1000</f>
        <v>87.302000000000007</v>
      </c>
      <c r="G37" s="451">
        <f>PGL_Supplies!X10/1000</f>
        <v>87.302000000000007</v>
      </c>
      <c r="H37" s="451">
        <f>PGL_Supplies!X11/1000</f>
        <v>87.302000000000007</v>
      </c>
      <c r="I37" s="452">
        <f>PGL_Supplies!X12/1000</f>
        <v>87.302000000000007</v>
      </c>
    </row>
    <row r="38" spans="1:10" ht="18.95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0.42499999999999999</v>
      </c>
      <c r="F38" s="451">
        <f>PGL_Supplies!Y9/1000</f>
        <v>0.42499999999999999</v>
      </c>
      <c r="G38" s="451">
        <f>PGL_Supplies!Y10/1000</f>
        <v>0.42499999999999999</v>
      </c>
      <c r="H38" s="451">
        <f>PGL_Supplies!Y11/1000</f>
        <v>0.42499999999999999</v>
      </c>
      <c r="I38" s="452">
        <f>PGL_Supplies!Y12/1000</f>
        <v>0.42499999999999999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176.429</v>
      </c>
      <c r="E40" s="451">
        <f>PGL_Supplies!AA8/1000</f>
        <v>178.47900000000001</v>
      </c>
      <c r="F40" s="451">
        <f>PGL_Supplies!AA9/1000</f>
        <v>172.97900000000001</v>
      </c>
      <c r="G40" s="451">
        <f>PGL_Supplies!AA10/1000</f>
        <v>172.97900000000001</v>
      </c>
      <c r="H40" s="451">
        <f>PGL_Supplies!AA11/1000</f>
        <v>172.97900000000001</v>
      </c>
      <c r="I40" s="452">
        <f>PGL_Supplies!AA12/1000</f>
        <v>172.97900000000001</v>
      </c>
    </row>
    <row r="41" spans="1:10" ht="18.95" customHeight="1">
      <c r="A41" s="817"/>
      <c r="B41" s="805" t="s">
        <v>134</v>
      </c>
      <c r="C41" s="805"/>
      <c r="D41" s="451">
        <f>PGL_Supplies!AB7/1000</f>
        <v>63.988</v>
      </c>
      <c r="E41" s="451">
        <f>PGL_Supplies!AB8/1000</f>
        <v>42.383000000000003</v>
      </c>
      <c r="F41" s="451">
        <f>PGL_Supplies!AB9/1000</f>
        <v>42.383000000000003</v>
      </c>
      <c r="G41" s="451">
        <f>PGL_Supplies!AB10/1000</f>
        <v>42.383000000000003</v>
      </c>
      <c r="H41" s="451">
        <f>PGL_Supplies!AB11/1000</f>
        <v>42.383000000000003</v>
      </c>
      <c r="I41" s="452">
        <f>PGL_Supplies!AB12/1000</f>
        <v>42.383000000000003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10.8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394.72700000000003</v>
      </c>
      <c r="E50" s="461">
        <f t="shared" si="2"/>
        <v>329.61700000000002</v>
      </c>
      <c r="F50" s="461">
        <f t="shared" si="2"/>
        <v>312.11700000000002</v>
      </c>
      <c r="G50" s="461">
        <f t="shared" si="2"/>
        <v>312.11700000000002</v>
      </c>
      <c r="H50" s="461">
        <f t="shared" si="2"/>
        <v>312.11700000000002</v>
      </c>
      <c r="I50" s="1062">
        <f t="shared" si="2"/>
        <v>312.11700000000002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9.9999999997635314E-4</v>
      </c>
      <c r="E52" s="463">
        <f t="shared" si="4"/>
        <v>21.086000000000013</v>
      </c>
      <c r="F52" s="463">
        <f t="shared" si="4"/>
        <v>28.586000000000013</v>
      </c>
      <c r="G52" s="463">
        <f t="shared" si="4"/>
        <v>18.586000000000013</v>
      </c>
      <c r="H52" s="463">
        <f t="shared" si="4"/>
        <v>33.586000000000013</v>
      </c>
      <c r="I52" s="1064">
        <f t="shared" si="4"/>
        <v>48.586000000000013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167.01400000000001</v>
      </c>
      <c r="E53" s="1053">
        <f>PGL_Supplies!U8/1000</f>
        <v>167.01400000000001</v>
      </c>
      <c r="F53" s="1053">
        <f>PGL_Supplies!U9/1000</f>
        <v>167.01400000000001</v>
      </c>
      <c r="G53" s="1053">
        <f>PGL_Supplies!U10/1000</f>
        <v>167.01400000000001</v>
      </c>
      <c r="H53" s="1053">
        <f>PGL_Supplies!U11/1000</f>
        <v>167.01400000000001</v>
      </c>
      <c r="I53" s="1054">
        <f>PGL_Supplies!U12/1000</f>
        <v>167.01400000000001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2001-09-05T18:46:19Z</cp:lastPrinted>
  <dcterms:created xsi:type="dcterms:W3CDTF">1997-07-16T16:14:22Z</dcterms:created>
  <dcterms:modified xsi:type="dcterms:W3CDTF">2023-09-10T17:00:42Z</dcterms:modified>
</cp:coreProperties>
</file>