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01BF4B-FB97-4396-B2A1-75288C61F549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<sst xmlns="http://schemas.openxmlformats.org/spreadsheetml/2006/main" count="2086" uniqueCount="826">
  <si>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</si>
  <si>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</si>
  <si>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</si>
  <si>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</si>
  <si>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</si>
  <si>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</si>
  <si>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</si>
  <si>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</si>
  <si>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</si>
  <si>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</si>
  <si>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</si>
  <si>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</si>
  <si>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</si>
  <si>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</si>
  <si>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</si>
  <si>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</si>
  <si>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</si>
  <si>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</si>
  <si>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</si>
  <si>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</si>
  <si>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</si>
  <si>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</si>
  <si>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</si>
  <si>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</si>
  <si>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</si>
  <si>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</si>
  <si>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</si>
  <si>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</si>
  <si>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</si>
  <si>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</si>
  <si>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</si>
  <si>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</si>
  <si>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</si>
  <si>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</si>
  <si>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</si>
  <si>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</si>
  <si>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</si>
  <si>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</si>
  <si>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</si>
  <si>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</si>
  <si>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</si>
  <si>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</si>
  <si>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</si>
  <si>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</si>
  <si>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</si>
  <si>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</si>
  <si>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</si>
  <si>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</si>
  <si>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</si>
  <si>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</si>
  <si>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</si>
  <si>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</si>
  <si>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</si>
  <si>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</si>
  <si>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</si>
  <si>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</si>
  <si>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</si>
  <si>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</si>
  <si>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</si>
  <si>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</si>
  <si>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</si>
  <si>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</si>
  <si>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</si>
  <si>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</si>
  <si>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</si>
  <si>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</si>
  <si>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</si>
  <si>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</si>
  <si>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</si>
  <si>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</si>
  <si>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</si>
  <si>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</si>
  <si>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</si>
  <si>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</si>
  <si>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</si>
  <si>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</si>
  <si>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</si>
  <si>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</si>
  <si>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</si>
  <si>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</si>
  <si>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</si>
  <si>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</si>
  <si>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</si>
  <si>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</si>
  <si>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</si>
  <si>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</si>
  <si>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</si>
  <si>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</si>
  <si>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</si>
  <si>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</si>
  <si>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</si>
  <si>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</si>
  <si>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</si>
  <si>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</si>
  <si>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</si>
  <si>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</si>
  <si>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</si>
  <si>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</si>
  <si>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</si>
  <si>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</si>
  <si>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</si>
  <si>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</si>
  <si>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</si>
  <si>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</si>
  <si>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</si>
  <si>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</si>
  <si>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</si>
  <si>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</si>
  <si>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</si>
  <si>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</si>
  <si>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</si>
  <si>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</si>
  <si>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</si>
  <si>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</si>
  <si>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</si>
  <si>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</si>
  <si>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</si>
  <si>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</si>
  <si>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</si>
  <si>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</si>
  <si>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</si>
  <si>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</si>
  <si>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</si>
  <si>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</si>
  <si>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</si>
  <si>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</si>
  <si>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</si>
  <si>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</si>
  <si>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</si>
  <si>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</si>
  <si>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</si>
  <si>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</si>
  <si>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</si>
  <si>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</si>
  <si>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</si>
  <si>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</si>
  <si>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</si>
  <si>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</si>
  <si>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</si>
  <si>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</si>
  <si>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</si>
  <si>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</si>
  <si>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</si>
  <si>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</si>
  <si>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</si>
  <si>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</si>
  <si>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</si>
  <si>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</si>
  <si>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</si>
  <si>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</si>
  <si>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</si>
  <si>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</si>
  <si>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</si>
  <si>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</si>
  <si>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</si>
  <si>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</si>
  <si>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</si>
  <si>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</si>
  <si>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</si>
  <si>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</si>
  <si>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</si>
  <si>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</si>
  <si>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</si>
  <si>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</si>
  <si>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</si>
  <si>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</si>
  <si>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</si>
  <si>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</si>
  <si>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</si>
  <si>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</si>
  <si>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</si>
  <si>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</si>
  <si>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</si>
  <si>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</si>
  <si>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</si>
  <si>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</si>
  <si>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</si>
  <si>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</si>
  <si>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</si>
  <si>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</si>
  <si>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</si>
  <si>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</si>
  <si>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</si>
  <si>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</si>
  <si>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</si>
  <si>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</si>
  <si>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</si>
  <si>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</si>
  <si>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</si>
  <si>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</si>
  <si>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</si>
  <si>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</si>
  <si>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</si>
  <si>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</si>
  <si>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</si>
  <si>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</si>
  <si>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</si>
  <si>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</si>
  <si>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</si>
  <si>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</si>
  <si>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</si>
  <si>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</si>
  <si>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</si>
  <si>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</si>
  <si>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</si>
  <si>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</si>
  <si>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</si>
  <si>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</si>
  <si>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</si>
  <si>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</si>
  <si>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</si>
  <si>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</si>
  <si>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</si>
  <si>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</si>
  <si>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</si>
  <si>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</si>
  <si>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</si>
  <si>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</si>
  <si>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</si>
  <si>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</si>
  <si>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</si>
  <si>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</si>
  <si>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</si>
  <si>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</si>
  <si>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</si>
  <si>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</si>
  <si>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</si>
  <si>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</si>
  <si>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</si>
  <si>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</si>
  <si>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</si>
  <si>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</si>
  <si>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</si>
  <si>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</si>
  <si>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</si>
  <si>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</si>
  <si>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</si>
  <si>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</si>
  <si>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</si>
  <si>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</si>
  <si>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</si>
  <si>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</si>
  <si>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</si>
  <si>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</si>
  <si>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</si>
  <si>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</si>
  <si>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</si>
  <si>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</si>
  <si>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</si>
  <si>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</si>
  <si>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</si>
  <si>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</si>
  <si>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</si>
  <si>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</si>
  <si>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</si>
  <si>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</si>
  <si>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</si>
  <si>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</si>
  <si>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</si>
  <si>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</si>
  <si>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</si>
  <si>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</si>
  <si>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</si>
  <si>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</si>
  <si>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</si>
  <si>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</si>
  <si>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</si>
  <si>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</si>
  <si>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</si>
  <si>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</si>
  <si>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</si>
  <si>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</si>
  <si>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</si>
  <si>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</si>
  <si>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</si>
  <si>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</si>
  <si>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</si>
  <si>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</si>
  <si>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</si>
  <si>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</si>
  <si>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</si>
  <si>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</si>
  <si>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</si>
  <si>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</si>
  <si>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</si>
  <si>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</si>
  <si>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</si>
  <si>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</si>
  <si>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</si>
  <si>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</si>
  <si>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</si>
  <si>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</si>
  <si>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</si>
  <si>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</si>
  <si>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</si>
  <si>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</si>
  <si>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</si>
  <si>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</si>
  <si>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</si>
  <si>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</si>
  <si>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</si>
  <si>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</si>
  <si>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</si>
  <si>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</si>
  <si>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</si>
  <si>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</si>
  <si>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</si>
  <si>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</si>
  <si>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</si>
  <si>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</si>
  <si>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</si>
  <si>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</si>
  <si>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</si>
  <si>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</si>
  <si>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</si>
  <si>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</si>
  <si>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</si>
  <si>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</si>
  <si>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</si>
  <si>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</si>
  <si>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</si>
  <si>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</si>
  <si>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</si>
  <si>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</si>
  <si>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</si>
  <si>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</si>
  <si>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</si>
  <si>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</si>
  <si>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</si>
  <si>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</si>
  <si>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</si>
  <si>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</si>
  <si>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</si>
  <si>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</si>
  <si>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</si>
  <si>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</si>
  <si>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</si>
  <si>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</si>
  <si>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</si>
  <si>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</si>
  <si>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</si>
  <si>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</si>
  <si>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</si>
  <si>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</si>
  <si>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</si>
  <si>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</si>
  <si>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</si>
  <si>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</si>
  <si>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</si>
  <si>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</si>
  <si>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</si>
  <si>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</si>
  <si>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</si>
  <si>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</si>
  <si>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</si>
  <si>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</si>
  <si>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</si>
  <si>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</si>
  <si>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</si>
  <si>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</si>
  <si>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</si>
  <si>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</si>
  <si>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</si>
  <si>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</si>
  <si>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</si>
  <si>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</si>
  <si>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</si>
  <si>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</si>
  <si>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</si>
  <si>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</si>
  <si>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</si>
  <si>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</si>
  <si>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</si>
  <si>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</si>
  <si>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</si>
  <si>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</si>
  <si>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</si>
  <si>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</si>
  <si>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</si>
  <si>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</si>
  <si>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</si>
  <si>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</si>
  <si>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</si>
  <si>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</si>
  <si>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</si>
  <si>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</si>
  <si>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</si>
  <si>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</si>
  <si>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</si>
  <si>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</si>
  <si>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</si>
  <si>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</si>
  <si>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</si>
  <si>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</si>
  <si>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</si>
  <si>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</si>
  <si>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</si>
  <si>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</si>
  <si>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</si>
  <si>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</si>
  <si>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</si>
  <si>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</si>
  <si>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</si>
  <si>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</si>
  <si>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</si>
  <si>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</si>
  <si>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</si>
  <si>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</si>
  <si>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</si>
  <si>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</si>
  <si>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</si>
  <si>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</si>
  <si>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</si>
  <si>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</si>
  <si>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</si>
  <si>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</si>
  <si>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</si>
  <si>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</si>
  <si>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</si>
  <si>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</si>
  <si>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</si>
  <si>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</si>
  <si>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</si>
  <si>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</si>
  <si>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</si>
  <si>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</si>
  <si>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</si>
  <si>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</si>
  <si>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</si>
  <si>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</si>
  <si>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</si>
  <si>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</si>
  <si>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</si>
  <si>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</si>
  <si>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</si>
  <si>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</si>
  <si>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</si>
  <si>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</si>
  <si>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</si>
  <si>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</si>
  <si>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</si>
  <si>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</si>
  <si>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</si>
  <si>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</si>
  <si>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</si>
  <si>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</si>
  <si>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</si>
  <si>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</si>
  <si>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</si>
  <si>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</si>
  <si>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</si>
  <si>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</si>
  <si>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</si>
  <si>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</si>
  <si>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</si>
  <si>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</si>
  <si>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</si>
  <si>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</si>
  <si>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</si>
  <si>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</si>
  <si>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</si>
  <si>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</si>
  <si>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</si>
  <si>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</si>
  <si>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</si>
  <si>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</si>
  <si>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</si>
  <si>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</si>
  <si>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</si>
  <si>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</si>
  <si>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</si>
  <si>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</si>
  <si>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</si>
  <si>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</si>
  <si>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</si>
  <si>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</si>
  <si>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</si>
  <si>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</si>
  <si>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</si>
  <si>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</si>
  <si>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</si>
  <si>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</si>
  <si>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</si>
  <si>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</si>
  <si>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</si>
  <si>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</si>
  <si>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</si>
  <si>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</si>
  <si>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</si>
  <si>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</si>
  <si>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</si>
  <si>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</si>
  <si>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</si>
  <si>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</si>
  <si>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</si>
  <si>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</si>
  <si>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</si>
  <si>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</si>
  <si>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</si>
  <si>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</si>
  <si>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</si>
  <si>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</si>
  <si>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</si>
  <si>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</si>
  <si>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</si>
  <si>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</si>
  <si>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</si>
  <si>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</si>
  <si>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</si>
  <si>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</si>
  <si>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</si>
  <si>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</si>
  <si>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</si>
  <si>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</si>
  <si>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</si>
  <si>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</si>
  <si>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</si>
  <si>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</si>
  <si>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</si>
  <si>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</si>
  <si>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</si>
  <si>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</si>
  <si>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</si>
  <si>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</si>
  <si>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</si>
  <si>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</si>
  <si>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</si>
  <si>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</si>
  <si>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</si>
  <si>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</si>
  <si>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</si>
  <si>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</si>
  <si>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</si>
  <si>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</si>
  <si>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</si>
  <si>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</si>
  <si>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</si>
  <si>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</si>
  <si>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</si>
  <si>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</si>
  <si>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</si>
  <si>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</si>
  <si>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</si>
  <si>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</si>
  <si>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</si>
  <si>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</si>
  <si>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</si>
  <si>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</si>
  <si>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</si>
  <si>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</si>
  <si>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</si>
  <si>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</si>
  <si>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</si>
  <si>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</si>
  <si>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</si>
  <si>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</si>
  <si>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</si>
  <si>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</si>
  <si>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</si>
  <si>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</si>
  <si>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</si>
  <si>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</si>
  <si>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</si>
  <si>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</si>
  <si>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</si>
  <si>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</si>
  <si>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</si>
  <si>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</si>
  <si>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</si>
  <si>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</si>
  <si>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</si>
  <si>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</si>
  <si>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</si>
  <si>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</si>
  <si>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</si>
  <si>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</si>
  <si>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</si>
  <si>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</si>
  <si>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</si>
  <si>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</si>
  <si>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</si>
  <si>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</si>
  <si>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</si>
  <si>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</si>
  <si>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</si>
  <si>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</si>
  <si>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</si>
  <si>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</si>
  <si>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</si>
  <si>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</si>
  <si>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</si>
  <si>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</si>
  <si>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</si>
  <si>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</si>
  <si>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</si>
  <si>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</si>
  <si>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</si>
  <si>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</si>
  <si>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</si>
  <si>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</si>
  <si>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</si>
  <si>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</si>
  <si>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</si>
  <si>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</si>
  <si>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</si>
  <si>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</si>
  <si>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</si>
  <si>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</si>
  <si>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</si>
  <si>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</si>
  <si>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</si>
  <si>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</si>
  <si>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</si>
  <si>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</si>
  <si>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</si>
  <si>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</si>
  <si>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</si>
  <si>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</si>
  <si>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</si>
  <si>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</si>
  <si>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</si>
  <si>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</si>
  <si>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</si>
  <si>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</si>
  <si>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</si>
  <si>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</si>
  <si>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</si>
  <si>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</si>
  <si>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</si>
  <si>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</si>
  <si>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</si>
  <si>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</si>
  <si>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</si>
  <si>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</si>
  <si>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</si>
  <si>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</si>
  <si>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</si>
  <si>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</si>
  <si>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</si>
  <si>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</si>
  <si>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</si>
  <si>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</si>
  <si>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</si>
  <si>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</si>
  <si>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</si>
  <si>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</si>
  <si>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</si>
  <si>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</si>
  <si>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</si>
  <si>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</si>
  <si>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</si>
  <si>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</si>
  <si>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</si>
  <si>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</si>
  <si>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</si>
  <si>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</si>
  <si>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</si>
  <si>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</si>
  <si>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</si>
  <si>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</si>
  <si>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</si>
  <si>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</si>
  <si>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</si>
  <si>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</si>
  <si>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</si>
  <si>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</si>
  <si>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</si>
  <si>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</si>
  <si>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</si>
  <si>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</si>
  <si>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</si>
  <si>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</si>
  <si>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</si>
  <si>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</si>
  <si>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</si>
  <si>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</si>
  <si>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</si>
  <si>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</si>
  <si>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</si>
  <si>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</si>
  <si>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</si>
  <si>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</si>
  <si>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</si>
  <si>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</si>
  <si>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</si>
  <si>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</si>
  <si>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</si>
  <si>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</si>
  <si>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</si>
  <si>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</si>
  <si>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</si>
  <si>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</si>
  <si>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</si>
  <si>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</si>
  <si>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</si>
  <si>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</si>
  <si>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</si>
  <si>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</si>
  <si>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</si>
  <si>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</si>
  <si>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</si>
  <si>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</si>
  <si>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</si>
  <si>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</si>
  <si>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</si>
  <si>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</si>
  <si>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</si>
  <si>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</si>
  <si>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</si>
  <si>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</si>
  <si>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</si>
  <si>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</si>
  <si>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</si>
  <si>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</si>
  <si>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</si>
  <si>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</si>
  <si>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</si>
  <si>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</si>
  <si>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</si>
  <si>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</si>
  <si>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</si>
  <si>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</si>
  <si>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</si>
  <si>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</si>
  <si>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</si>
  <si>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</si>
  <si>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</si>
  <si>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</si>
  <si>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</si>
  <si>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</si>
  <si>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</si>
  <si>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</si>
  <si>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</si>
  <si>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</si>
  <si>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</si>
  <si>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</si>
  <si>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</si>
  <si>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</si>
  <si>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</si>
  <si>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</si>
  <si>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</si>
  <si>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</si>
  <si>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</si>
  <si>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</si>
  <si>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</si>
  <si>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</si>
  <si>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</si>
  <si>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</si>
  <si>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</si>
  <si>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</si>
  <si>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</si>
  <si>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</si>
  <si>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</si>
  <si>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</si>
  <si>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</si>
  <si>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</si>
  <si>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</si>
  <si>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</si>
  <si>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</si>
  <si>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</si>
  <si>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</si>
  <si>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</si>
  <si>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</si>
  <si>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</si>
  <si>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</si>
  <si>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</si>
  <si>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</si>
  <si>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</si>
  <si>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</si>
  <si>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</si>
  <si>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</si>
  <si>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</si>
  <si>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</si>
  <si>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</si>
  <si>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</si>
  <si>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</si>
  <si>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</si>
  <si>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</si>
  <si>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</si>
  <si>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</si>
  <si>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</si>
  <si>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</si>
  <si>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</si>
  <si>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</si>
  <si>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</si>
  <si>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</si>
  <si>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</si>
  <si>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</si>
  <si>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</si>
  <si>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</si>
  <si>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</si>
  <si>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</si>
  <si>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</si>
  <si>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</si>
  <si>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</si>
  <si>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</si>
  <si>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</si>
  <si>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</si>
  <si>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</si>
  <si>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</si>
  <si>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</si>
  <si>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</si>
  <si>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</si>
  <si>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</si>
  <si>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</si>
  <si>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</si>
  <si>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</si>
  <si>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</si>
  <si>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</si>
  <si>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</si>
  <si>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</si>
  <si>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</si>
  <si>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</si>
  <si>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</si>
  <si>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</si>
  <si>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</si>
  <si>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</si>
  <si>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</si>
  <si>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</si>
  <si>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</si>
  <si>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INCREASING  CLOUDS  AND  MORE HUMID.   WIND  SE 10  TO  15  MPH.</t>
  </si>
  <si>
    <t xml:space="preserve">   TONIGHT  CLOUDY  WITH A 50%  CHANCE  OF  T-STORMS.</t>
  </si>
  <si>
    <t xml:space="preserve">   CLOUDS AND  BREEZY  WITH A CHANCE OF T-STORMS</t>
  </si>
  <si>
    <t xml:space="preserve">  CLOUDY  WITH  SHOWERS  AND  T-STORMS  POSSIBLE. </t>
  </si>
  <si>
    <t xml:space="preserve">  CLOUDY AND  COOL  WITH A CHANCE OF SHOWERS</t>
  </si>
  <si>
    <t xml:space="preserve">   PARTLY  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</si>
</sst>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76B56CA-A70F-F5A3-4B37-C7CC180DF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35B0109-0AF1-47B8-76BF-934D12C5B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B25721F-E349-4C92-18E4-548AACE6A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BA7245C-7FC7-198D-3345-25CF3E0B5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5DB8B18-3AAC-1910-F45D-93D378ED5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2B784DE-8822-BF86-C893-44EC91F73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0964DD8-7043-F257-54A4-F5C5FF782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D18E4B4-2F67-AECB-19D3-6EEF1B8BFD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69580F8-286E-7754-8743-A51E01129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7AB78E4-F25B-A631-AFFB-1DF966303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D792E7D-020B-4618-BC98-798F443E3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759D459-9FA0-F0B0-C5DD-F04C3CCD9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18FB5A8-5C17-3E41-9423-5098B937D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F7358E9-DBDC-33C8-4C1A-2F2722D21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5C9E6B5-6334-893F-A1E2-F84443CB4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5C85FC6-9AFC-C2E9-69B7-EFC2229B3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F36AF0FF-F951-1A68-0B32-C5FACDE5F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5BF366FA-37E9-4514-BD8E-06E622386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BF78876B-142A-23E6-0168-7E08F3C8F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F5815E7-75EF-31FE-71A8-C13C6AB5F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2641F4F4-2D81-9B42-5580-D46087092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79C1A9E-810F-66CE-B3B9-7C1CF3986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2878DF15-7DFF-EC89-8E03-09022499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DC86BD20-7F14-48C8-6A0C-11B79E1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DF49F0E9-E0EE-72B0-F403-00B1F9B18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2F54D47-67DD-0799-73C7-925B662D0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CEAA8BC6-5289-9CED-66E1-17FC1A738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CE48CE5-E759-5FFC-5925-3DEFA5B62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ADFD6DB3-0877-631F-09E1-2E8D3A3A7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B694D529-68DF-CED4-E7D1-2CB55D526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5C61FFEB-522C-1ED2-3A80-AAA4D38B5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246477C7-ECB0-9F8A-36FA-D19105B4C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9E89C668-8FFC-E39B-6305-C158D4F3C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3856489-6B4A-9264-8426-56CD48EC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A7430259-4D94-2043-0A11-84E3D311F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103F744E-E7A5-38CF-3A02-AD5AFAD2A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472E436B-28A1-9D16-611C-29AC7BBE0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041BAF86-0A39-C743-A630-67482BBEC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90B4B28-7836-5908-468B-C532D65A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4DA219F-25E4-3B5B-1456-F036CD79B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283F793A-7BC2-2553-A43A-3B6360A5C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FA48B71F-D481-D60A-9D40-F59CE0E21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B361F02A-2D6F-8628-463E-C54EA755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5A512F08-21EC-643D-5EF3-34CB42E12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781" name="Day_1">
          <a:extLst>
            <a:ext uri="{FF2B5EF4-FFF2-40B4-BE49-F238E27FC236}">
              <a16:creationId xmlns:a16="http://schemas.microsoft.com/office/drawing/2014/main" id="{654EC00A-B0D5-15C8-2986-ABB76152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782" name="Day_2">
          <a:extLst>
            <a:ext uri="{FF2B5EF4-FFF2-40B4-BE49-F238E27FC236}">
              <a16:creationId xmlns:a16="http://schemas.microsoft.com/office/drawing/2014/main" id="{2C11A52B-13FE-3807-794A-F4A466F8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783" name="Day_3">
          <a:extLst>
            <a:ext uri="{FF2B5EF4-FFF2-40B4-BE49-F238E27FC236}">
              <a16:creationId xmlns:a16="http://schemas.microsoft.com/office/drawing/2014/main" id="{D03071D9-6186-761F-29F9-BC3CE8998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784" name="Day_4">
          <a:extLst>
            <a:ext uri="{FF2B5EF4-FFF2-40B4-BE49-F238E27FC236}">
              <a16:creationId xmlns:a16="http://schemas.microsoft.com/office/drawing/2014/main" id="{EC421D83-490B-D2BB-E44B-59622C34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785" name="Day_5">
          <a:extLst>
            <a:ext uri="{FF2B5EF4-FFF2-40B4-BE49-F238E27FC236}">
              <a16:creationId xmlns:a16="http://schemas.microsoft.com/office/drawing/2014/main" id="{74903B6A-6CB1-E2CF-D672-74B53FC65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786" name="Day_6">
          <a:extLst>
            <a:ext uri="{FF2B5EF4-FFF2-40B4-BE49-F238E27FC236}">
              <a16:creationId xmlns:a16="http://schemas.microsoft.com/office/drawing/2014/main" id="{2CDD8AFA-0B12-4D81-EA3E-37F1EB95C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302C020D-6B39-7002-51D6-84A89320AE34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B709CFD0-15C2-2073-E970-CAD4B28A82D4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2AEA4A6B-AB76-87C1-246E-57B407124CFD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F7145003-201E-EE5D-188B-12023C37DCC2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07F12AAE-1027-D832-0A43-084536FD6DA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E76FBE7C-9C2A-BF92-10F3-073A41ACCF5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53C2164D-0D37-66C6-F6DB-C4D227C8DD98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4C59E631-A5F5-A10E-F217-733557028627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893D8E71-D0A6-4461-6A97-6B381785C1C5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B07393DA-A82D-5CB1-4D34-275E3974996E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4C20A76D-F6DC-8390-E320-D4A68AD315A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629E69D-2C2F-4401-DDD3-54EBF80E7F3C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C315BC33-6A0E-FACA-A413-911CA780F1A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67FE293F-FDED-B407-EA34-8CD5C33518A0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9EFEFEA9-520F-A026-15B6-BC012A287034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7982A0FD-F4E5-20CA-D633-68536B9E39D6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425B592C-A3E3-D14C-19C6-0A9C96180598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796AD487-C96C-2508-DB0E-40167CDDA239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1115C37B-792C-84F2-C7ED-5B59FAADC318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7D55D025-1218-9CAA-7907-88CDA46DAD7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911B7E9B-EDC2-5D20-6DEF-7D615F0DDF1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1073E7E7-5D5E-7D83-7360-9C5EAC9A91FA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77651032-5C28-4958-F17F-EDA609055B5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A2C619A6-7910-A859-C396-7D63F19D107D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EF37DA30-3CF3-2681-D0FA-75C8FD468957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CAA5C9B8-A555-A45C-411F-1780F4F8E758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FBFFC260-40E1-103C-A54B-07A680E5388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A70B3890-7182-34DF-E777-F64DD84C3242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A72D79DF-F46E-32DD-969F-F60DF5BE08CB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6E09AD1F-A458-6CF5-3C6C-2AD2B854AF3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CD9011EC-F694-EEB0-C482-1488B4E9F492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89D48667-3B38-C4AE-82AF-6B284308B9C6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E46081A-4B3E-FFAF-8D81-6D5B8D6A6E5A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29BE5E1B-CD70-06B8-2717-73CEE4F2C2E0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A3F1414-3A71-0537-ADCB-C33578579057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8B655B84-201E-E983-3058-2288B69631B5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CE2DE275-CBF7-D502-93FC-FFF56E9BDC52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16F2F19-EE2E-C9FE-DC66-1AC8EF9B03CD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F2874604-C69F-DCE7-41BB-5B84FF0D9495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39EFF53F-10AF-F973-78C8-EC7C7F07B70D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A44561FA-71EA-2E0D-A0A9-D11166DA033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3B396CAC-18F9-71D9-A789-2B05F11E646E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9D240245-E098-0205-20E6-75011278641E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C0AD570A-E875-DB01-78D7-8B2F87809A6E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7F60CC61-7FFD-E75F-D9E4-F500C63ABD52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05B2E41F-9289-9A7D-09D1-840F3A7EE94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46B7F27C-AF9E-20A3-B7D9-1F35E3C80158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8D03BAEE-A5EE-05C6-EB85-1B840C58A0F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467C63EB-F9C1-F13B-278C-A41DA83C7106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01159452-DF69-6E0C-31F3-77449994FB2D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4C998678-1D21-1BA5-96E8-7E53F66F7BE1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FC7A8CF5-7ABC-A0E8-3381-D0FA30D4C373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C2167D9D-D1F7-9F06-2664-557CE7C388C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674B7746-494C-0830-2D26-D11B4781BE67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A2D4B3DD-BD77-41AC-C6D5-DB579F3A5168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0C53F2F9-5732-6684-A272-52DD564D3F8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44F108DD-73CA-023B-76D8-E878AA5DE420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4E1BB07-CE6B-B8E2-13E3-BD2F5A106DC3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4F01FA5E-2922-1B94-DA8C-0DFD58171C6F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7C9F138E-0099-8EE6-DB5E-3185BEFE574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027F4EA5-B869-D54B-23D3-BDFF82D8E107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86712679-6F09-D40B-A9FE-2FA5B24979C5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C60ED9B-876E-F875-1F4E-C18B1D4F3B3F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BF374657-8437-CAC6-A5E0-BAC569FF48DC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43B407F3-590C-BBA1-B4D8-B9E1563C3D5A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5930C8BB-2C3C-58E0-14B8-AC123DCA348D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5972324-AA18-219E-CC71-C66A963E0093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92E81DD7-A051-0B01-B0F5-383CF314A7F6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BA4AD130-022A-6186-B7C9-3E0D8407A1FC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E0712A2-FF00-D21D-2724-72982A54B29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C2047B52-1A2D-B501-D59F-ED1CBC33A66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A1771381-62D7-9522-F706-33B1A62F06B6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84AFD770-278E-F627-9E21-EF85063E373C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4F6B61C6-96DA-4328-80DC-6FF95A22D493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97C06D43-5D10-9812-FFF2-CF376082B96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89BF8D2A-227D-9570-E1E3-B34005F7BA90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98ECE01-CCC5-AA31-4E11-1A1A50758A0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2F2741C-F8E0-CC2E-09D5-880DB5227A40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905771A7-D849-FC37-FD37-0BE462545054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E678C140-3637-CE36-B291-042446527100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B7128958-BC35-F00C-4866-D89A3D9F6EB4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9DDDE930-25B8-94E9-1EF9-1D98CEBF2C53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0E65803D-57DE-1655-E863-9626677533CC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E8B0BA7C-B550-AB11-F5F5-367FB7A13C5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0C0CA9D-BDA2-2B65-41ED-84CB13609A59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B33C6745-201D-8E91-C16A-2D4F39980243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4CB54C89-2698-F406-32C9-08F6B2EC03FC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56FAEF6C-7B06-1691-7B4A-3FD43B1D1E20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B658F1A5-0EBB-7000-F047-731AFB02FFD6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B8E96E3A-7787-6EF8-BF05-76A6939FD6A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E7F6FB80-884E-5D43-39A9-67E66A04B8BA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FEE5F738-5ACB-4876-26A5-AD7B482E775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4FCF1BD7-7A73-716A-2B45-E143E8212FA8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19A9B412-C76B-9B6E-E312-9E981E57D1A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AF1647DE-2497-E98C-830F-15BCF1F88878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13A82A18-82BA-CAE2-189F-8FFDF249B81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B40037B-4923-75E1-1291-DF197E28C116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48EBC47C-B21D-8BD2-8FB7-EAFCDEFC1B2C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5FFC9AE6-1660-DB47-84EF-4B18EDCAE825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52BB0B48-52C4-A9D1-11E7-48F8FE2AF68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9111F9FD-E336-1B08-CE00-0728C87C216F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99AEF2D3-DD2F-52CB-586A-69CE6DC28528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9FA4CC04-450C-A6BF-9B82-6125550097B7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F1A24A10-CDE0-60A4-2EE4-5B3A5B71DC44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AAE975EA-F49A-F448-1E9F-D65AE1052CF9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BCDB98BF-6451-AF56-3270-BD12417626C9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C8BEFC34-ACD3-A53B-48A7-91F23EF53109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CA33868E-DC0F-BB90-9253-2C60C025A419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008FB92-D138-6975-3ED9-8B44D7E39CB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10796D9C-E0FD-E3BA-515A-527F1F2F1B4C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722108DD-5578-35B4-40C7-D70D519D0E79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45C820BE-BA2F-BA9F-9B8B-819747D4DBA5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1AA6BC50-1F37-8531-ACF2-C97C54F32C6F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7360924E-F274-9EE0-E5D2-670246B4A3CE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80D55DDF-EB75-78CD-383A-128A242A5AE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B576E46E-9FCE-9863-C3F6-076830E8EBE1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EAC1C59D-F807-0B4C-CFD1-06B0250AF346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030D53F9-D829-E5CC-81A7-F4D7DB2FF894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4E6364D1-015B-2995-EFB2-CB0AA37A3397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EE9CAAA-8354-7EA8-0C46-10D7A6956D77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22A5BF86-D1A0-D007-E8AD-ABBACD2854D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FC581932-3C5B-8560-A4DB-A3A7FE8D2494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F345857C-19F8-6E5B-89CF-CDAE34DC20D9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A7277428-212F-40E9-0EA2-91121C0D5A2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C3B847E0-3C75-BEA8-8E95-CAFCC3860E62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976C2EC-B203-93BB-5C07-2654D1AA5E69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18BF9911-3A4A-99C8-0882-A72B6DCE0DEA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AE8D35C1-7D94-CC93-8CEB-EB8CB0556A40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AA04579-D23A-F82F-198B-F65E45DFB5C1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A7459BE-675C-B2E4-EA40-5371F1D4EF73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128</v>
      </c>
      <c r="B1" s="777"/>
    </row>
    <row r="2" spans="1:88">
      <c r="A2" s="1005" t="s">
        <v>9</v>
      </c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THU</v>
      </c>
      <c r="I1" s="844">
        <f>D4</f>
        <v>37140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37140</v>
      </c>
      <c r="E4" s="812">
        <f>Weather_Input!A6</f>
        <v>37141</v>
      </c>
      <c r="F4" s="812">
        <f>Weather_Input!A7</f>
        <v>37142</v>
      </c>
      <c r="G4" s="812">
        <f>Weather_Input!A8</f>
        <v>37143</v>
      </c>
      <c r="H4" s="812">
        <f>Weather_Input!A9</f>
        <v>37144</v>
      </c>
      <c r="I4" s="813">
        <f>Weather_Input!A10</f>
        <v>37145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84/66/75</v>
      </c>
      <c r="E5" s="845" t="str">
        <f>TEXT(Weather_Input!B6,"0")&amp;"/"&amp;TEXT(Weather_Input!C6,"0") &amp; "/" &amp; TEXT((Weather_Input!B6+Weather_Input!C6)/2,"0")</f>
        <v>83/64/74</v>
      </c>
      <c r="F5" s="845" t="str">
        <f>TEXT(Weather_Input!B7,"0")&amp;"/"&amp;TEXT(Weather_Input!C7,"0") &amp; "/" &amp; TEXT((Weather_Input!B7+Weather_Input!C7)/2,"0")</f>
        <v>75/55/65</v>
      </c>
      <c r="G5" s="845" t="str">
        <f>TEXT(Weather_Input!B8,"0")&amp;"/"&amp;TEXT(Weather_Input!C8,"0") &amp; "/" &amp; TEXT((Weather_Input!B8+Weather_Input!C8)/2,"0")</f>
        <v>68/50/59</v>
      </c>
      <c r="H5" s="845" t="str">
        <f>TEXT(Weather_Input!B9,"0")&amp;"/"&amp;TEXT(Weather_Input!C9,"0") &amp; "/" &amp; TEXT((Weather_Input!B9+Weather_Input!C9)/2,"0")</f>
        <v>69/49/59</v>
      </c>
      <c r="I5" s="846" t="str">
        <f>TEXT(Weather_Input!B10,"0")&amp;"/"&amp;TEXT(Weather_Input!C10,"0") &amp; "/" &amp; TEXT((Weather_Input!B10+Weather_Input!C10)/2,"0")</f>
        <v>69/49/59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32.299999999999997</v>
      </c>
      <c r="E6" s="815">
        <f ca="1">VLOOKUP(E4,NSG_Sendouts,CELL("Col",NSG_Deliveries!C6),FALSE)/1000</f>
        <v>31</v>
      </c>
      <c r="F6" s="815">
        <f ca="1">VLOOKUP(F4,NSG_Sendouts,CELL("Col",NSG_Deliveries!C7),FALSE)/1000</f>
        <v>29</v>
      </c>
      <c r="G6" s="815">
        <f ca="1">VLOOKUP(G4,NSG_Sendouts,CELL("Col",NSG_Deliveries!C8),FALSE)/1000</f>
        <v>32</v>
      </c>
      <c r="H6" s="815">
        <f ca="1">VLOOKUP(H4,NSG_Sendouts,CELL("Col",NSG_Deliveries!C9),FALSE)/1000</f>
        <v>34</v>
      </c>
      <c r="I6" s="820">
        <f ca="1">VLOOKUP(I4,NSG_Sendouts,CELL("Col",NSG_Deliveries!C10),FALSE)/1000</f>
        <v>34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5.59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37.89</v>
      </c>
      <c r="E11" s="824">
        <f t="shared" ca="1" si="1"/>
        <v>31</v>
      </c>
      <c r="F11" s="824">
        <f t="shared" ca="1" si="1"/>
        <v>29</v>
      </c>
      <c r="G11" s="824">
        <f t="shared" ca="1" si="1"/>
        <v>32</v>
      </c>
      <c r="H11" s="824">
        <f t="shared" ca="1" si="1"/>
        <v>34</v>
      </c>
      <c r="I11" s="825">
        <f t="shared" ca="1" si="1"/>
        <v>34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2</v>
      </c>
      <c r="E17" s="815">
        <f>NSG_Supplies!F8/1000</f>
        <v>2</v>
      </c>
      <c r="F17" s="815">
        <f>NSG_Supplies!F9/1000</f>
        <v>2</v>
      </c>
      <c r="G17" s="815">
        <f>NSG_Supplies!F10/1000</f>
        <v>2</v>
      </c>
      <c r="H17" s="815">
        <f>NSG_Supplies!F11/1000</f>
        <v>2</v>
      </c>
      <c r="I17" s="820">
        <f>NSG_Supplies!F12/1000</f>
        <v>2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23.890999999999998</v>
      </c>
      <c r="E19" s="815">
        <f>NSG_Supplies!Q8/1000</f>
        <v>27.548999999999999</v>
      </c>
      <c r="F19" s="815">
        <f>NSG_Supplies!Q9/1000</f>
        <v>27.548999999999999</v>
      </c>
      <c r="G19" s="815">
        <f>NSG_Supplies!Q10/1000</f>
        <v>27.548999999999999</v>
      </c>
      <c r="H19" s="815">
        <f>NSG_Supplies!Q11/1000</f>
        <v>27.548999999999999</v>
      </c>
      <c r="I19" s="816">
        <f>NSG_Supplies!Q12/1000</f>
        <v>27.548999999999999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12</v>
      </c>
      <c r="E20" s="815">
        <f>NSG_Supplies!P8/1000</f>
        <v>15</v>
      </c>
      <c r="F20" s="815">
        <f>NSG_Supplies!P9/1000</f>
        <v>15</v>
      </c>
      <c r="G20" s="815">
        <f>NSG_Supplies!P10/1000</f>
        <v>15</v>
      </c>
      <c r="H20" s="815">
        <f>NSG_Supplies!P11/1000</f>
        <v>15</v>
      </c>
      <c r="I20" s="816">
        <f>NSG_Supplies!P12/1000</f>
        <v>15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37.890999999999998</v>
      </c>
      <c r="E21" s="1200">
        <f t="shared" si="2"/>
        <v>44.548999999999999</v>
      </c>
      <c r="F21" s="1200">
        <f t="shared" si="2"/>
        <v>44.548999999999999</v>
      </c>
      <c r="G21" s="1200">
        <f t="shared" si="2"/>
        <v>44.548999999999999</v>
      </c>
      <c r="H21" s="1200">
        <f t="shared" si="2"/>
        <v>44.548999999999999</v>
      </c>
      <c r="I21" s="1201">
        <f t="shared" si="2"/>
        <v>44.548999999999999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9.9999999999766942E-4</v>
      </c>
      <c r="E22" s="856">
        <f t="shared" ca="1" si="3"/>
        <v>13.548999999999999</v>
      </c>
      <c r="F22" s="856">
        <f t="shared" ca="1" si="3"/>
        <v>15.548999999999999</v>
      </c>
      <c r="G22" s="856">
        <f t="shared" ca="1" si="3"/>
        <v>12.548999999999999</v>
      </c>
      <c r="H22" s="856">
        <f t="shared" ca="1" si="3"/>
        <v>10.548999999999999</v>
      </c>
      <c r="I22" s="857">
        <f t="shared" ca="1" si="3"/>
        <v>10.548999999999999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17.963000000000001</v>
      </c>
      <c r="E24" s="1058">
        <f>NSG_Supplies!R8/1000</f>
        <v>17.963000000000001</v>
      </c>
      <c r="F24" s="1058">
        <f>NSG_Supplies!R9/1000</f>
        <v>17.963000000000001</v>
      </c>
      <c r="G24" s="1058">
        <f>NSG_Supplies!R10/1000</f>
        <v>17.963000000000001</v>
      </c>
      <c r="H24" s="1058">
        <f>NSG_Supplies!R11/1000</f>
        <v>17.963000000000001</v>
      </c>
      <c r="I24" s="1059">
        <f>NSG_Supplies!R12/1000</f>
        <v>17.963000000000001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12</v>
      </c>
      <c r="E26" s="863">
        <f>Weather_Input!D6</f>
        <v>15</v>
      </c>
      <c r="F26" s="863">
        <f>Weather_Input!D7</f>
        <v>12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2" zoomScale="75" workbookViewId="0">
      <selection activeCell="P20" sqref="P20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37140</v>
      </c>
      <c r="N1" s="1175" t="str">
        <f>CHOOSE(WEEKDAY(M1),"SUN","MON","TUE","WED","THU","FRI","SAT")</f>
        <v>THU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3.5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84</v>
      </c>
      <c r="K3" s="918">
        <f>Weather_Input!C5</f>
        <v>66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6.4569999999999999</v>
      </c>
      <c r="G4" s="509" t="s">
        <v>9</v>
      </c>
      <c r="H4" s="1194"/>
      <c r="I4" t="s">
        <v>725</v>
      </c>
      <c r="J4" s="1009"/>
      <c r="K4" s="1213">
        <v>74.8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94.302000000000007</v>
      </c>
      <c r="C5" s="1012" t="s">
        <v>9</v>
      </c>
      <c r="D5" s="340"/>
      <c r="E5" s="1155" t="s">
        <v>420</v>
      </c>
      <c r="F5" s="936">
        <f>F3+F4</f>
        <v>6.4569999999999999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203.5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90.802000000000007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0.42499999999999999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90.802000000000007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0.42499999999999999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-119.6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15.6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120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168.07900000000001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6.4569999999999999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3.34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1.8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-119.6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164.67800000000003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38.821999999999974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15.6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1.8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40.621999999999971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15.6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1.76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15.4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-42.383000000000003</v>
      </c>
      <c r="L30" s="1119"/>
      <c r="M30" s="1023">
        <f>-PGL_Supplies!AB7/1000</f>
        <v>-42.383000000000003</v>
      </c>
      <c r="N30" s="1120"/>
      <c r="O30" s="1179">
        <f>-PGL_Supplies!AB7/1000</f>
        <v>-42.383000000000003</v>
      </c>
    </row>
    <row r="31" spans="1:15" ht="16.5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178.47900000000001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168.07900000000001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168.07900000000001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168.07900000000001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THU</v>
      </c>
      <c r="G1" s="1181">
        <f>Weather_Input!A5</f>
        <v>37140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84</v>
      </c>
      <c r="C4" s="737">
        <f>Weather_Input!C5</f>
        <v>66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32.299999999999997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25.889999999999997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6.41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25.889999999999997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-2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-23.890999999999998</v>
      </c>
      <c r="D25" s="697"/>
      <c r="E25" s="690">
        <f>-NSG_Supplies!Q7/1000</f>
        <v>-23.890999999999998</v>
      </c>
      <c r="F25" s="697"/>
      <c r="G25" s="690">
        <f>-NSG_Supplies!Q7/1000</f>
        <v>-23.890999999999998</v>
      </c>
      <c r="H25" s="696"/>
      <c r="I25" s="753">
        <f>-NSG_Supplies!Q7/1000</f>
        <v>-23.890999999999998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5.59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12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6.41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37140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84</v>
      </c>
      <c r="C5" s="257">
        <f>Weather_Input!C5</f>
        <v>66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203.5</v>
      </c>
      <c r="C8" s="265">
        <f>NSG_Deliveries!C5/1000</f>
        <v>32.299999999999997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146.18299999999999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6.4569999999999999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-25.697999999999993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3.34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32.299999999999997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1.8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32.299999999999997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-42.383000000000003</v>
      </c>
      <c r="C32" s="306">
        <f>-NSG_Supplies!Q7/1000</f>
        <v>-23.890999999999998</v>
      </c>
      <c r="D32" s="306">
        <f>B32</f>
        <v>-42.383000000000003</v>
      </c>
      <c r="E32" s="306">
        <f>C32</f>
        <v>-23.890999999999998</v>
      </c>
      <c r="F32" s="306">
        <f>B32</f>
        <v>-42.383000000000003</v>
      </c>
      <c r="G32" s="306">
        <f>C32</f>
        <v>-23.890999999999998</v>
      </c>
      <c r="H32" s="311">
        <f>B32</f>
        <v>-42.383000000000003</v>
      </c>
      <c r="I32" s="312">
        <f>C32</f>
        <v>-23.890999999999998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-17.963000000000001</v>
      </c>
      <c r="D33" s="306">
        <f>B33</f>
        <v>0</v>
      </c>
      <c r="E33" s="306">
        <f>C33</f>
        <v>-17.963000000000001</v>
      </c>
      <c r="F33" s="306">
        <f>B33</f>
        <v>0</v>
      </c>
      <c r="G33" s="306">
        <f>C33</f>
        <v>-17.963000000000001</v>
      </c>
      <c r="H33" s="311">
        <f>B33</f>
        <v>0</v>
      </c>
      <c r="I33" s="312">
        <f>C33</f>
        <v>-17.963000000000001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1.76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-2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120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1.8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1.8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149.68299999999999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3.5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146.18299999999999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0.42499999999999999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94.302000000000007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120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-25.697999999999993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THU</v>
      </c>
      <c r="H73" s="397">
        <f>Weather_Input!A5</f>
        <v>37140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-3350.317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94.302000000000007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3.34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-0.42499999999999999</v>
      </c>
      <c r="C116" s="410">
        <f>-NSG_Supplies!V7/1000</f>
        <v>0</v>
      </c>
      <c r="D116" s="306">
        <f>-PGL_Supplies!Y7/1000</f>
        <v>-0.42499999999999999</v>
      </c>
      <c r="E116" s="306">
        <f>-NSG_Supplies!V7/1000</f>
        <v>0</v>
      </c>
      <c r="F116" s="306">
        <f>-PGL_Supplies!Y7/1000</f>
        <v>-0.42499999999999999</v>
      </c>
      <c r="G116" s="306">
        <f>-NSG_Supplies!V7/1000</f>
        <v>0</v>
      </c>
      <c r="H116" s="311">
        <f>-PGL_Supplies!Y7/1000</f>
        <v>-0.42499999999999999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-17.963000000000001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0.42499999999999999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1.76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0.42499999999999999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3500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15.6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134.083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-3350.317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120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1.8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94.302000000000007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94.302000000000007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37141.183488425922</v>
      </c>
      <c r="F22" s="161" t="s">
        <v>256</v>
      </c>
      <c r="G22" s="186">
        <f ca="1">NOW()</f>
        <v>37141.183488425922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37140</v>
      </c>
      <c r="C5" s="15"/>
      <c r="D5" s="22" t="s">
        <v>274</v>
      </c>
      <c r="E5" s="23">
        <f>Weather_Input!B5</f>
        <v>84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161</v>
      </c>
      <c r="E6" s="23">
        <f>Weather_Input!C5</f>
        <v>66</v>
      </c>
      <c r="F6" s="24" t="s">
        <v>277</v>
      </c>
      <c r="G6" s="25">
        <f>Weather_Input!F5</f>
        <v>6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75</v>
      </c>
      <c r="F7" s="24" t="s">
        <v>280</v>
      </c>
      <c r="G7" s="25">
        <f>Weather_Input!G5</f>
        <v>6</v>
      </c>
      <c r="H7" s="26" t="s">
        <v>280</v>
      </c>
      <c r="I7" s="120">
        <f ca="1">G7-(VLOOKUP(B5,DD_Normal_Data,CELL("Col",D4),FALSE))</f>
        <v>-8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INCREASING  CLOUDS  AND  MORE HUMID.   WIND  SE 10  TO  15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  CLOUDY  WITH A 50%  CHANCE  OF  T-STORMS.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37141</v>
      </c>
      <c r="C10" s="15"/>
      <c r="D10" s="150" t="s">
        <v>274</v>
      </c>
      <c r="E10" s="23">
        <f>Weather_Input!B6</f>
        <v>83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161</v>
      </c>
      <c r="E11" s="23">
        <f>Weather_Input!C6</f>
        <v>64</v>
      </c>
      <c r="F11" s="24" t="s">
        <v>277</v>
      </c>
      <c r="G11" s="25">
        <f>IF(DAY(B10)=1,G10,G6+G10)</f>
        <v>6</v>
      </c>
      <c r="H11" s="30" t="s">
        <v>278</v>
      </c>
      <c r="I11" s="27">
        <f ca="1">G11-(VLOOKUP(B10,DD_Normal_Data,CELL("Col",C12),FALSE))</f>
        <v>-2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73.5</v>
      </c>
      <c r="F12" s="24" t="s">
        <v>280</v>
      </c>
      <c r="G12" s="25">
        <f>IF(AND(DAY(B10)=1,MONTH(B10)=8),G10,G7+G10)</f>
        <v>6</v>
      </c>
      <c r="H12" s="26" t="s">
        <v>280</v>
      </c>
      <c r="I12" s="27">
        <f ca="1">G12-(VLOOKUP(B10,DD_Normal_Data,CELL("Col",D9),FALSE))</f>
        <v>-10</v>
      </c>
    </row>
    <row r="13" spans="1:109" ht="15">
      <c r="A13" s="18"/>
      <c r="B13" s="21"/>
      <c r="C13" s="15"/>
      <c r="D13" s="32" t="str">
        <f>IF(Weather_Input!I6=""," ",Weather_Input!I6)</f>
        <v xml:space="preserve">   CLOUDS AND  BREEZY  WITH A CHANCE OF T-STORMS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37142</v>
      </c>
      <c r="C15" s="15"/>
      <c r="D15" s="22" t="s">
        <v>274</v>
      </c>
      <c r="E15" s="23">
        <f>Weather_Input!B7</f>
        <v>75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161</v>
      </c>
      <c r="E16" s="23">
        <f>Weather_Input!C7</f>
        <v>55</v>
      </c>
      <c r="F16" s="24" t="s">
        <v>277</v>
      </c>
      <c r="G16" s="25">
        <f>IF(DAY(B15)=1,G15,G11+G15)</f>
        <v>6</v>
      </c>
      <c r="H16" s="30" t="s">
        <v>278</v>
      </c>
      <c r="I16" s="27">
        <f ca="1">G16-(VLOOKUP(B15,DD_Normal_Data,CELL("Col",C17),FALSE))</f>
        <v>-4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65</v>
      </c>
      <c r="F17" s="24" t="s">
        <v>280</v>
      </c>
      <c r="G17" s="25">
        <f>IF(AND(DAY(B15)=1,MONTH(B15)=8),G15,G12+G15)</f>
        <v>6</v>
      </c>
      <c r="H17" s="26" t="s">
        <v>280</v>
      </c>
      <c r="I17" s="27">
        <f ca="1">G17-(VLOOKUP(B15,DD_Normal_Data,CELL("Col",D14),FALSE))</f>
        <v>-12</v>
      </c>
    </row>
    <row r="18" spans="1:109" ht="15">
      <c r="A18" s="18"/>
      <c r="B18" s="20"/>
      <c r="C18" s="15"/>
      <c r="D18" s="32" t="str">
        <f>IF(Weather_Input!I7=""," ",Weather_Input!I7)</f>
        <v xml:space="preserve">  CLOUDY  WITH  SHOWERS  AND  T-STORMS  POSSIBLE.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37143</v>
      </c>
      <c r="C20" s="15"/>
      <c r="D20" s="22" t="s">
        <v>274</v>
      </c>
      <c r="E20" s="23">
        <f>Weather_Input!B8</f>
        <v>68</v>
      </c>
      <c r="F20" s="24" t="s">
        <v>275</v>
      </c>
      <c r="G20" s="25">
        <f>IF(E22&lt;65,65-(Weather_Input!B8+Weather_Input!C8)/2,0)</f>
        <v>6</v>
      </c>
      <c r="H20" s="26" t="s">
        <v>276</v>
      </c>
      <c r="I20" s="27">
        <f ca="1">G20-(VLOOKUP(B20,DD_Normal_Data,CELL("Col",B21),FALSE))</f>
        <v>4</v>
      </c>
    </row>
    <row r="21" spans="1:109" ht="15">
      <c r="A21" s="18"/>
      <c r="B21" s="21"/>
      <c r="C21" s="15"/>
      <c r="D21" s="22" t="s">
        <v>161</v>
      </c>
      <c r="E21" s="23">
        <f>Weather_Input!C8</f>
        <v>50</v>
      </c>
      <c r="F21" s="24" t="s">
        <v>277</v>
      </c>
      <c r="G21" s="25">
        <f>IF(DAY(B20)=1,G20,G16+G20)</f>
        <v>12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59</v>
      </c>
      <c r="F22" s="24" t="s">
        <v>280</v>
      </c>
      <c r="G22" s="25">
        <f>IF(AND(DAY(B20)=1,MONTH(B20)=8),G20,G17+G20)</f>
        <v>12</v>
      </c>
      <c r="H22" s="26" t="s">
        <v>280</v>
      </c>
      <c r="I22" s="27">
        <f ca="1">G22-(VLOOKUP(B20,DD_Normal_Data,CELL("Col",D19),FALSE))</f>
        <v>-8</v>
      </c>
    </row>
    <row r="23" spans="1:109" ht="15">
      <c r="A23" s="18"/>
      <c r="B23" s="21"/>
      <c r="C23" s="15"/>
      <c r="D23" s="32" t="str">
        <f>IF(Weather_Input!I8=""," ",Weather_Input!I8)</f>
        <v xml:space="preserve">  CLOUDY AND  COOL  WITH A CHANCE OF SHOWERS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37144</v>
      </c>
      <c r="C25" s="15"/>
      <c r="D25" s="22" t="s">
        <v>274</v>
      </c>
      <c r="E25" s="23">
        <f>Weather_Input!B9</f>
        <v>69</v>
      </c>
      <c r="F25" s="24" t="s">
        <v>275</v>
      </c>
      <c r="G25" s="25">
        <f>IF(E27&lt;65,65-(Weather_Input!B9+Weather_Input!C9)/2,0)</f>
        <v>6</v>
      </c>
      <c r="H25" s="26" t="s">
        <v>276</v>
      </c>
      <c r="I25" s="27">
        <f ca="1">G25-(VLOOKUP(B25,DD_Normal_Data,CELL("Col",B26),FALSE))</f>
        <v>3</v>
      </c>
    </row>
    <row r="26" spans="1:109" ht="15">
      <c r="A26" s="18"/>
      <c r="B26" s="21"/>
      <c r="C26" s="15"/>
      <c r="D26" s="22" t="s">
        <v>161</v>
      </c>
      <c r="E26" s="23">
        <f>Weather_Input!C9</f>
        <v>49</v>
      </c>
      <c r="F26" s="24" t="s">
        <v>277</v>
      </c>
      <c r="G26" s="25">
        <f>IF(DAY(B25)=1,G25,G21+G25)</f>
        <v>18</v>
      </c>
      <c r="H26" s="30" t="s">
        <v>278</v>
      </c>
      <c r="I26" s="27">
        <f ca="1">G26-(VLOOKUP(B25,DD_Normal_Data,CELL("Col",C27),FALSE))</f>
        <v>3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59</v>
      </c>
      <c r="F27" s="24" t="s">
        <v>280</v>
      </c>
      <c r="G27" s="25">
        <f>IF(AND(DAY(B25)=1,MONTH(B25)=8),G25,G22+G25)</f>
        <v>18</v>
      </c>
      <c r="H27" s="26" t="s">
        <v>280</v>
      </c>
      <c r="I27" s="27">
        <f ca="1">G27-(VLOOKUP(B25,DD_Normal_Data,CELL("Col",D24),FALSE))</f>
        <v>-5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37145</v>
      </c>
      <c r="C30" s="15"/>
      <c r="D30" s="22" t="s">
        <v>274</v>
      </c>
      <c r="E30" s="23">
        <f>Weather_Input!B10</f>
        <v>69</v>
      </c>
      <c r="F30" s="24" t="s">
        <v>275</v>
      </c>
      <c r="G30" s="25">
        <f>IF(E32&lt;65,65-(Weather_Input!B10+Weather_Input!C10)/2,0)</f>
        <v>6</v>
      </c>
      <c r="H30" s="26" t="s">
        <v>276</v>
      </c>
      <c r="I30" s="27">
        <f ca="1">G30-(VLOOKUP(B30,DD_Normal_Data,CELL("Col",B31),FALSE))</f>
        <v>3</v>
      </c>
    </row>
    <row r="31" spans="1:109" ht="15">
      <c r="A31" s="15"/>
      <c r="B31" s="15"/>
      <c r="C31" s="15"/>
      <c r="D31" s="22" t="s">
        <v>161</v>
      </c>
      <c r="E31" s="23">
        <f>Weather_Input!C10</f>
        <v>49</v>
      </c>
      <c r="F31" s="24" t="s">
        <v>277</v>
      </c>
      <c r="G31" s="25">
        <f>IF(DAY(B30)=1,G30,G26+G30)</f>
        <v>24</v>
      </c>
      <c r="H31" s="30" t="s">
        <v>278</v>
      </c>
      <c r="I31" s="27">
        <f ca="1">G31-(VLOOKUP(B30,DD_Normal_Data,CELL("Col",C32),FALSE))</f>
        <v>6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59</v>
      </c>
      <c r="F32" s="24" t="s">
        <v>280</v>
      </c>
      <c r="G32" s="25">
        <f>IF(AND(DAY(B30)=1,MONTH(B30)=8),G30,G27+G30)</f>
        <v>24</v>
      </c>
      <c r="H32" s="26" t="s">
        <v>280</v>
      </c>
      <c r="I32" s="27">
        <f ca="1">G32-(VLOOKUP(B30,DD_Normal_Data,CELL("Col",D29),FALSE))</f>
        <v>-2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 CLOUDY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37140</v>
      </c>
      <c r="C36" s="89">
        <f>B10</f>
        <v>37141</v>
      </c>
      <c r="D36" s="89">
        <f>B15</f>
        <v>37142</v>
      </c>
      <c r="E36" s="89">
        <f xml:space="preserve">       B20</f>
        <v>37143</v>
      </c>
      <c r="F36" s="89">
        <f>B25</f>
        <v>37144</v>
      </c>
      <c r="G36" s="89">
        <f>B30</f>
        <v>37145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203.5</v>
      </c>
      <c r="C37" s="41">
        <f ca="1">(VLOOKUP(C36,PGL_Sendouts,(CELL("COL",PGL_Deliveries!C7))))/1000</f>
        <v>180</v>
      </c>
      <c r="D37" s="41">
        <f ca="1">(VLOOKUP(D36,PGL_Sendouts,(CELL("COL",PGL_Deliveries!C8))))/1000</f>
        <v>170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285</v>
      </c>
      <c r="B38" s="41">
        <f>PGL_6_Day_Report!D25</f>
        <v>352.01300000000003</v>
      </c>
      <c r="C38" s="41">
        <f>PGL_6_Day_Report!E25</f>
        <v>305.27800000000002</v>
      </c>
      <c r="D38" s="41">
        <f>PGL_6_Day_Report!F25</f>
        <v>295.27800000000002</v>
      </c>
      <c r="E38" s="41">
        <f>PGL_6_Day_Report!G25</f>
        <v>310.27800000000002</v>
      </c>
      <c r="F38" s="41">
        <f>PGL_6_Day_Report!H25</f>
        <v>325.27800000000002</v>
      </c>
      <c r="G38" s="41">
        <f>PGL_6_Day_Report!I25</f>
        <v>325.27800000000002</v>
      </c>
      <c r="H38" s="14"/>
      <c r="I38" s="15"/>
    </row>
    <row r="39" spans="1:9" ht="15">
      <c r="A39" s="42" t="s">
        <v>103</v>
      </c>
      <c r="B39" s="41">
        <f>SUM(PGL_Supplies!Y7:AD7)/1000</f>
        <v>226.315</v>
      </c>
      <c r="C39" s="41">
        <f>SUM(PGL_Supplies!Y8:AD8)/1000</f>
        <v>232.69499999999999</v>
      </c>
      <c r="D39" s="41">
        <f>SUM(PGL_Supplies!Y9:AD9)/1000</f>
        <v>232.69499999999999</v>
      </c>
      <c r="E39" s="41">
        <f>SUM(PGL_Supplies!Y10:AD10)/1000</f>
        <v>232.69499999999999</v>
      </c>
      <c r="F39" s="41">
        <f>SUM(PGL_Supplies!Y11:AD11)/1000</f>
        <v>232.69499999999999</v>
      </c>
      <c r="G39" s="41">
        <f>SUM(PGL_Supplies!Y12:AD12)/1000</f>
        <v>232.69499999999999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1.0249999999999999</v>
      </c>
      <c r="C41" s="41">
        <f>SUM(PGL_Requirements!Q7:T7)/1000</f>
        <v>1.0249999999999999</v>
      </c>
      <c r="D41" s="41">
        <f>SUM(PGL_Requirements!Q7:T7)/1000</f>
        <v>1.0249999999999999</v>
      </c>
      <c r="E41" s="41">
        <f>SUM(PGL_Requirements!Q7:T7)/1000</f>
        <v>1.0249999999999999</v>
      </c>
      <c r="F41" s="41">
        <f>SUM(PGL_Requirements!Q7:T7)/1000</f>
        <v>1.0249999999999999</v>
      </c>
      <c r="G41" s="41">
        <f>SUM(PGL_Requirements!Q7:T7)/1000</f>
        <v>1.0249999999999999</v>
      </c>
      <c r="H41" s="14"/>
      <c r="I41" s="15"/>
    </row>
    <row r="42" spans="1:9" ht="15">
      <c r="A42" s="15" t="s">
        <v>126</v>
      </c>
      <c r="B42" s="41">
        <f>PGL_Supplies!U7/1000</f>
        <v>134.083</v>
      </c>
      <c r="C42" s="41">
        <f>PGL_Supplies!U8/1000</f>
        <v>134.083</v>
      </c>
      <c r="D42" s="41">
        <f>PGL_Supplies!U9/1000</f>
        <v>134.083</v>
      </c>
      <c r="E42" s="41">
        <f>PGL_Supplies!U10/1000</f>
        <v>134.083</v>
      </c>
      <c r="F42" s="41">
        <f>PGL_Supplies!U11/1000</f>
        <v>134.083</v>
      </c>
      <c r="G42" s="41">
        <f>PGL_Supplies!U12/1000</f>
        <v>134.083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37140</v>
      </c>
      <c r="C44" s="89">
        <f t="shared" si="0"/>
        <v>37141</v>
      </c>
      <c r="D44" s="89">
        <f t="shared" si="0"/>
        <v>37142</v>
      </c>
      <c r="E44" s="89">
        <f t="shared" si="0"/>
        <v>37143</v>
      </c>
      <c r="F44" s="89">
        <f t="shared" si="0"/>
        <v>37144</v>
      </c>
      <c r="G44" s="89">
        <f t="shared" si="0"/>
        <v>37145</v>
      </c>
      <c r="H44" s="14"/>
      <c r="I44" s="15"/>
    </row>
    <row r="45" spans="1:9" ht="15">
      <c r="A45" s="15" t="s">
        <v>54</v>
      </c>
      <c r="B45" s="41">
        <f ca="1">NSG_6_Day_Report!D6</f>
        <v>32.299999999999997</v>
      </c>
      <c r="C45" s="41">
        <f ca="1">NSG_6_Day_Report!E6</f>
        <v>31</v>
      </c>
      <c r="D45" s="41">
        <f ca="1">NSG_6_Day_Report!F6</f>
        <v>29</v>
      </c>
      <c r="E45" s="41">
        <f ca="1">NSG_6_Day_Report!G6</f>
        <v>32</v>
      </c>
      <c r="F45" s="41">
        <f ca="1">NSG_6_Day_Report!H6</f>
        <v>34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37.89</v>
      </c>
      <c r="C46" s="41">
        <f ca="1">NSG_6_Day_Report!E11</f>
        <v>31</v>
      </c>
      <c r="D46" s="41">
        <f ca="1">NSG_6_Day_Report!F11</f>
        <v>29</v>
      </c>
      <c r="E46" s="41">
        <f ca="1">NSG_6_Day_Report!G11</f>
        <v>32</v>
      </c>
      <c r="F46" s="41">
        <f ca="1">NSG_6_Day_Report!H11</f>
        <v>34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35.890999999999998</v>
      </c>
      <c r="C47" s="41">
        <f>SUM(NSG_Supplies!O8:Q8)/1000</f>
        <v>42.548999999999999</v>
      </c>
      <c r="D47" s="41">
        <f>SUM(NSG_Supplies!O9:Q9)/1000</f>
        <v>42.548999999999999</v>
      </c>
      <c r="E47" s="41">
        <f>SUM(NSG_Supplies!O10:Q10)/1000</f>
        <v>42.548999999999999</v>
      </c>
      <c r="F47" s="41">
        <f>SUM(NSG_Supplies!O11:Q11)/1000</f>
        <v>42.548999999999999</v>
      </c>
      <c r="G47" s="41">
        <f>SUM(NSG_Supplies!O12:Q12)/1000</f>
        <v>42.548999999999999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17.963000000000001</v>
      </c>
      <c r="C50" s="41">
        <f>NSG_Supplies!R8/1000</f>
        <v>17.963000000000001</v>
      </c>
      <c r="D50" s="41">
        <f>NSG_Supplies!R9/1000</f>
        <v>17.963000000000001</v>
      </c>
      <c r="E50" s="41">
        <f>NSG_Supplies!R10/1000</f>
        <v>17.963000000000001</v>
      </c>
      <c r="F50" s="41">
        <f>NSG_Supplies!R11/1000</f>
        <v>17.963000000000001</v>
      </c>
      <c r="G50" s="41">
        <f>NSG_Supplies!R12/1000</f>
        <v>17.963000000000001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37140</v>
      </c>
      <c r="C52" s="89">
        <f t="shared" si="1"/>
        <v>37141</v>
      </c>
      <c r="D52" s="89">
        <f t="shared" si="1"/>
        <v>37142</v>
      </c>
      <c r="E52" s="89">
        <f t="shared" si="1"/>
        <v>37143</v>
      </c>
      <c r="F52" s="89">
        <f t="shared" si="1"/>
        <v>37144</v>
      </c>
      <c r="G52" s="89">
        <f t="shared" si="1"/>
        <v>37145</v>
      </c>
      <c r="H52" s="14"/>
      <c r="I52" s="15"/>
    </row>
    <row r="53" spans="1:9" ht="15">
      <c r="A53" s="92" t="s">
        <v>289</v>
      </c>
      <c r="B53" s="41">
        <f>PGL_Requirements!O7/1000</f>
        <v>120</v>
      </c>
      <c r="C53" s="41">
        <f>PGL_Requirements!O8/1000</f>
        <v>110</v>
      </c>
      <c r="D53" s="41">
        <f>PGL_Requirements!O9/1000</f>
        <v>110</v>
      </c>
      <c r="E53" s="41">
        <f>PGL_Requirements!O10/1000</f>
        <v>110</v>
      </c>
      <c r="F53" s="41">
        <f>PGL_Requirements!O11/1000</f>
        <v>110</v>
      </c>
      <c r="G53" s="41">
        <f>PGL_Requirements!O12/1000</f>
        <v>110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Friday</v>
      </c>
      <c r="C4" s="1028" t="str">
        <f>Six_Day_Summary!A15</f>
        <v>Saturday</v>
      </c>
      <c r="D4" s="1028" t="str">
        <f>Six_Day_Summary!A20</f>
        <v>Sunday</v>
      </c>
      <c r="E4" s="1028" t="str">
        <f>Six_Day_Summary!A25</f>
        <v>Monday</v>
      </c>
      <c r="F4" s="1029" t="str">
        <f>Six_Day_Summary!A30</f>
        <v>Tuesday</v>
      </c>
      <c r="G4" s="98"/>
    </row>
    <row r="5" spans="1:8">
      <c r="A5" s="101" t="s">
        <v>296</v>
      </c>
      <c r="B5" s="1030">
        <f>Weather_Input!A6</f>
        <v>37141</v>
      </c>
      <c r="C5" s="1031">
        <f>Weather_Input!A7</f>
        <v>37142</v>
      </c>
      <c r="D5" s="1031">
        <f>Weather_Input!A8</f>
        <v>37143</v>
      </c>
      <c r="E5" s="1031">
        <f>Weather_Input!A9</f>
        <v>37144</v>
      </c>
      <c r="F5" s="1032">
        <f>Weather_Input!A10</f>
        <v>37145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21.105</v>
      </c>
      <c r="C6" s="1033">
        <f>PGL_Supplies!AB9/1000+PGL_Supplies!K9/1000-PGL_Requirements!N9/1000+C15-PGL_Requirements!S9/1000</f>
        <v>21.105</v>
      </c>
      <c r="D6" s="1033">
        <f>PGL_Supplies!AB10/1000+PGL_Supplies!K10/1000-PGL_Requirements!N10/1000+D15-PGL_Requirements!S10/1000</f>
        <v>21.105</v>
      </c>
      <c r="E6" s="1033">
        <f>PGL_Supplies!AB11/1000+PGL_Supplies!K11/1000-PGL_Requirements!N11/1000+E15-PGL_Requirements!S11/1000</f>
        <v>21.105</v>
      </c>
      <c r="F6" s="1034">
        <f>PGL_Supplies!AB12/1000+PGL_Supplies!K12/1000-PGL_Requirements!N12/1000+F15-PGL_Requirements!S12/1000</f>
        <v>21.105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Friday</v>
      </c>
      <c r="C21" s="1043" t="str">
        <f t="shared" si="0"/>
        <v>Saturday</v>
      </c>
      <c r="D21" s="1043" t="str">
        <f t="shared" si="0"/>
        <v>Sunday</v>
      </c>
      <c r="E21" s="1043" t="str">
        <f t="shared" si="0"/>
        <v>Monday</v>
      </c>
      <c r="F21" s="1044" t="str">
        <f t="shared" si="0"/>
        <v>Tuesday</v>
      </c>
      <c r="G21" s="98"/>
    </row>
    <row r="22" spans="1:7">
      <c r="A22" s="105" t="s">
        <v>296</v>
      </c>
      <c r="B22" s="1045">
        <f t="shared" si="0"/>
        <v>37141</v>
      </c>
      <c r="C22" s="1045">
        <f t="shared" si="0"/>
        <v>37142</v>
      </c>
      <c r="D22" s="1045">
        <f t="shared" si="0"/>
        <v>37143</v>
      </c>
      <c r="E22" s="1045">
        <f t="shared" si="0"/>
        <v>37144</v>
      </c>
      <c r="F22" s="1046">
        <f t="shared" si="0"/>
        <v>37145</v>
      </c>
      <c r="G22" s="98"/>
    </row>
    <row r="23" spans="1:7">
      <c r="A23" s="98" t="s">
        <v>297</v>
      </c>
      <c r="B23" s="1039">
        <f>NSG_Supplies!Q8/1000+NSG_Supplies!F8/1000-NSG_Requirements!H8/1000</f>
        <v>29.548999999999999</v>
      </c>
      <c r="C23" s="1039">
        <f>NSG_Supplies!Q9/1000+NSG_Supplies!F9/1000-NSG_Requirements!H9/1000</f>
        <v>29.548999999999999</v>
      </c>
      <c r="D23" s="1039">
        <f>NSG_Supplies!Q10/1000+NSG_Supplies!F10/1000-NSG_Requirements!H10/1000</f>
        <v>29.548999999999999</v>
      </c>
      <c r="E23" s="1039">
        <f>NSG_Supplies!Q12/1000+NSG_Supplies!F11/1000-NSG_Requirements!H11/1000</f>
        <v>29.548999999999999</v>
      </c>
      <c r="F23" s="1034">
        <f>NSG_Supplies!Q12/1000+NSG_Supplies!F12/1000-NSG_Requirements!H12/1000</f>
        <v>29.548999999999999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37141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15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110</v>
      </c>
      <c r="I4" s="173">
        <f>AVERAGE(H4/1.025)</f>
        <v>107.31707317073172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15</v>
      </c>
      <c r="D5" s="427"/>
      <c r="E5" s="1240">
        <f>AVERAGE(C5/24)</f>
        <v>0.625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4.583333333333333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198.137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79.546000000000006</v>
      </c>
      <c r="D11" s="764"/>
      <c r="E11" s="1248"/>
      <c r="F11" s="1249" t="s">
        <v>778</v>
      </c>
      <c r="G11" s="1250">
        <f>G8+G10</f>
        <v>203.137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79.546000000000006</v>
      </c>
      <c r="D14" s="427"/>
      <c r="E14" s="1240">
        <f>AVERAGE(C14/24)</f>
        <v>3.3144166666666668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0.42499999999999999</v>
      </c>
      <c r="D15" s="60"/>
      <c r="E15" s="158"/>
      <c r="F15" s="1252" t="s">
        <v>785</v>
      </c>
      <c r="G15" s="1250">
        <f>SUM(G11)-G16-G17-H13</f>
        <v>203.137</v>
      </c>
      <c r="H15" s="427" t="s">
        <v>9</v>
      </c>
      <c r="I15" s="1240">
        <f>AVERAGE(G15/24)</f>
        <v>8.4640416666666667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0.42499999999999999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0.42499999999999999</v>
      </c>
      <c r="D20" s="1260" t="s">
        <v>9</v>
      </c>
      <c r="E20" s="1240">
        <f>AVERAGE(C20/24)</f>
        <v>1.7708333333333333E-2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37141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15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29.548999999999999</v>
      </c>
      <c r="I9" s="958"/>
      <c r="K9" s="887" t="s">
        <v>610</v>
      </c>
      <c r="L9" s="909">
        <f>NSG_Deliveries!C6/1000</f>
        <v>31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0.42499999999999999</v>
      </c>
      <c r="B11" s="958"/>
      <c r="H11" s="909">
        <f>NSG_Supplies!T8/1000</f>
        <v>0</v>
      </c>
      <c r="K11" s="890" t="s">
        <v>611</v>
      </c>
      <c r="L11" s="915">
        <f>SUM(K4+K17+K19+H11+H9-L9)</f>
        <v>13.548999999999999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79.546000000000006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380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203.137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180</v>
      </c>
      <c r="L26" s="887" t="s">
        <v>610</v>
      </c>
      <c r="M26" s="909">
        <f>NSG_Deliveries!C6/1000</f>
        <v>31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177.108</v>
      </c>
      <c r="L28" s="890" t="s">
        <v>650</v>
      </c>
      <c r="M28" s="915">
        <f>SUM(J2+K17+K19+H11+H9-M26)</f>
        <v>13.548999999999999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37140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21.105</v>
      </c>
    </row>
    <row r="30" spans="1:17" ht="10.5" customHeight="1">
      <c r="A30" s="892"/>
      <c r="B30" s="909"/>
      <c r="C30" s="890"/>
      <c r="D30" s="909"/>
      <c r="F30" s="1006">
        <f>PGL_Requirements!A8</f>
        <v>37141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18.212999999999994</v>
      </c>
    </row>
    <row r="32" spans="1:17">
      <c r="A32" s="909">
        <f>PGL_Supplies!G8/1000</f>
        <v>1</v>
      </c>
      <c r="G32" s="909">
        <f>PGL_Requirements!O8/1000</f>
        <v>110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420</v>
      </c>
      <c r="F38" s="959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287.108</v>
      </c>
      <c r="B40" s="903"/>
      <c r="C40" s="902"/>
      <c r="D40" s="903"/>
      <c r="E40" s="903"/>
      <c r="F40" s="969"/>
      <c r="G40" s="969">
        <f>SUM(G30:G35)</f>
        <v>110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177.108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400</v>
      </c>
      <c r="E48" s="974"/>
      <c r="F48" s="975">
        <v>0.161</v>
      </c>
      <c r="G48" s="976">
        <f>(C48-D48)*F48</f>
        <v>56.35</v>
      </c>
      <c r="H48" s="976">
        <f>(D48-B48)*F48</f>
        <v>16.100000000000001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79.23</v>
      </c>
      <c r="H49" s="976">
        <f>SUM(H45:H48)</f>
        <v>26.5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37140</v>
      </c>
      <c r="B5" s="11">
        <v>84</v>
      </c>
      <c r="C5" s="49">
        <v>66</v>
      </c>
      <c r="D5" s="49">
        <v>12</v>
      </c>
      <c r="E5" s="11">
        <v>75</v>
      </c>
      <c r="F5" s="11">
        <v>6</v>
      </c>
      <c r="G5" s="11">
        <v>6</v>
      </c>
      <c r="H5" s="11">
        <v>0</v>
      </c>
      <c r="I5" s="867" t="s">
        <v>820</v>
      </c>
      <c r="J5" s="867" t="s">
        <v>821</v>
      </c>
      <c r="K5" s="11">
        <v>3</v>
      </c>
      <c r="L5" s="11">
        <v>1</v>
      </c>
      <c r="N5" s="15" t="str">
        <f>I5&amp;" "&amp;I5</f>
        <v xml:space="preserve">  INCREASING  CLOUDS  AND  MORE HUMID.   WIND  SE 10  TO  15  MPH.   INCREASING  CLOUDS  AND  MORE HUMID.   WIND  SE 10  TO  15  MPH.</v>
      </c>
      <c r="AE5" s="15">
        <v>1</v>
      </c>
      <c r="AH5" s="15" t="s">
        <v>32</v>
      </c>
    </row>
    <row r="6" spans="1:34" ht="16.5" customHeight="1">
      <c r="A6" s="86">
        <f>A5+1</f>
        <v>37141</v>
      </c>
      <c r="B6" s="11">
        <v>83</v>
      </c>
      <c r="C6" s="49">
        <v>64</v>
      </c>
      <c r="D6" s="49">
        <v>15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9</v>
      </c>
      <c r="K6" s="11">
        <v>3</v>
      </c>
      <c r="L6" s="11" t="s">
        <v>558</v>
      </c>
      <c r="N6" s="15" t="str">
        <f>I6&amp;" "&amp;J6</f>
        <v xml:space="preserve">   CLOUDS AND  BREEZY  WITH A CHANCE OF T-STORMS  </v>
      </c>
      <c r="AE6" s="15">
        <v>1</v>
      </c>
      <c r="AH6" s="15" t="s">
        <v>33</v>
      </c>
    </row>
    <row r="7" spans="1:34" ht="16.5" customHeight="1">
      <c r="A7" s="86">
        <f>A6+1</f>
        <v>37142</v>
      </c>
      <c r="B7" s="11">
        <v>75</v>
      </c>
      <c r="C7" s="49">
        <v>55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157</v>
      </c>
      <c r="K7" s="11">
        <v>6</v>
      </c>
      <c r="L7" s="11" t="s">
        <v>20</v>
      </c>
      <c r="N7" s="15" t="str">
        <f>I7&amp;" "&amp;J7</f>
        <v xml:space="preserve">  CLOUDY  WITH  SHOWERS  AND  T-STORMS  POSSIBLE.    </v>
      </c>
    </row>
    <row r="8" spans="1:34" ht="16.5" customHeight="1">
      <c r="A8" s="86">
        <f>A7+1</f>
        <v>37143</v>
      </c>
      <c r="B8" s="11">
        <v>68</v>
      </c>
      <c r="C8" s="49">
        <v>50</v>
      </c>
      <c r="D8" s="49">
        <v>15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9</v>
      </c>
      <c r="K8" s="11">
        <v>5</v>
      </c>
      <c r="L8" s="11"/>
      <c r="N8" s="15" t="str">
        <f>I8&amp;" "&amp;J8</f>
        <v xml:space="preserve">  CLOUDY AND  COOL  WITH A CHANCE OF SHOWERS  </v>
      </c>
    </row>
    <row r="9" spans="1:34" ht="16.5" customHeight="1">
      <c r="A9" s="86">
        <f>A8+1</f>
        <v>37144</v>
      </c>
      <c r="B9" s="11">
        <v>69</v>
      </c>
      <c r="C9" s="49">
        <v>49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825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 PARTLY   CLOUDY  </v>
      </c>
    </row>
    <row r="10" spans="1:34" ht="16.5" customHeight="1">
      <c r="A10" s="86">
        <f>A9+1</f>
        <v>37145</v>
      </c>
      <c r="B10" s="11">
        <v>69</v>
      </c>
      <c r="C10" s="49">
        <v>49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 PARTLY   CLOUDY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2.524</v>
      </c>
      <c r="C2" s="60"/>
      <c r="D2" s="118" t="s">
        <v>309</v>
      </c>
      <c r="E2" s="417">
        <f>Weather_Input!A5</f>
        <v>37140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88.563999999999993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134.369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1.143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1.8140000000000001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-94.664000000000001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26.175000000000001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156.25799999999998</v>
      </c>
      <c r="C21" s="1268"/>
      <c r="D21" s="175" t="s">
        <v>530</v>
      </c>
      <c r="E21" s="174">
        <f>SUM(E7:E20)</f>
        <v>2.524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94.302000000000007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1.4235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3.5</v>
      </c>
      <c r="D24" s="1269" t="s">
        <v>531</v>
      </c>
      <c r="E24" s="220">
        <f>SUM(E21:E23)</f>
        <v>3.9474999999999998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90.802000000000007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0.42499999999999999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0.42499999999999999</v>
      </c>
      <c r="D27" s="242" t="s">
        <v>538</v>
      </c>
      <c r="E27" s="60" t="s">
        <v>9</v>
      </c>
      <c r="F27" s="173">
        <f>PGL_Deliveries!AS5/1000</f>
        <v>6.9850000000000003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42.383000000000003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35.398000000000003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178.47900000000001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94.9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0.83599999999999997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84</v>
      </c>
      <c r="F45" s="1116"/>
    </row>
    <row r="46" spans="1:13" ht="15">
      <c r="A46" s="169" t="s">
        <v>548</v>
      </c>
      <c r="B46" s="151">
        <f>PGL_Deliveries!AY5/1000</f>
        <v>1.4235</v>
      </c>
      <c r="C46" s="63"/>
      <c r="D46" s="169" t="s">
        <v>550</v>
      </c>
      <c r="E46" s="230">
        <f>Weather_Input!C5</f>
        <v>66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>
        <f>Weather_Input!E5</f>
        <v>75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12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1.0129999999999999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37140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10.333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12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23.890999999999998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2.621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26.511999999999997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168.07900000000001</v>
      </c>
      <c r="E5" s="1263">
        <f>SUM(PGL_Nine_to_Nine!F24)*2</f>
        <v>0</v>
      </c>
      <c r="G5" s="1263">
        <f>SUM(C5-E5)</f>
        <v>168.07900000000001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37140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37139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104085</v>
      </c>
      <c r="O6" s="199">
        <v>0</v>
      </c>
      <c r="P6" s="199">
        <v>56183607</v>
      </c>
      <c r="Q6" s="199">
        <v>15045098</v>
      </c>
      <c r="R6" s="199">
        <v>41138509</v>
      </c>
      <c r="S6" s="199">
        <v>0</v>
      </c>
    </row>
    <row r="7" spans="1:19">
      <c r="A7" s="4">
        <f>B1</f>
        <v>37140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99330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56282937</v>
      </c>
      <c r="Q7">
        <f>IF(O7&gt;0,Q6+O7,Q6)</f>
        <v>15045098</v>
      </c>
      <c r="R7">
        <f>IF(P7&gt;Q7,P7-Q7,0)</f>
        <v>41237839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37140</v>
      </c>
      <c r="B5" s="1">
        <f>(Weather_Input!B5+Weather_Input!C5)/2</f>
        <v>75</v>
      </c>
      <c r="C5" s="868">
        <v>203500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1381</v>
      </c>
      <c r="T5" s="874">
        <v>1143</v>
      </c>
      <c r="U5" s="1047">
        <v>0</v>
      </c>
      <c r="V5" s="868">
        <f>SUM(D5:T5)-U5</f>
        <v>2524</v>
      </c>
      <c r="W5" s="868">
        <v>88564</v>
      </c>
      <c r="X5" s="11">
        <v>0</v>
      </c>
      <c r="Y5" s="11">
        <v>134369</v>
      </c>
      <c r="Z5" s="11">
        <v>0</v>
      </c>
      <c r="AA5" s="11">
        <v>1814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1013</v>
      </c>
      <c r="AP5" s="1"/>
      <c r="AQ5" s="1">
        <v>0</v>
      </c>
      <c r="AR5" s="1">
        <v>26175</v>
      </c>
      <c r="AS5" s="1">
        <v>6985</v>
      </c>
      <c r="AT5" s="1">
        <v>0</v>
      </c>
      <c r="AU5" s="1">
        <v>0</v>
      </c>
      <c r="AV5" s="1">
        <v>836</v>
      </c>
      <c r="AW5" s="1">
        <v>94900</v>
      </c>
      <c r="AX5" s="1">
        <v>600</v>
      </c>
      <c r="AY5" s="610">
        <f>AW5*0.015</f>
        <v>1423.5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37141</v>
      </c>
      <c r="B6" s="886">
        <f>(Weather_Input!B6+Weather_Input!C6)/2</f>
        <v>73.5</v>
      </c>
      <c r="C6" s="868">
        <v>180000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37142</v>
      </c>
      <c r="B7" s="886">
        <f>(Weather_Input!B7+Weather_Input!C7)/2</f>
        <v>65</v>
      </c>
      <c r="C7" s="868">
        <v>170000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37143</v>
      </c>
      <c r="B8" s="886">
        <f>(Weather_Input!B8+Weather_Input!C8)/2</f>
        <v>59</v>
      </c>
      <c r="C8" s="868">
        <v>185000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37144</v>
      </c>
      <c r="B9" s="886">
        <f>(Weather_Input!B9+Weather_Input!C9)/2</f>
        <v>59</v>
      </c>
      <c r="C9" s="868">
        <v>200000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37145</v>
      </c>
      <c r="B10" s="886">
        <f>(Weather_Input!B10+Weather_Input!C10)/2</f>
        <v>59</v>
      </c>
      <c r="C10" s="868">
        <v>200000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37140</v>
      </c>
      <c r="B5" s="1">
        <f>(Weather_Input!B5+Weather_Input!C5)/2</f>
        <v>75</v>
      </c>
      <c r="C5" s="868">
        <v>32300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1001</v>
      </c>
      <c r="J5" s="1" t="s">
        <v>9</v>
      </c>
      <c r="K5" s="1">
        <v>0</v>
      </c>
      <c r="L5" s="1">
        <v>2621</v>
      </c>
      <c r="M5" s="1">
        <v>10333</v>
      </c>
      <c r="N5" s="1">
        <v>0</v>
      </c>
    </row>
    <row r="6" spans="1:14">
      <c r="A6" s="12">
        <f>A5+1</f>
        <v>37141</v>
      </c>
      <c r="B6" s="886">
        <f>(Weather_Input!B6+Weather_Input!C6)/2</f>
        <v>73.5</v>
      </c>
      <c r="C6" s="868">
        <v>31000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37142</v>
      </c>
      <c r="B7" s="886">
        <f>(Weather_Input!B7+Weather_Input!C7)/2</f>
        <v>65</v>
      </c>
      <c r="C7" s="868">
        <v>29000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37143</v>
      </c>
      <c r="B8" s="886">
        <f>(Weather_Input!B8+Weather_Input!C8)/2</f>
        <v>59</v>
      </c>
      <c r="C8" s="868">
        <v>32000</v>
      </c>
      <c r="D8" s="871" t="s">
        <v>9</v>
      </c>
      <c r="E8" s="871"/>
      <c r="F8" s="871"/>
      <c r="G8" s="871"/>
      <c r="H8" s="15"/>
    </row>
    <row r="9" spans="1:14">
      <c r="A9" s="12">
        <f>A8+1</f>
        <v>37144</v>
      </c>
      <c r="B9" s="886">
        <f>(Weather_Input!B9+Weather_Input!C9)/2</f>
        <v>59</v>
      </c>
      <c r="C9" s="868">
        <v>34000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37145</v>
      </c>
      <c r="B10" s="886">
        <f>(Weather_Input!B10+Weather_Input!C10)/2</f>
        <v>59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37140</v>
      </c>
      <c r="B7" s="877">
        <v>0</v>
      </c>
      <c r="C7" s="608">
        <v>0</v>
      </c>
      <c r="D7" s="608">
        <v>15400</v>
      </c>
      <c r="E7" s="877">
        <v>5028</v>
      </c>
      <c r="F7" s="877">
        <v>0</v>
      </c>
      <c r="G7" s="879">
        <v>0</v>
      </c>
      <c r="H7" s="607">
        <v>0</v>
      </c>
      <c r="I7" s="607">
        <v>3500</v>
      </c>
      <c r="J7" s="608">
        <v>0</v>
      </c>
      <c r="K7" s="607">
        <v>0</v>
      </c>
      <c r="L7" s="608">
        <v>0</v>
      </c>
      <c r="M7" s="608">
        <v>0</v>
      </c>
      <c r="N7" s="609">
        <v>1760</v>
      </c>
      <c r="O7" s="608">
        <v>120000</v>
      </c>
      <c r="P7" s="610">
        <f t="shared" ref="P7:P12" si="0">O7*0.015</f>
        <v>1800</v>
      </c>
      <c r="Q7" s="608">
        <v>600</v>
      </c>
      <c r="R7" s="608">
        <v>0</v>
      </c>
      <c r="S7" s="608">
        <v>0</v>
      </c>
      <c r="T7" s="607">
        <v>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37141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110000</v>
      </c>
      <c r="P8" s="610">
        <f t="shared" si="0"/>
        <v>1650</v>
      </c>
      <c r="Q8" s="608">
        <v>600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37142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110000</v>
      </c>
      <c r="P9" s="610">
        <f t="shared" si="0"/>
        <v>1650</v>
      </c>
      <c r="Q9" s="608">
        <v>600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37143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110000</v>
      </c>
      <c r="P10" s="610">
        <f t="shared" si="0"/>
        <v>1650</v>
      </c>
      <c r="Q10" s="608">
        <v>600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37144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110000</v>
      </c>
      <c r="P11" s="610">
        <f t="shared" si="0"/>
        <v>1650</v>
      </c>
      <c r="Q11" s="608">
        <v>600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37145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110000</v>
      </c>
      <c r="P12" s="610">
        <f t="shared" si="0"/>
        <v>1650</v>
      </c>
      <c r="Q12" s="608">
        <v>600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37140</v>
      </c>
      <c r="B7" s="610">
        <v>3340</v>
      </c>
      <c r="C7" s="610">
        <v>15600</v>
      </c>
      <c r="D7" s="610">
        <v>0</v>
      </c>
      <c r="E7" s="610">
        <v>0</v>
      </c>
      <c r="F7" s="877">
        <v>0</v>
      </c>
      <c r="G7" s="608">
        <v>1000</v>
      </c>
      <c r="H7" s="608">
        <v>6457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134083</v>
      </c>
      <c r="V7" s="609">
        <v>0</v>
      </c>
      <c r="W7" s="607">
        <v>0</v>
      </c>
      <c r="X7" s="880">
        <v>94302</v>
      </c>
      <c r="Y7" s="609">
        <v>425</v>
      </c>
      <c r="Z7" s="1">
        <v>0</v>
      </c>
      <c r="AA7" s="607">
        <v>178479</v>
      </c>
      <c r="AB7" s="607">
        <v>42383</v>
      </c>
      <c r="AC7" s="607">
        <v>5028</v>
      </c>
      <c r="AD7" s="880">
        <v>0</v>
      </c>
      <c r="AE7" s="798">
        <f>Weather_Input!A5</f>
        <v>37140</v>
      </c>
      <c r="AH7" s="607"/>
      <c r="AI7" s="607"/>
      <c r="AJ7" s="607"/>
    </row>
    <row r="8" spans="1:36">
      <c r="A8" s="798">
        <f>A7+1</f>
        <v>37141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134083</v>
      </c>
      <c r="V8" s="609">
        <v>0</v>
      </c>
      <c r="W8" s="607">
        <v>0</v>
      </c>
      <c r="X8" s="880">
        <v>79546</v>
      </c>
      <c r="Y8" s="609">
        <v>425</v>
      </c>
      <c r="Z8" s="1">
        <v>0</v>
      </c>
      <c r="AA8" s="607">
        <v>198137</v>
      </c>
      <c r="AB8" s="607">
        <v>29105</v>
      </c>
      <c r="AC8" s="607">
        <v>5028</v>
      </c>
      <c r="AD8" s="880">
        <v>0</v>
      </c>
      <c r="AE8" s="798">
        <f>AE7+1</f>
        <v>37141</v>
      </c>
      <c r="AH8" s="607"/>
      <c r="AI8" s="607"/>
      <c r="AJ8" s="607"/>
    </row>
    <row r="9" spans="1:36" s="607" customFormat="1">
      <c r="A9" s="798">
        <f>A8+1</f>
        <v>37142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134083</v>
      </c>
      <c r="V9" s="609">
        <v>0</v>
      </c>
      <c r="W9" s="607">
        <v>0</v>
      </c>
      <c r="X9" s="880">
        <v>79546</v>
      </c>
      <c r="Y9" s="609">
        <v>425</v>
      </c>
      <c r="Z9" s="1">
        <v>0</v>
      </c>
      <c r="AA9" s="607">
        <v>198137</v>
      </c>
      <c r="AB9" s="607">
        <v>29105</v>
      </c>
      <c r="AC9" s="607">
        <v>5028</v>
      </c>
      <c r="AD9" s="880">
        <v>0</v>
      </c>
      <c r="AE9" s="798">
        <f>AE8+1</f>
        <v>37142</v>
      </c>
    </row>
    <row r="10" spans="1:36">
      <c r="A10" s="798">
        <f>A9+1</f>
        <v>37143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134083</v>
      </c>
      <c r="V10" s="609">
        <v>0</v>
      </c>
      <c r="W10" s="607">
        <v>0</v>
      </c>
      <c r="X10" s="880">
        <v>79546</v>
      </c>
      <c r="Y10" s="609">
        <v>425</v>
      </c>
      <c r="Z10" s="1">
        <v>0</v>
      </c>
      <c r="AA10" s="607">
        <v>198137</v>
      </c>
      <c r="AB10" s="607">
        <v>29105</v>
      </c>
      <c r="AC10" s="607">
        <v>5028</v>
      </c>
      <c r="AD10" s="880">
        <v>0</v>
      </c>
      <c r="AE10" s="798">
        <f>AE9+1</f>
        <v>37143</v>
      </c>
      <c r="AH10" s="607"/>
      <c r="AI10" s="607"/>
      <c r="AJ10" s="607"/>
    </row>
    <row r="11" spans="1:36">
      <c r="A11" s="798">
        <f>A10+1</f>
        <v>37144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134083</v>
      </c>
      <c r="V11" s="609">
        <v>0</v>
      </c>
      <c r="W11" s="607">
        <v>0</v>
      </c>
      <c r="X11" s="880">
        <v>79546</v>
      </c>
      <c r="Y11" s="609">
        <v>425</v>
      </c>
      <c r="Z11" s="1">
        <v>0</v>
      </c>
      <c r="AA11" s="607">
        <v>198137</v>
      </c>
      <c r="AB11" s="607">
        <v>29105</v>
      </c>
      <c r="AC11" s="607">
        <v>5028</v>
      </c>
      <c r="AD11" s="880">
        <v>0</v>
      </c>
      <c r="AE11" s="798">
        <f>AE10+1</f>
        <v>37144</v>
      </c>
    </row>
    <row r="12" spans="1:36">
      <c r="A12" s="798">
        <f>A11+1</f>
        <v>37145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134083</v>
      </c>
      <c r="V12" s="609">
        <v>0</v>
      </c>
      <c r="W12" s="607">
        <v>0</v>
      </c>
      <c r="X12" s="880">
        <v>79546</v>
      </c>
      <c r="Y12" s="609">
        <v>425</v>
      </c>
      <c r="Z12" s="1">
        <v>0</v>
      </c>
      <c r="AA12" s="607">
        <v>198137</v>
      </c>
      <c r="AB12" s="607">
        <v>29105</v>
      </c>
      <c r="AC12" s="607">
        <v>5028</v>
      </c>
      <c r="AD12" s="880">
        <v>0</v>
      </c>
      <c r="AE12" s="798">
        <f>AE11+1</f>
        <v>37145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37140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5590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37140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37141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37141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37142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37142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37143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37143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37144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37144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37145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37145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37140</v>
      </c>
      <c r="B7" s="610">
        <v>0</v>
      </c>
      <c r="C7" s="611">
        <v>0</v>
      </c>
      <c r="D7" s="610">
        <v>0</v>
      </c>
      <c r="E7" s="610">
        <v>0</v>
      </c>
      <c r="F7" s="610">
        <v>2000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12000</v>
      </c>
      <c r="Q7" s="610">
        <v>23891</v>
      </c>
      <c r="R7" s="610">
        <v>17963</v>
      </c>
      <c r="S7" s="610">
        <v>0</v>
      </c>
      <c r="T7" s="610">
        <v>0</v>
      </c>
      <c r="U7" s="798">
        <f>Weather_Input!A5</f>
        <v>37140</v>
      </c>
      <c r="V7" s="607"/>
      <c r="W7" s="607"/>
    </row>
    <row r="8" spans="1:23">
      <c r="A8" s="798">
        <f>A7+1</f>
        <v>37141</v>
      </c>
      <c r="B8" s="610">
        <v>0</v>
      </c>
      <c r="C8" s="611">
        <v>0</v>
      </c>
      <c r="D8" s="610">
        <v>0</v>
      </c>
      <c r="E8" s="610">
        <v>0</v>
      </c>
      <c r="F8" s="610">
        <v>2000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15000</v>
      </c>
      <c r="Q8" s="610">
        <v>27549</v>
      </c>
      <c r="R8" s="610">
        <v>17963</v>
      </c>
      <c r="S8" s="610">
        <v>0</v>
      </c>
      <c r="T8" s="610">
        <v>0</v>
      </c>
      <c r="U8" s="798">
        <f>U7+1</f>
        <v>37141</v>
      </c>
      <c r="V8" s="607"/>
      <c r="W8" s="607"/>
    </row>
    <row r="9" spans="1:23">
      <c r="A9" s="798">
        <f>A8+1</f>
        <v>37142</v>
      </c>
      <c r="B9" s="610">
        <v>0</v>
      </c>
      <c r="C9" s="611">
        <v>0</v>
      </c>
      <c r="D9" s="610">
        <v>0</v>
      </c>
      <c r="E9" s="610">
        <v>0</v>
      </c>
      <c r="F9" s="610">
        <v>2000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15000</v>
      </c>
      <c r="Q9" s="610">
        <v>27549</v>
      </c>
      <c r="R9" s="610">
        <v>17963</v>
      </c>
      <c r="S9" s="610">
        <v>0</v>
      </c>
      <c r="T9" s="610">
        <v>0</v>
      </c>
      <c r="U9" s="798">
        <f>U8+1</f>
        <v>37142</v>
      </c>
      <c r="V9" s="607"/>
      <c r="W9" s="607"/>
    </row>
    <row r="10" spans="1:23">
      <c r="A10" s="798">
        <f>A9+1</f>
        <v>37143</v>
      </c>
      <c r="B10" s="610">
        <v>0</v>
      </c>
      <c r="C10" s="611">
        <v>0</v>
      </c>
      <c r="D10" s="610">
        <v>0</v>
      </c>
      <c r="E10" s="610">
        <v>0</v>
      </c>
      <c r="F10" s="610">
        <v>2000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15000</v>
      </c>
      <c r="Q10" s="610">
        <v>27549</v>
      </c>
      <c r="R10" s="610">
        <v>17963</v>
      </c>
      <c r="S10" s="610">
        <v>0</v>
      </c>
      <c r="T10" s="610">
        <v>0</v>
      </c>
      <c r="U10" s="798">
        <f>U9+1</f>
        <v>37143</v>
      </c>
      <c r="V10" s="607"/>
      <c r="W10" s="607"/>
    </row>
    <row r="11" spans="1:23">
      <c r="A11" s="798">
        <f>A10+1</f>
        <v>37144</v>
      </c>
      <c r="B11" s="610">
        <v>0</v>
      </c>
      <c r="C11" s="611">
        <v>0</v>
      </c>
      <c r="D11" s="610">
        <v>0</v>
      </c>
      <c r="E11" s="610">
        <v>0</v>
      </c>
      <c r="F11" s="610">
        <v>2000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15000</v>
      </c>
      <c r="Q11" s="610">
        <v>27549</v>
      </c>
      <c r="R11" s="610">
        <v>17963</v>
      </c>
      <c r="S11" s="610">
        <v>0</v>
      </c>
      <c r="T11" s="610">
        <v>0</v>
      </c>
      <c r="U11" s="798">
        <f>U10+1</f>
        <v>37144</v>
      </c>
      <c r="V11" s="607"/>
      <c r="W11" s="607"/>
    </row>
    <row r="12" spans="1:23">
      <c r="A12" s="798">
        <f>A11+1</f>
        <v>37145</v>
      </c>
      <c r="B12" s="610">
        <v>0</v>
      </c>
      <c r="C12" s="611">
        <v>0</v>
      </c>
      <c r="D12" s="610">
        <v>0</v>
      </c>
      <c r="E12" s="610">
        <v>0</v>
      </c>
      <c r="F12" s="610">
        <v>2000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15000</v>
      </c>
      <c r="Q12" s="610">
        <v>27549</v>
      </c>
      <c r="R12" s="610">
        <v>17963</v>
      </c>
      <c r="S12" s="610">
        <v>0</v>
      </c>
      <c r="T12" s="610">
        <v>0</v>
      </c>
      <c r="U12" s="798">
        <f>U11+1</f>
        <v>37145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THU</v>
      </c>
      <c r="I1" s="803">
        <f>D4</f>
        <v>37140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</row>
    <row r="4" spans="1:256" ht="18.95" customHeight="1" thickBot="1">
      <c r="A4" s="810"/>
      <c r="B4" s="811"/>
      <c r="C4" s="811"/>
      <c r="D4" s="449">
        <f>Weather_Input!A5</f>
        <v>37140</v>
      </c>
      <c r="E4" s="449">
        <f>Weather_Input!A6</f>
        <v>37141</v>
      </c>
      <c r="F4" s="449">
        <f>Weather_Input!A7</f>
        <v>37142</v>
      </c>
      <c r="G4" s="449">
        <f>Weather_Input!A8</f>
        <v>37143</v>
      </c>
      <c r="H4" s="449">
        <f>Weather_Input!A9</f>
        <v>37144</v>
      </c>
      <c r="I4" s="450">
        <f>Weather_Input!A10</f>
        <v>37145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84/66/75</v>
      </c>
      <c r="E5" s="451" t="str">
        <f>TEXT(Weather_Input!B6,"0")&amp;"/"&amp;TEXT(Weather_Input!C6,"0") &amp; "/" &amp; TEXT((Weather_Input!B6+Weather_Input!C6)/2,"0")</f>
        <v>83/64/74</v>
      </c>
      <c r="F5" s="451" t="str">
        <f>TEXT(Weather_Input!B7,"0")&amp;"/"&amp;TEXT(Weather_Input!C7,"0") &amp; "/" &amp; TEXT((Weather_Input!B7+Weather_Input!C7)/2,"0")</f>
        <v>75/55/65</v>
      </c>
      <c r="G5" s="451" t="str">
        <f>TEXT(Weather_Input!B8,"0")&amp;"/"&amp;TEXT(Weather_Input!C8,"0") &amp; "/" &amp; TEXT((Weather_Input!B8+Weather_Input!C8)/2,"0")</f>
        <v>68/50/59</v>
      </c>
      <c r="H5" s="451" t="str">
        <f>TEXT(Weather_Input!B9,"0")&amp;"/"&amp;TEXT(Weather_Input!C9,"0") &amp; "/" &amp; TEXT((Weather_Input!B9+Weather_Input!C9)/2,"0")</f>
        <v>69/49/59</v>
      </c>
      <c r="I5" s="452" t="str">
        <f>TEXT(Weather_Input!B10,"0")&amp;"/"&amp;TEXT(Weather_Input!C10,"0") &amp; "/" &amp; TEXT((Weather_Input!B10+Weather_Input!C10)/2,"0")</f>
        <v>69/49/59</v>
      </c>
    </row>
    <row r="6" spans="1:256" ht="18.95" customHeight="1">
      <c r="A6" s="817" t="s">
        <v>133</v>
      </c>
      <c r="B6" s="805"/>
      <c r="C6" s="805"/>
      <c r="D6" s="451">
        <f>PGL_Deliveries!C5/1000</f>
        <v>203.5</v>
      </c>
      <c r="E6" s="451">
        <f>PGL_Deliveries!C6/1000</f>
        <v>180</v>
      </c>
      <c r="F6" s="451">
        <f>PGL_Deliveries!C7/1000</f>
        <v>170</v>
      </c>
      <c r="G6" s="451">
        <f>PGL_Deliveries!C8/1000</f>
        <v>185</v>
      </c>
      <c r="H6" s="451">
        <f>PGL_Deliveries!C9/1000</f>
        <v>200</v>
      </c>
      <c r="I6" s="452">
        <f>PGL_Deliveries!C10/1000</f>
        <v>200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120</v>
      </c>
      <c r="E11" s="451">
        <f>PGL_Requirements!O8/1000</f>
        <v>110</v>
      </c>
      <c r="F11" s="451">
        <f>PGL_Requirements!O9/1000</f>
        <v>110</v>
      </c>
      <c r="G11" s="451">
        <f>PGL_Requirements!O10/1000</f>
        <v>110</v>
      </c>
      <c r="H11" s="451">
        <f>PGL_Requirements!O11/1000</f>
        <v>110</v>
      </c>
      <c r="I11" s="452">
        <f>PGL_Requirements!O12/1000</f>
        <v>110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1.8</v>
      </c>
      <c r="E12" s="451">
        <f>PGL_Requirements!P8/1000</f>
        <v>1.65</v>
      </c>
      <c r="F12" s="451">
        <f>PGL_Requirements!P9/1000</f>
        <v>1.65</v>
      </c>
      <c r="G12" s="451">
        <f>PGL_Requirements!P10/1000</f>
        <v>1.65</v>
      </c>
      <c r="H12" s="451">
        <f>PGL_Requirements!P11/1000</f>
        <v>1.65</v>
      </c>
      <c r="I12" s="452">
        <f>PGL_Requirements!P12/1000</f>
        <v>1.65</v>
      </c>
    </row>
    <row r="13" spans="1:256" ht="18.95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0.42499999999999999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1.76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3.5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15.4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352.01300000000003</v>
      </c>
      <c r="E25" s="455">
        <f t="shared" si="1"/>
        <v>305.27800000000002</v>
      </c>
      <c r="F25" s="455">
        <f t="shared" si="1"/>
        <v>295.27800000000002</v>
      </c>
      <c r="G25" s="455">
        <f t="shared" si="1"/>
        <v>310.27800000000002</v>
      </c>
      <c r="H25" s="455">
        <f t="shared" si="1"/>
        <v>325.27800000000002</v>
      </c>
      <c r="I25" s="1060">
        <f t="shared" si="1"/>
        <v>325.27800000000002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94.302000000000007</v>
      </c>
      <c r="E37" s="451">
        <f>PGL_Supplies!X8/1000</f>
        <v>79.546000000000006</v>
      </c>
      <c r="F37" s="451">
        <f>PGL_Supplies!X9/1000</f>
        <v>79.546000000000006</v>
      </c>
      <c r="G37" s="451">
        <f>PGL_Supplies!X10/1000</f>
        <v>79.546000000000006</v>
      </c>
      <c r="H37" s="451">
        <f>PGL_Supplies!X11/1000</f>
        <v>79.546000000000006</v>
      </c>
      <c r="I37" s="452">
        <f>PGL_Supplies!X12/1000</f>
        <v>79.546000000000006</v>
      </c>
    </row>
    <row r="38" spans="1:10" ht="18.95" customHeight="1">
      <c r="A38" s="817"/>
      <c r="B38" s="805" t="s">
        <v>136</v>
      </c>
      <c r="C38" s="818"/>
      <c r="D38" s="451">
        <f>PGL_Supplies!Y7/1000</f>
        <v>0.42499999999999999</v>
      </c>
      <c r="E38" s="451">
        <f>PGL_Supplies!Y8/1000</f>
        <v>0.42499999999999999</v>
      </c>
      <c r="F38" s="451">
        <f>PGL_Supplies!Y9/1000</f>
        <v>0.42499999999999999</v>
      </c>
      <c r="G38" s="451">
        <f>PGL_Supplies!Y10/1000</f>
        <v>0.42499999999999999</v>
      </c>
      <c r="H38" s="451">
        <f>PGL_Supplies!Y11/1000</f>
        <v>0.42499999999999999</v>
      </c>
      <c r="I38" s="452">
        <f>PGL_Supplies!Y12/1000</f>
        <v>0.42499999999999999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178.47900000000001</v>
      </c>
      <c r="E40" s="451">
        <f>PGL_Supplies!AA8/1000</f>
        <v>198.137</v>
      </c>
      <c r="F40" s="451">
        <f>PGL_Supplies!AA9/1000</f>
        <v>198.137</v>
      </c>
      <c r="G40" s="451">
        <f>PGL_Supplies!AA10/1000</f>
        <v>198.137</v>
      </c>
      <c r="H40" s="451">
        <f>PGL_Supplies!AA11/1000</f>
        <v>198.137</v>
      </c>
      <c r="I40" s="452">
        <f>PGL_Supplies!AA12/1000</f>
        <v>198.137</v>
      </c>
    </row>
    <row r="41" spans="1:10" ht="18.95" customHeight="1">
      <c r="A41" s="817"/>
      <c r="B41" s="805" t="s">
        <v>134</v>
      </c>
      <c r="C41" s="805"/>
      <c r="D41" s="451">
        <f>PGL_Supplies!AB7/1000</f>
        <v>42.383000000000003</v>
      </c>
      <c r="E41" s="451">
        <f>PGL_Supplies!AB8/1000</f>
        <v>29.105</v>
      </c>
      <c r="F41" s="451">
        <f>PGL_Supplies!AB9/1000</f>
        <v>29.105</v>
      </c>
      <c r="G41" s="451">
        <f>PGL_Supplies!AB10/1000</f>
        <v>29.105</v>
      </c>
      <c r="H41" s="451">
        <f>PGL_Supplies!AB11/1000</f>
        <v>29.105</v>
      </c>
      <c r="I41" s="452">
        <f>PGL_Supplies!AB12/1000</f>
        <v>29.105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6.4569999999999999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3.34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15.6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352.01400000000001</v>
      </c>
      <c r="E50" s="461">
        <f t="shared" si="2"/>
        <v>321.24100000000004</v>
      </c>
      <c r="F50" s="461">
        <f t="shared" si="2"/>
        <v>316.24100000000004</v>
      </c>
      <c r="G50" s="461">
        <f t="shared" si="2"/>
        <v>316.24100000000004</v>
      </c>
      <c r="H50" s="461">
        <f t="shared" si="2"/>
        <v>316.24100000000004</v>
      </c>
      <c r="I50" s="1062">
        <f t="shared" si="2"/>
        <v>316.24100000000004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9.9999999997635314E-4</v>
      </c>
      <c r="E51" s="462">
        <f t="shared" si="3"/>
        <v>15.963000000000022</v>
      </c>
      <c r="F51" s="462">
        <f t="shared" si="3"/>
        <v>20.963000000000022</v>
      </c>
      <c r="G51" s="462">
        <f t="shared" si="3"/>
        <v>5.9630000000000223</v>
      </c>
      <c r="H51" s="462">
        <f t="shared" si="3"/>
        <v>0</v>
      </c>
      <c r="I51" s="1063">
        <f t="shared" si="3"/>
        <v>0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0</v>
      </c>
      <c r="G52" s="463">
        <f t="shared" si="4"/>
        <v>0</v>
      </c>
      <c r="H52" s="463">
        <f t="shared" si="4"/>
        <v>9.0369999999999777</v>
      </c>
      <c r="I52" s="1064">
        <f t="shared" si="4"/>
        <v>9.0369999999999777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134.083</v>
      </c>
      <c r="E53" s="1053">
        <f>PGL_Supplies!U8/1000</f>
        <v>134.083</v>
      </c>
      <c r="F53" s="1053">
        <f>PGL_Supplies!U9/1000</f>
        <v>134.083</v>
      </c>
      <c r="G53" s="1053">
        <f>PGL_Supplies!U10/1000</f>
        <v>134.083</v>
      </c>
      <c r="H53" s="1053">
        <f>PGL_Supplies!U11/1000</f>
        <v>134.083</v>
      </c>
      <c r="I53" s="1054">
        <f>PGL_Supplies!U12/1000</f>
        <v>134.083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2001-09-06T20:14:07Z</cp:lastPrinted>
  <dcterms:created xsi:type="dcterms:W3CDTF">1997-07-16T16:14:22Z</dcterms:created>
  <dcterms:modified xsi:type="dcterms:W3CDTF">2023-09-10T17:00:52Z</dcterms:modified>
</cp:coreProperties>
</file>