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487DBC-52BF-4135-BAB8-947E3B0D54EB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<sst xmlns="http://schemas.openxmlformats.org/spreadsheetml/2006/main" count="2089" uniqueCount="830">
  <si>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</si>
  <si>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</si>
  <si>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</si>
  <si>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</si>
  <si>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</si>
  <si>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</si>
  <si>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</si>
  <si>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</si>
  <si>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</si>
  <si>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</si>
  <si>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</si>
  <si>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</si>
  <si>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</si>
  <si>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</si>
  <si>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</si>
  <si>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</si>
  <si>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</si>
  <si>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</si>
  <si>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</si>
  <si>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</si>
  <si>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</si>
  <si>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</si>
  <si>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</si>
  <si>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</si>
  <si>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</si>
  <si>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</si>
  <si>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</si>
  <si>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</si>
  <si>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</si>
  <si>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</si>
  <si>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</si>
  <si>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</si>
  <si>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</si>
  <si>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</si>
  <si>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</si>
  <si>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</si>
  <si>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</si>
  <si>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</si>
  <si>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</si>
  <si>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</si>
  <si>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</si>
  <si>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</si>
  <si>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</si>
  <si>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</si>
  <si>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</si>
  <si>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</si>
  <si>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</si>
  <si>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</si>
  <si>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</si>
  <si>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</si>
  <si>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</si>
  <si>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</si>
  <si>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</si>
  <si>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</si>
  <si>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</si>
  <si>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</si>
  <si>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</si>
  <si>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</si>
  <si>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</si>
  <si>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</si>
  <si>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</si>
  <si>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</si>
  <si>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</si>
  <si>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</si>
  <si>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</si>
  <si>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</si>
  <si>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</si>
  <si>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</si>
  <si>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</si>
  <si>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</si>
  <si>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</si>
  <si>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</si>
  <si>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</si>
  <si>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</si>
  <si>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</si>
  <si>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</si>
  <si>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</si>
  <si>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</si>
  <si>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</si>
  <si>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</si>
  <si>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</si>
  <si>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</si>
  <si>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</si>
  <si>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</si>
  <si>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</si>
  <si>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</si>
  <si>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</si>
  <si>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</si>
  <si>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</si>
  <si>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</si>
  <si>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</si>
  <si>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</si>
  <si>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</si>
  <si>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</si>
  <si>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</si>
  <si>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</si>
  <si>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</si>
  <si>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</si>
  <si>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</si>
  <si>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</si>
  <si>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</si>
  <si>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</si>
  <si>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</si>
  <si>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</si>
  <si>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</si>
  <si>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</si>
  <si>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</si>
  <si>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</si>
  <si>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</si>
  <si>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</si>
  <si>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</si>
  <si>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</si>
  <si>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</si>
  <si>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</si>
  <si>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</si>
  <si>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</si>
  <si>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</si>
  <si>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</si>
  <si>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</si>
  <si>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</si>
  <si>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</si>
  <si>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</si>
  <si>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</si>
  <si>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</si>
  <si>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</si>
  <si>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</si>
  <si>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</si>
  <si>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</si>
  <si>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</si>
  <si>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</si>
  <si>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</si>
  <si>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</si>
  <si>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</si>
  <si>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</si>
  <si>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</si>
  <si>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</si>
  <si>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</si>
  <si>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</si>
  <si>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</si>
  <si>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</si>
  <si>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</si>
  <si>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</si>
  <si>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</si>
  <si>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</si>
  <si>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</si>
  <si>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</si>
  <si>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</si>
  <si>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</si>
  <si>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</si>
  <si>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</si>
  <si>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</si>
  <si>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</si>
  <si>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</si>
  <si>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</si>
  <si>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</si>
  <si>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</si>
  <si>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</si>
  <si>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</si>
  <si>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</si>
  <si>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</si>
  <si>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</si>
  <si>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</si>
  <si>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</si>
  <si>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</si>
  <si>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</si>
  <si>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</si>
  <si>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</si>
  <si>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</si>
  <si>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</si>
  <si>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</si>
  <si>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</si>
  <si>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</si>
  <si>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</si>
  <si>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</si>
  <si>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</si>
  <si>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</si>
  <si>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</si>
  <si>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</si>
  <si>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</si>
  <si>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</si>
  <si>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</si>
  <si>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</si>
  <si>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</si>
  <si>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</si>
  <si>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</si>
  <si>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</si>
  <si>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</si>
  <si>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</si>
  <si>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</si>
  <si>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</si>
  <si>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</si>
  <si>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</si>
  <si>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</si>
  <si>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</si>
  <si>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</si>
  <si>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</si>
  <si>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</si>
  <si>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</si>
  <si>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</si>
  <si>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</si>
  <si>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</si>
  <si>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</si>
  <si>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</si>
  <si>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</si>
  <si>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</si>
  <si>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</si>
  <si>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</si>
  <si>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</si>
  <si>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</si>
  <si>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</si>
  <si>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</si>
  <si>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</si>
  <si>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</si>
  <si>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</si>
  <si>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</si>
  <si>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</si>
  <si>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</si>
  <si>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</si>
  <si>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</si>
  <si>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</si>
  <si>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</si>
  <si>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</si>
  <si>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</si>
  <si>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</si>
  <si>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</si>
  <si>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</si>
  <si>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</si>
  <si>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</si>
  <si>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</si>
  <si>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</si>
  <si>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</si>
  <si>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</si>
  <si>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</si>
  <si>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</si>
  <si>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</si>
  <si>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</si>
  <si>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</si>
  <si>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</si>
  <si>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</si>
  <si>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</si>
  <si>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</si>
  <si>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</si>
  <si>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</si>
  <si>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</si>
  <si>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</si>
  <si>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</si>
  <si>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</si>
  <si>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</si>
  <si>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</si>
  <si>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</si>
  <si>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</si>
  <si>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</si>
  <si>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</si>
  <si>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</si>
  <si>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</si>
  <si>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</si>
  <si>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</si>
  <si>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</si>
  <si>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</si>
  <si>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</si>
  <si>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</si>
  <si>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</si>
  <si>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</si>
  <si>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</si>
  <si>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</si>
  <si>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</si>
  <si>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</si>
  <si>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</si>
  <si>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</si>
  <si>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</si>
  <si>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</si>
  <si>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</si>
  <si>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</si>
  <si>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</si>
  <si>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</si>
  <si>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</si>
  <si>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</si>
  <si>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</si>
  <si>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</si>
  <si>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</si>
  <si>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</si>
  <si>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</si>
  <si>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</si>
  <si>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</si>
  <si>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</si>
  <si>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</si>
  <si>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</si>
  <si>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</si>
  <si>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</si>
  <si>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</si>
  <si>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</si>
  <si>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</si>
  <si>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</si>
  <si>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</si>
  <si>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</si>
  <si>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</si>
  <si>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</si>
  <si>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</si>
  <si>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</si>
  <si>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</si>
  <si>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</si>
  <si>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</si>
  <si>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</si>
  <si>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</si>
  <si>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</si>
  <si>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</si>
  <si>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</si>
  <si>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</si>
  <si>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</si>
  <si>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</si>
  <si>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</si>
  <si>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</si>
  <si>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</si>
  <si>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</si>
  <si>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</si>
  <si>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</si>
  <si>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</si>
  <si>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</si>
  <si>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</si>
  <si>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</si>
  <si>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</si>
  <si>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</si>
  <si>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</si>
  <si>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</si>
  <si>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</si>
  <si>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</si>
  <si>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</si>
  <si>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</si>
  <si>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</si>
  <si>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</si>
  <si>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</si>
  <si>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</si>
  <si>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</si>
  <si>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</si>
  <si>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</si>
  <si>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</si>
  <si>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</si>
  <si>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</si>
  <si>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</si>
  <si>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</si>
  <si>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</si>
  <si>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</si>
  <si>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</si>
  <si>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</si>
  <si>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</si>
  <si>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</si>
  <si>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</si>
  <si>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</si>
  <si>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</si>
  <si>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</si>
  <si>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</si>
  <si>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</si>
  <si>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</si>
  <si>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</si>
  <si>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</si>
  <si>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</si>
  <si>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</si>
  <si>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</si>
  <si>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</si>
  <si>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</si>
  <si>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</si>
  <si>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</si>
  <si>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</si>
  <si>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</si>
  <si>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</si>
  <si>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</si>
  <si>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</si>
  <si>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</si>
  <si>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</si>
  <si>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</si>
  <si>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</si>
  <si>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</si>
  <si>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</si>
  <si>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</si>
  <si>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</si>
  <si>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</si>
  <si>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</si>
  <si>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</si>
  <si>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</si>
  <si>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</si>
  <si>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</si>
  <si>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</si>
  <si>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</si>
  <si>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</si>
  <si>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</si>
  <si>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</si>
  <si>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</si>
  <si>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</si>
  <si>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</si>
  <si>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</si>
  <si>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</si>
  <si>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</si>
  <si>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</si>
  <si>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</si>
  <si>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</si>
  <si>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</si>
  <si>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</si>
  <si>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</si>
  <si>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</si>
  <si>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</si>
  <si>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</si>
  <si>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</si>
  <si>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</si>
  <si>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</si>
  <si>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</si>
  <si>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</si>
  <si>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</si>
  <si>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</si>
  <si>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</si>
  <si>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</si>
  <si>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</si>
  <si>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</si>
  <si>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</si>
  <si>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</si>
  <si>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</si>
  <si>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</si>
  <si>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</si>
  <si>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</si>
  <si>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</si>
  <si>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</si>
  <si>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</si>
  <si>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</si>
  <si>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</si>
  <si>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</si>
  <si>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</si>
  <si>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</si>
  <si>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</si>
  <si>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</si>
  <si>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</si>
  <si>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</si>
  <si>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</si>
  <si>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</si>
  <si>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</si>
  <si>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</si>
  <si>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</si>
  <si>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</si>
  <si>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</si>
  <si>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</si>
  <si>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</si>
  <si>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</si>
  <si>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</si>
  <si>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</si>
  <si>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</si>
  <si>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</si>
  <si>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</si>
  <si>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</si>
  <si>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</si>
  <si>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</si>
  <si>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</si>
  <si>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</si>
  <si>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</si>
  <si>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</si>
  <si>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</si>
  <si>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</si>
  <si>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</si>
  <si>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</si>
  <si>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</si>
  <si>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</si>
  <si>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</si>
  <si>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</si>
  <si>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</si>
  <si>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</si>
  <si>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</si>
  <si>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</si>
  <si>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</si>
  <si>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</si>
  <si>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</si>
  <si>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</si>
  <si>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</si>
  <si>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</si>
  <si>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</si>
  <si>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</si>
  <si>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</si>
  <si>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</si>
  <si>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</si>
  <si>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</si>
  <si>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</si>
  <si>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</si>
  <si>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</si>
  <si>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</si>
  <si>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</si>
  <si>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</si>
  <si>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</si>
  <si>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</si>
  <si>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</si>
  <si>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</si>
  <si>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</si>
  <si>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</si>
  <si>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</si>
  <si>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</si>
  <si>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</si>
  <si>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</si>
  <si>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</si>
  <si>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</si>
  <si>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</si>
  <si>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</si>
  <si>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</si>
  <si>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</si>
  <si>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</si>
  <si>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</si>
  <si>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</si>
  <si>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</si>
  <si>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</si>
  <si>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</si>
  <si>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</si>
  <si>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</si>
  <si>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</si>
  <si>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</si>
  <si>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</si>
  <si>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</si>
  <si>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</si>
  <si>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</si>
  <si>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</si>
  <si>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</si>
  <si>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</si>
  <si>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</si>
  <si>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</si>
  <si>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</si>
  <si>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</si>
  <si>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</si>
  <si>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</si>
  <si>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</si>
  <si>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</si>
  <si>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</si>
  <si>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</si>
  <si>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</si>
  <si>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</si>
  <si>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</si>
  <si>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</si>
  <si>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</si>
  <si>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</si>
  <si>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</si>
  <si>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</si>
  <si>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</si>
  <si>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</si>
  <si>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</si>
  <si>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</si>
  <si>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</si>
  <si>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</si>
  <si>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</si>
  <si>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</si>
  <si>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</si>
  <si>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</si>
  <si>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</si>
  <si>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</si>
  <si>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</si>
  <si>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</si>
  <si>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</si>
  <si>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</si>
  <si>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</si>
  <si>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</si>
  <si>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</si>
  <si>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</si>
  <si>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</si>
  <si>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</si>
  <si>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</si>
  <si>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</si>
  <si>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</si>
  <si>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</si>
  <si>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</si>
  <si>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</si>
  <si>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</si>
  <si>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</si>
  <si>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</si>
  <si>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</si>
  <si>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</si>
  <si>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</si>
  <si>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</si>
  <si>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</si>
  <si>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</si>
  <si>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</si>
  <si>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</si>
  <si>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</si>
  <si>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</si>
  <si>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</si>
  <si>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</si>
  <si>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</si>
  <si>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</si>
  <si>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</si>
  <si>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</si>
  <si>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</si>
  <si>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</si>
  <si>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</si>
  <si>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</si>
  <si>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</si>
  <si>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</si>
  <si>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</si>
  <si>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</si>
  <si>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</si>
  <si>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</si>
  <si>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</si>
  <si>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</si>
  <si>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</si>
  <si>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</si>
  <si>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</si>
  <si>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</si>
  <si>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</si>
  <si>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</si>
  <si>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</si>
  <si>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</si>
  <si>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</si>
  <si>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</si>
  <si>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</si>
  <si>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</si>
  <si>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</si>
  <si>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</si>
  <si>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</si>
  <si>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</si>
  <si>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</si>
  <si>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</si>
  <si>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</si>
  <si>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</si>
  <si>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</si>
  <si>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</si>
  <si>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</si>
  <si>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</si>
  <si>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</si>
  <si>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</si>
  <si>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</si>
  <si>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</si>
  <si>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</si>
  <si>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</si>
  <si>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</si>
  <si>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</si>
  <si>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</si>
  <si>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</si>
  <si>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</si>
  <si>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</si>
  <si>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</si>
  <si>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</si>
  <si>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</si>
  <si>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</si>
  <si>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</si>
  <si>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</si>
  <si>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</si>
  <si>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</si>
  <si>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</si>
  <si>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</si>
  <si>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</si>
  <si>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</si>
  <si>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</si>
  <si>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</si>
  <si>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</si>
  <si>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</si>
  <si>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</si>
  <si>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</si>
  <si>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</si>
  <si>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</si>
  <si>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</si>
  <si>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</si>
  <si>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</si>
  <si>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</si>
  <si>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</si>
  <si>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</si>
  <si>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</si>
  <si>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</si>
  <si>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</si>
  <si>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</si>
  <si>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</si>
  <si>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</si>
  <si>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</si>
  <si>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</si>
  <si>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</si>
  <si>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</si>
  <si>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</si>
  <si>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</si>
  <si>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</si>
  <si>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</si>
  <si>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</si>
  <si>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</si>
  <si>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</si>
  <si>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</si>
  <si>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</si>
  <si>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</si>
  <si>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</si>
  <si>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</si>
  <si>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</si>
  <si>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</si>
  <si>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</si>
  <si>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</si>
  <si>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</si>
  <si>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</si>
  <si>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</si>
  <si>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</si>
  <si>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</si>
  <si>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</si>
  <si>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</si>
  <si>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</si>
  <si>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</si>
  <si>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</si>
  <si>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</si>
  <si>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</si>
  <si>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</si>
  <si>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</si>
  <si>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</si>
  <si>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</si>
  <si>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</si>
  <si>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</si>
  <si>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</si>
  <si>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</si>
  <si>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</si>
  <si>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</si>
  <si>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</si>
  <si>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</si>
  <si>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</si>
  <si>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</si>
  <si>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</si>
  <si>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</si>
  <si>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</si>
  <si>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</si>
  <si>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</si>
  <si>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</si>
  <si>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</si>
  <si>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</si>
  <si>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</si>
  <si>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</si>
  <si>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</si>
  <si>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</si>
  <si>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</si>
  <si>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</si>
  <si>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</si>
  <si>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</si>
  <si>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</si>
  <si>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</si>
  <si>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</si>
  <si>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</si>
  <si>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</si>
  <si>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</si>
  <si>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</si>
  <si>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</si>
  <si>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</si>
  <si>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</si>
  <si>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</si>
  <si>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</si>
  <si>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</si>
  <si>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</si>
  <si>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</si>
  <si>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</si>
  <si>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</si>
  <si>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</si>
  <si>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</si>
  <si>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</si>
  <si>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</si>
  <si>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</si>
  <si>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</si>
  <si>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</si>
  <si>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</si>
  <si>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</si>
  <si>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</si>
  <si>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</si>
  <si>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</si>
  <si>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</si>
  <si>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</si>
  <si>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</si>
  <si>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</si>
  <si>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</si>
  <si>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</si>
  <si>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</si>
  <si>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</si>
  <si>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</si>
  <si>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</si>
  <si>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</si>
  <si>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</si>
  <si>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</si>
  <si>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</si>
  <si>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</si>
  <si>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</si>
  <si>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</si>
  <si>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</si>
  <si>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</si>
  <si>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</si>
  <si>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</si>
  <si>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</si>
  <si>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</si>
  <si>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</si>
  <si>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</si>
  <si>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</si>
  <si>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</si>
  <si>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</si>
  <si>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</si>
  <si>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</si>
  <si>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</si>
  <si>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</si>
  <si>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</si>
  <si>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</si>
  <si>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</si>
  <si>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</si>
  <si>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</si>
  <si>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</si>
  <si>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</si>
  <si>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</si>
  <si>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</si>
  <si>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</si>
  <si>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</si>
  <si>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</si>
  <si>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</si>
  <si>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</si>
  <si>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</si>
  <si>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</si>
  <si>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</si>
  <si>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</si>
  <si>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</si>
  <si>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</si>
  <si>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</si>
  <si>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</si>
  <si>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</si>
  <si>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</si>
  <si>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</si>
  <si>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</si>
  <si>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</si>
  <si>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</si>
  <si>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</si>
  <si>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</si>
  <si>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</si>
  <si>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</si>
  <si>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</si>
  <si>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</si>
  <si>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</si>
  <si>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</si>
  <si>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</si>
  <si>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</si>
  <si>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  TODAY - MOSTLY SUNNY AND PLEASANT</t>
  </si>
  <si>
    <t xml:space="preserve">  TONIGHT - CLEAR</t>
  </si>
  <si>
    <t xml:space="preserve">  HUMID WITH CLOUDS AND SUN, WARM, </t>
  </si>
  <si>
    <t xml:space="preserve">  THEN BREEZY WITH A THUNDER SHOWER POSSIBLE.</t>
  </si>
  <si>
    <t xml:space="preserve">  PERIODS OF CLOUDS AND SUNSHINE WITH A FEW THUNDERSTORMS;</t>
  </si>
  <si>
    <t xml:space="preserve">  WARM, AND HUMID.</t>
  </si>
  <si>
    <t xml:space="preserve">  INTERVALS OF CLOUDS AND SUNSHINE WITH A CHANCE </t>
  </si>
  <si>
    <t xml:space="preserve">  OF A THUNDERSTORM.</t>
  </si>
  <si>
    <t xml:space="preserve">  WARM WITH SEVERAL HOURS OF SUN; BREEZY LATER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</si>
</sst>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EB83770-9369-ED74-C721-B110F6D9E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4DFE93AA-901A-4F84-CB22-1A93B3604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B7DDFC-D99E-97DB-468A-86938D108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A2DD567-97D8-9817-C4D3-0EAA98A63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86455F2-5DCA-6C9D-DDB2-4AEC9E161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2A617698-94FD-032E-15B9-2E233520A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2A9D9F6-E9D0-8CA5-6A81-C37B58D07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D5CFE1C-D0B8-6A1B-43B6-6942EAAA0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7A486A2-E41E-F6E8-44FF-5EBBDB97C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6D0BA40-0A55-738B-FF8C-E85CE3264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1E75757-2E18-5918-F8A2-3935ACFCD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CDA9DC0-06F8-CFEA-4022-75362DD287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F660AAE-5A3F-64CC-7FBC-97179B7D4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A613A13-1155-FC4E-A10B-73E973226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7E77639-F60D-510A-37BB-DC0E4F215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8AF27CC-3EE4-0D9D-DFA0-23478C20F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DBF6FD9-A5F9-0986-4D97-F365301FD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EF8EAB2F-E5DC-1462-4434-CE8F8A5623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2C084147-30F9-C893-FFE9-9B29C3DEE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55CB8A8-EAC8-B5C1-FD2C-79DA64ABB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2536E35E-0DE8-53E8-C2C4-BACB563DF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CB566DC-34FD-AF4D-9838-D0B394B0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9F4439C1-F069-9B98-AC3A-20A6FA6AC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28C8970B-BDAC-B4F1-6E6F-D11C45031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3E830EC-CA0F-CE54-FA12-D72DADB05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A6C5EA89-1FEE-6D5C-430F-06795A079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AA1F0027-266D-B2AD-31A2-B7E34235B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8006F18E-8755-8BD4-9CF8-F6AA98B4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B5EAF3AD-5262-4753-57FC-E1023196B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EFC802F-DB05-E95B-9723-FE4A1572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99B47707-AAD3-8D88-96BF-44C59A8A9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060FB72C-9BE2-C39C-B8E1-CEC5DEA54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0BEDD8A7-42B5-3522-DF88-8E0CD98CE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5D96EE7-E9E1-E8ED-C0FF-15946ACA2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B230E7FD-1200-11BC-6FF3-2CD311504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A55DF32B-91FA-C9D3-01DC-5231DD8A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2D398E7F-873A-2F62-191D-F5356C693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9CCCD85E-95D2-8962-88B2-34347415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1BEC909A-84B5-05B0-35D7-F36917950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D72246A2-87A3-C976-FEE9-539EDB53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21DD0B23-4A92-A35A-407A-D27ADFBD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54B8BFD-1186-4535-9716-CBCF61D35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139F5502-0CED-1BDD-1C68-C85D0F8C8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8F8A2142-98EE-95DA-D11C-C73A5443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613" name="Day_1">
          <a:extLst>
            <a:ext uri="{FF2B5EF4-FFF2-40B4-BE49-F238E27FC236}">
              <a16:creationId xmlns:a16="http://schemas.microsoft.com/office/drawing/2014/main" id="{73E0E831-8C8E-9119-2EE9-FCA8F93E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614" name="Day_2">
          <a:extLst>
            <a:ext uri="{FF2B5EF4-FFF2-40B4-BE49-F238E27FC236}">
              <a16:creationId xmlns:a16="http://schemas.microsoft.com/office/drawing/2014/main" id="{BC184D84-12FF-110E-06A5-66EB7425F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615" name="Day_3">
          <a:extLst>
            <a:ext uri="{FF2B5EF4-FFF2-40B4-BE49-F238E27FC236}">
              <a16:creationId xmlns:a16="http://schemas.microsoft.com/office/drawing/2014/main" id="{CB6353F8-9C09-28AF-3CF7-93D67A0A2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616" name="Day_4">
          <a:extLst>
            <a:ext uri="{FF2B5EF4-FFF2-40B4-BE49-F238E27FC236}">
              <a16:creationId xmlns:a16="http://schemas.microsoft.com/office/drawing/2014/main" id="{E1EB5A13-C40F-EDC2-2F44-EDFBF3D08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617" name="Day_5">
          <a:extLst>
            <a:ext uri="{FF2B5EF4-FFF2-40B4-BE49-F238E27FC236}">
              <a16:creationId xmlns:a16="http://schemas.microsoft.com/office/drawing/2014/main" id="{D6BC849A-9F80-79DB-9551-1FFB86DA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618" name="Day_6">
          <a:extLst>
            <a:ext uri="{FF2B5EF4-FFF2-40B4-BE49-F238E27FC236}">
              <a16:creationId xmlns:a16="http://schemas.microsoft.com/office/drawing/2014/main" id="{66B4B105-1D5D-0E95-7922-C512A8CCF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0444D139-372B-320B-4CCE-CD1103C5282C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215931E6-21AD-CEF5-E802-0A82FFADDBC1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A6AD55B2-8811-7CF1-26F7-92F193141790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DE75E40F-2A22-C69D-791D-6C0760583642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0FD7696F-3E4F-9DFE-DAB2-A975E56D3EF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082F467F-B848-642C-3D98-28E86B51F50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948CF1C-9877-C248-7600-8C9FBB560513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3A9E176-045D-3360-7B17-912562295F02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ABCA7C44-C338-7B2F-D5A7-9B6FCE2976F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252C494-3301-5CE6-942A-F57C64B920BC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D4C07F21-D412-7AB9-C8C6-DBF0D4C9B353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2EEC090D-9D96-EDD2-6720-D0363249059F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91D5E10-7674-BA41-3995-7A9D23A2784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2139A119-B953-01CA-FFB1-21B96435CECC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C77B85E-EE0D-6296-7B03-2861F0EC1EEB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62364F3B-C1B8-2553-F416-5021544D89C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D3B5C43E-BD2A-473B-CCB9-D5610FAE07D0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F9CD847C-8496-26AB-8937-9F63C993DE5C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17D15DDD-CCA5-80C1-A392-D0C2197ECEC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DF31758F-C71F-DC34-31DC-183DD2D2C85E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AC5A094-FA2A-DDFD-A925-B7F0236BAF34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CBC99DF6-C527-862E-A3EB-834BAF50E26D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303CA4C8-6E51-6138-022B-0080914CFB7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B6CEBF45-7FCA-E6CA-E668-B0CCBD563C57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603D3D0F-D953-F3D9-99DC-1CAB806CD3F2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AAE3DB20-11BA-3764-6177-965B9BCD227C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917D6B0D-86DD-1E1E-94B5-9223CFF99B1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DEB53493-DCE0-17E3-B0E0-600029792DB5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F07627F4-F12F-197E-963E-60F8E5E67842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279A6FB2-7121-C950-9652-66F6E507487D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09028F40-0B3B-4D18-C238-45A00104C5AC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F6984EC1-D19A-BDF1-6A39-737C8D3F6970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CD7CCDE1-2280-63E8-0B44-32E9750F5E9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DB675E5D-1496-5558-CFC1-8A7872A59421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ED759DD-A4AC-FAC0-489E-7FEBD1DA0AC3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9A606CEB-9BAF-484C-5452-3481945653C8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69207EA-9926-2DFE-9ACE-588C049CDB9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9779968-1BBE-EE3D-75F4-84740144DE32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9A64C974-5CCA-230C-BE72-4B73C32D4AA6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ECF27CEB-A97E-279E-0983-CD47EE5F8D80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2EFCE449-D32F-1F76-53FF-8364FDB315E7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D8DEAAD7-9CB9-82F3-AE0C-7892F5C4DB47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E15507D-3713-73A6-CB1E-5E220F47DD8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BC6654C4-FDBC-D2F7-B5BD-91F76A97487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7A323F13-2A57-4370-8C3A-05D68BC37B12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9ADF2768-F99A-8FBE-00E1-9C9E37B5361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2784E6F8-E3EB-9C3B-48CC-F0FD67FA4B39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89AEAB6-230B-22CD-951A-29751211BFF1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21E3E6F2-EA98-DCC6-10D0-BFBBB37E32C7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D580DB6-6C1B-51FB-F456-F1918D220C8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C0D02F5-3827-2980-3E95-6A8BA247149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98A97E10-9FA5-3AE4-60D7-143D374BF157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ADC5BDD-58F6-A05E-94E2-66D6B68B9A1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49133535-6092-39D5-E76B-BEE14C96388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25A3F626-193E-B010-4B86-6745D6534C4E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E6808C11-7CDE-9F92-6983-5E58356EDBC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6A841708-CA02-A599-E03C-7DA8E8288157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2FE068EA-9593-E938-89A6-43E77B030E8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6053BB78-515B-875C-48C1-BABB066C7C5F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350BA81-A133-4EFE-A1C5-0B8151BFAFC2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75502647-3024-67C0-3B64-A012D67EE169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2995940E-B03C-3325-5BD2-F4C6BF851987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6B1CBE5D-81A4-3297-BB5C-B700A3783446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D5AB3FA-7F9F-202F-998E-3FDEBFECC325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B3DD95A-92BA-B386-218B-E775452A6BF6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0A7F9221-09B2-69F5-565F-7FB9C87E4547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9D0723E3-1B56-059D-D40A-E597F36E5877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6229870A-760F-5862-7115-E411CEFD0D2F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E2CA463-364C-A6BD-B1C3-E554D047DBCB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C15CC2D-4CFF-5954-E5B1-6DF0D49ABC1A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112E505-80D4-E2B3-C21C-3478A894ED89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5E8C18CF-9C0A-A29A-DAA3-2FBB092D311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746645F-B00C-0AF5-02E7-CC2D31F3FAC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18B01DB-0660-27E9-C6E6-B1DA261F5E5F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CC9BDDD-D0D1-7B7C-DE4D-B1A141D179C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49169FF1-FB2B-7132-7CA3-233CD7C3566F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41EFD05-30D3-C99E-B95C-E6118F9129FC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0F47A67-5B4E-892F-4C1C-74C8DCCB2C25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0A12DBA7-AA50-D780-C580-C8F5B23E357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5619082D-60AE-7A84-3CCA-EE144AD4BD38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6D5C891F-A67B-0B16-E37B-FD1EA53F6E9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EDF79CD2-9D59-4B95-1275-B2ECBAA10DE0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A2981553-1D86-E86A-929A-435B4E8C72A3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5B7F052F-7E7C-A9D1-3EE8-39013FA166E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AFD3455E-693E-8BC0-58A7-8CA80B0A4EAE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952857A-87BF-23E8-4408-91B2C6C7A17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3D1AB4F7-8CCA-3F64-36EE-96339D3B757F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99CFFECA-79DA-7195-39B0-DE660B05807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F04CFB31-B09A-C6EE-38E1-B6FF37D2D449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55C7FDD7-D280-BF84-CEFF-E49B2D1C704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EFAFFD77-B659-FA11-953F-5B882E38C2FC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898324D4-0E77-D2FB-95A5-087F503E171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F3BFFEAE-7640-7F2B-9D72-B764F87DD6F3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509D0CC-F78D-6839-84E5-7857AB9DB711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7F879F07-1A24-18A3-37DB-FED1BD9BDFD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91513F85-F555-0F39-6C10-F4A335DE539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C55437FA-788D-CBAC-7C5A-E085E73B7FD0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442203DB-CDB6-A008-320A-5F8401BDFD73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F6DF56B9-897A-DF25-7733-E0FDA7C6A846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8299DD8-4BD6-856B-D47A-A8B2AFD69FA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565CDF8E-2122-8792-FBB7-A180C1E1CFEA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8F16B975-0694-4B9B-3F50-A9B2E9A14354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6F64320A-BB31-8502-D4F3-E8C150B0E758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C42366D3-E1F2-D057-BF4A-BB87D3001668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BDCAD297-B0B6-51C6-A4F8-8A42EA37C608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18E56E8B-D37D-7157-67F3-1EE35747DAA6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2C729D6C-24A1-0C92-8926-7C1147E5AE8F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62084F22-B1EB-DF99-6347-E1B651F980FA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DB835FA4-144D-1FB1-3AA9-6D040A1FEDEF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3BB33FB1-ED7D-7CBC-35DA-84A96833CFEA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1A7B8B7C-98E6-F1F9-C828-78CC6A16328B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86412415-5442-3A57-9B5B-9AF44E8098B8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7A909224-8249-40D9-5497-E8A35DB62837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2F432073-AF93-5013-0730-8BF636818B29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4750ADA-2E9D-544D-36B8-2F0EDB4D1F4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71717F83-8240-134C-3E52-02450EAF29EB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42DCD447-BB0D-CCE0-D14C-B23C0E1A5DC4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9CE19EF-F50B-8C6F-3345-B51908E2E365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A56BD82-5CC2-D9DC-FDAD-B27AA84CA0B0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981C97A3-B584-364F-6F22-CC6B61F3401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E84F839C-4978-D28F-26D6-DD2F8A205B38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C0D40D11-2EF9-D325-F7F5-49B9DE92B05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E709361-2117-DE36-E0B7-29FDD668B600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CE13DC43-5B26-05B4-4638-1DFF6C53B69F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B64E5380-14CC-BCC7-2162-D5777ADD36B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60A9E447-7BCC-ECE7-4647-293AF51AFC84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9161EDC7-78D4-F962-DEB3-29121D69A042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0AEFB918-D5C8-D5AC-97C0-4EA1C2CD8EA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E2B0A065-EEFA-1062-8050-C70473A8B997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A3E64F8A-CBC9-344D-CED3-ED7D449E86E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MON</v>
      </c>
      <c r="I1" s="844">
        <f>D4</f>
        <v>37123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MON</v>
      </c>
      <c r="E3" s="808" t="str">
        <f t="shared" si="0"/>
        <v>TUE</v>
      </c>
      <c r="F3" s="808" t="str">
        <f t="shared" si="0"/>
        <v>WED</v>
      </c>
      <c r="G3" s="808" t="str">
        <f t="shared" si="0"/>
        <v>THU</v>
      </c>
      <c r="H3" s="808" t="str">
        <f t="shared" si="0"/>
        <v>FRI</v>
      </c>
      <c r="I3" s="809" t="str">
        <f t="shared" si="0"/>
        <v>SAT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37123</v>
      </c>
      <c r="E4" s="812">
        <f>Weather_Input!A6</f>
        <v>37124</v>
      </c>
      <c r="F4" s="812">
        <f>Weather_Input!A7</f>
        <v>37125</v>
      </c>
      <c r="G4" s="812">
        <f>Weather_Input!A8</f>
        <v>37126</v>
      </c>
      <c r="H4" s="812">
        <f>Weather_Input!A9</f>
        <v>37127</v>
      </c>
      <c r="I4" s="813">
        <f>Weather_Input!A10</f>
        <v>37128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77/60/69</v>
      </c>
      <c r="E5" s="845" t="str">
        <f>TEXT(Weather_Input!B6,"0")&amp;"/"&amp;TEXT(Weather_Input!C6,"0") &amp; "/" &amp; TEXT((Weather_Input!B6+Weather_Input!C6)/2,"0")</f>
        <v>83/67/75</v>
      </c>
      <c r="F5" s="845" t="str">
        <f>TEXT(Weather_Input!B7,"0")&amp;"/"&amp;TEXT(Weather_Input!C7,"0") &amp; "/" &amp; TEXT((Weather_Input!B7+Weather_Input!C7)/2,"0")</f>
        <v>86/66/76</v>
      </c>
      <c r="G5" s="845" t="str">
        <f>TEXT(Weather_Input!B8,"0")&amp;"/"&amp;TEXT(Weather_Input!C8,"0") &amp; "/" &amp; TEXT((Weather_Input!B8+Weather_Input!C8)/2,"0")</f>
        <v>87/68/78</v>
      </c>
      <c r="H5" s="845" t="str">
        <f>TEXT(Weather_Input!B9,"0")&amp;"/"&amp;TEXT(Weather_Input!C9,"0") &amp; "/" &amp; TEXT((Weather_Input!B9+Weather_Input!C9)/2,"0")</f>
        <v>87/68/78</v>
      </c>
      <c r="I5" s="846" t="str">
        <f>TEXT(Weather_Input!B10,"0")&amp;"/"&amp;TEXT(Weather_Input!C10,"0") &amp; "/" &amp; TEXT((Weather_Input!B10+Weather_Input!C10)/2,"0")</f>
        <v>87/68/78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33.5</v>
      </c>
      <c r="E6" s="815">
        <f ca="1">VLOOKUP(E4,NSG_Sendouts,CELL("Col",NSG_Deliveries!C6),FALSE)/1000</f>
        <v>33</v>
      </c>
      <c r="F6" s="815">
        <f ca="1">VLOOKUP(F4,NSG_Sendouts,CELL("Col",NSG_Deliveries!C7),FALSE)/1000</f>
        <v>33</v>
      </c>
      <c r="G6" s="815">
        <f ca="1">VLOOKUP(G4,NSG_Sendouts,CELL("Col",NSG_Deliveries!C8),FALSE)/1000</f>
        <v>33</v>
      </c>
      <c r="H6" s="815">
        <f ca="1">VLOOKUP(H4,NSG_Sendouts,CELL("Col",NSG_Deliveries!C9),FALSE)/1000</f>
        <v>32</v>
      </c>
      <c r="I6" s="820">
        <f ca="1">VLOOKUP(I4,NSG_Sendouts,CELL("Col",NSG_Deliveries!C10),FALSE)/1000</f>
        <v>30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40.5</v>
      </c>
      <c r="E11" s="824">
        <f t="shared" ca="1" si="1"/>
        <v>40</v>
      </c>
      <c r="F11" s="824">
        <f t="shared" ca="1" si="1"/>
        <v>40</v>
      </c>
      <c r="G11" s="824">
        <f t="shared" ca="1" si="1"/>
        <v>40</v>
      </c>
      <c r="H11" s="824">
        <f t="shared" ca="1" si="1"/>
        <v>39</v>
      </c>
      <c r="I11" s="825">
        <f t="shared" ca="1" si="1"/>
        <v>37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9.1199999999999992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24.38</v>
      </c>
      <c r="E19" s="815">
        <f>NSG_Supplies!Q8/1000</f>
        <v>24.715</v>
      </c>
      <c r="F19" s="815">
        <f>NSG_Supplies!Q9/1000</f>
        <v>24.715</v>
      </c>
      <c r="G19" s="815">
        <f>NSG_Supplies!Q10/1000</f>
        <v>24.715</v>
      </c>
      <c r="H19" s="815">
        <f>NSG_Supplies!Q11/1000</f>
        <v>24.715</v>
      </c>
      <c r="I19" s="816">
        <f>NSG_Supplies!Q12/1000</f>
        <v>24.715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40.5</v>
      </c>
      <c r="E21" s="1200">
        <f t="shared" si="2"/>
        <v>31.715</v>
      </c>
      <c r="F21" s="1200">
        <f t="shared" si="2"/>
        <v>31.715</v>
      </c>
      <c r="G21" s="1200">
        <f t="shared" si="2"/>
        <v>31.715</v>
      </c>
      <c r="H21" s="1200">
        <f t="shared" si="2"/>
        <v>31.715</v>
      </c>
      <c r="I21" s="1201">
        <f t="shared" si="2"/>
        <v>31.715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8.2850000000000001</v>
      </c>
      <c r="F23" s="840">
        <f t="shared" ca="1" si="4"/>
        <v>8.2850000000000001</v>
      </c>
      <c r="G23" s="840">
        <f t="shared" ca="1" si="4"/>
        <v>8.2850000000000001</v>
      </c>
      <c r="H23" s="840">
        <f t="shared" ca="1" si="4"/>
        <v>7.2850000000000001</v>
      </c>
      <c r="I23" s="841">
        <f t="shared" ca="1" si="4"/>
        <v>5.2850000000000001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14.39</v>
      </c>
      <c r="E24" s="1058">
        <f>NSG_Supplies!R8/1000</f>
        <v>14.725</v>
      </c>
      <c r="F24" s="1058">
        <f>NSG_Supplies!R9/1000</f>
        <v>14.725</v>
      </c>
      <c r="G24" s="1058">
        <f>NSG_Supplies!R10/1000</f>
        <v>14.725</v>
      </c>
      <c r="H24" s="1058">
        <f>NSG_Supplies!R11/1000</f>
        <v>14.725</v>
      </c>
      <c r="I24" s="1059">
        <f>NSG_Supplies!R12/1000</f>
        <v>14.725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8</v>
      </c>
      <c r="E26" s="863">
        <f>Weather_Input!D6</f>
        <v>10</v>
      </c>
      <c r="F26" s="863">
        <f>Weather_Input!D7</f>
        <v>10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" zoomScale="75" workbookViewId="0">
      <selection activeCell="G1" sqref="G1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37123</v>
      </c>
      <c r="N1" s="1175" t="str">
        <f>CHOOSE(WEEKDAY(M1),"SUN","MON","TUE","WED","THU","FRI","SAT")</f>
        <v>MON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0.1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77</v>
      </c>
      <c r="K3" s="918">
        <f>Weather_Input!C5</f>
        <v>60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 t="s">
        <v>9</v>
      </c>
      <c r="K4" s="1213">
        <v>68.2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86.2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198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86.100000000000009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0.41799999999999998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86.100000000000009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0.41799999999999998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-144.65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145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209.346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1.4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0.65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2.1749999999999998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-144.65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-12.7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142.49600000000001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55.503999999999991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15">
        <f>PGL_Supplies!C7/1000</f>
        <v>0</v>
      </c>
      <c r="C24" s="343"/>
      <c r="D24" s="1085"/>
      <c r="E24" s="534" t="s">
        <v>701</v>
      </c>
      <c r="F24" s="1169">
        <f>PGL_Requirements!G7/1000*0.5</f>
        <v>12.7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2.1749999999999998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57.678999999999988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10.8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-68.477999999999994</v>
      </c>
      <c r="L30" s="1119"/>
      <c r="M30" s="1023">
        <f>-PGL_Supplies!AB7/1000</f>
        <v>-68.477999999999994</v>
      </c>
      <c r="N30" s="1120"/>
      <c r="O30" s="1179">
        <f>-PGL_Supplies!AB7/1000</f>
        <v>-68.477999999999994</v>
      </c>
    </row>
    <row r="31" spans="1:15" ht="16.5" thickBot="1">
      <c r="A31" s="361" t="s">
        <v>449</v>
      </c>
      <c r="B31" s="938">
        <f>PGL_Supplies!D7/1000</f>
        <v>6.21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198.136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209.346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196.64600000000002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12.7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209.346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MON</v>
      </c>
      <c r="G1" s="1181">
        <f>Weather_Input!A5</f>
        <v>37123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68.2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77</v>
      </c>
      <c r="C4" s="737">
        <f>Weather_Input!C5</f>
        <v>60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33.5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33.5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33.5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-9.1199999999999992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-24.38</v>
      </c>
      <c r="D25" s="697"/>
      <c r="E25" s="690">
        <f>-NSG_Supplies!Q7/1000</f>
        <v>-24.38</v>
      </c>
      <c r="F25" s="697"/>
      <c r="G25" s="690">
        <f>-NSG_Supplies!Q7/1000</f>
        <v>-24.38</v>
      </c>
      <c r="H25" s="696"/>
      <c r="I25" s="753">
        <f>-NSG_Supplies!Q7/1000</f>
        <v>-24.38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37123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77</v>
      </c>
      <c r="C5" s="257">
        <f>Weather_Input!C5</f>
        <v>60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198</v>
      </c>
      <c r="C8" s="265">
        <f>NSG_Deliveries!C5/1000</f>
        <v>33.5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126.29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-58.8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1.4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33.5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2.1749999999999998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33.5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0.65</v>
      </c>
      <c r="C27" s="301">
        <f>NSG_Requirements!P7/1000</f>
        <v>0</v>
      </c>
      <c r="D27" s="301">
        <f>PGL_Requirements!Q7/1000</f>
        <v>0.65</v>
      </c>
      <c r="E27" s="301">
        <f>NSG_Requirements!P7/1000</f>
        <v>0</v>
      </c>
      <c r="F27" s="301">
        <f>PGL_Requirements!Q7/1000</f>
        <v>0.65</v>
      </c>
      <c r="G27" s="301">
        <f>NSG_Requirements!P7/1000</f>
        <v>0</v>
      </c>
      <c r="H27" s="302">
        <f>+B27</f>
        <v>0.65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-68.477999999999994</v>
      </c>
      <c r="C32" s="306">
        <f>-NSG_Supplies!Q7/1000</f>
        <v>-24.38</v>
      </c>
      <c r="D32" s="306">
        <f>B32</f>
        <v>-68.477999999999994</v>
      </c>
      <c r="E32" s="306">
        <f>C32</f>
        <v>-24.38</v>
      </c>
      <c r="F32" s="306">
        <f>B32</f>
        <v>-68.477999999999994</v>
      </c>
      <c r="G32" s="306">
        <f>C32</f>
        <v>-24.38</v>
      </c>
      <c r="H32" s="311">
        <f>B32</f>
        <v>-68.477999999999994</v>
      </c>
      <c r="I32" s="312">
        <f>C32</f>
        <v>-24.38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-14.39</v>
      </c>
      <c r="D33" s="306">
        <f>B33</f>
        <v>0</v>
      </c>
      <c r="E33" s="306">
        <f>C33</f>
        <v>-14.39</v>
      </c>
      <c r="F33" s="306">
        <f>B33</f>
        <v>0</v>
      </c>
      <c r="G33" s="306">
        <f>C33</f>
        <v>-14.39</v>
      </c>
      <c r="H33" s="311">
        <f>B33</f>
        <v>0</v>
      </c>
      <c r="I33" s="312">
        <f>C33</f>
        <v>-14.39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10.8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-9.1199999999999992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145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2.1749999999999998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2.1749999999999998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126.39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0.1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126.29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0.41799999999999998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86.2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145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-58.8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MON</v>
      </c>
      <c r="H73" s="397">
        <f>Weather_Input!A5</f>
        <v>37123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26.39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86.2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1.4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-0.41799999999999998</v>
      </c>
      <c r="C116" s="410">
        <f>-NSG_Supplies!V7/1000</f>
        <v>0</v>
      </c>
      <c r="D116" s="306">
        <f>-PGL_Supplies!Y7/1000</f>
        <v>-0.41799999999999998</v>
      </c>
      <c r="E116" s="306">
        <f>-NSG_Supplies!V7/1000</f>
        <v>0</v>
      </c>
      <c r="F116" s="306">
        <f>-PGL_Supplies!Y7/1000</f>
        <v>-0.41799999999999998</v>
      </c>
      <c r="G116" s="306">
        <f>-NSG_Supplies!V7/1000</f>
        <v>0</v>
      </c>
      <c r="H116" s="311">
        <f>-PGL_Supplies!Y7/1000</f>
        <v>-0.41799999999999998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-14.39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0.41799999999999998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10.8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0.41799999999999998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100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126.39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26.39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145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2.1749999999999998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86.2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86.2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37124.178564467591</v>
      </c>
      <c r="F22" s="161" t="s">
        <v>256</v>
      </c>
      <c r="G22" s="186">
        <f ca="1">NOW()</f>
        <v>37124.178564467591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37123</v>
      </c>
      <c r="C5" s="15"/>
      <c r="D5" s="22" t="s">
        <v>274</v>
      </c>
      <c r="E5" s="23">
        <f>Weather_Input!B5</f>
        <v>77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60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68.5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MOSTLY SUNNY AND PLEASANT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CLEAR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37124</v>
      </c>
      <c r="C10" s="15"/>
      <c r="D10" s="150" t="s">
        <v>274</v>
      </c>
      <c r="E10" s="23">
        <f>Weather_Input!B6</f>
        <v>83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67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75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  WARM WITH SEVERAL HOURS OF SUN; BREEZY LATER ON.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37125</v>
      </c>
      <c r="C15" s="15"/>
      <c r="D15" s="22" t="s">
        <v>274</v>
      </c>
      <c r="E15" s="23">
        <f>Weather_Input!B7</f>
        <v>86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66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76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  HUMID WITH CLOUDS AND SUN, WARM,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THEN BREEZY WITH A THUNDER SHOWER POSSIBLE.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37126</v>
      </c>
      <c r="C20" s="15"/>
      <c r="D20" s="22" t="s">
        <v>274</v>
      </c>
      <c r="E20" s="23">
        <f>Weather_Input!B8</f>
        <v>87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68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77.5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 xml:space="preserve">  PERIODS OF CLOUDS AND SUNSHINE WITH A FEW THUNDERSTORMS;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WARM, AND HUMID.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37127</v>
      </c>
      <c r="C25" s="15"/>
      <c r="D25" s="22" t="s">
        <v>274</v>
      </c>
      <c r="E25" s="23">
        <f>Weather_Input!B9</f>
        <v>87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161</v>
      </c>
      <c r="E26" s="23">
        <f>Weather_Input!C9</f>
        <v>68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-1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77.5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-1</v>
      </c>
    </row>
    <row r="28" spans="1:109" ht="15">
      <c r="A28" s="18"/>
      <c r="B28" s="20"/>
      <c r="C28" s="15"/>
      <c r="D28" s="32" t="str">
        <f>IF(Weather_Input!I9=""," ",Weather_Input!I9)</f>
        <v xml:space="preserve">  INTERVALS OF CLOUDS AND SUNSHINE WITH A CHANCE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 OF A THUNDERSTORM.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37128</v>
      </c>
      <c r="C30" s="15"/>
      <c r="D30" s="22" t="s">
        <v>274</v>
      </c>
      <c r="E30" s="23">
        <f>Weather_Input!B10</f>
        <v>87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161</v>
      </c>
      <c r="E31" s="23">
        <f>Weather_Input!C10</f>
        <v>68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-2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77.5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-2</v>
      </c>
    </row>
    <row r="33" spans="1:9" ht="15">
      <c r="A33" s="15"/>
      <c r="B33" s="34"/>
      <c r="C33" s="15"/>
      <c r="D33" s="32" t="str">
        <f>IF(Weather_Input!I10=""," ",Weather_Input!I10)</f>
        <v xml:space="preserve">  INTERVALS OF CLOUDS AND SUNSHINE WITH A CHANCE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 OF A THUNDERSTORM.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37123</v>
      </c>
      <c r="C36" s="89">
        <f>B10</f>
        <v>37124</v>
      </c>
      <c r="D36" s="89">
        <f>B15</f>
        <v>37125</v>
      </c>
      <c r="E36" s="89">
        <f xml:space="preserve">       B20</f>
        <v>37126</v>
      </c>
      <c r="F36" s="89">
        <f>B25</f>
        <v>37127</v>
      </c>
      <c r="G36" s="89">
        <f>B30</f>
        <v>37128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198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180</v>
      </c>
      <c r="G37" s="41">
        <f ca="1">(VLOOKUP(G36,PGL_Sendouts,(CELL("COL",PGL_Deliveries!C10))))/1000</f>
        <v>165</v>
      </c>
      <c r="H37" s="14"/>
      <c r="I37" s="15"/>
    </row>
    <row r="38" spans="1:9" ht="15">
      <c r="A38" s="15" t="s">
        <v>285</v>
      </c>
      <c r="B38" s="41">
        <f>PGL_6_Day_Report!D25</f>
        <v>374.87100000000004</v>
      </c>
      <c r="C38" s="41">
        <f>PGL_6_Day_Report!E25</f>
        <v>348.27100000000002</v>
      </c>
      <c r="D38" s="41">
        <f>PGL_6_Day_Report!F25</f>
        <v>353.346</v>
      </c>
      <c r="E38" s="41">
        <f>PGL_6_Day_Report!G25</f>
        <v>353.346</v>
      </c>
      <c r="F38" s="41">
        <f>PGL_6_Day_Report!H25</f>
        <v>338.346</v>
      </c>
      <c r="G38" s="41">
        <f>PGL_6_Day_Report!I25</f>
        <v>323.346</v>
      </c>
      <c r="H38" s="14"/>
      <c r="I38" s="15"/>
    </row>
    <row r="39" spans="1:9" ht="15">
      <c r="A39" s="42" t="s">
        <v>103</v>
      </c>
      <c r="B39" s="41">
        <f>SUM(PGL_Supplies!Y7:AD7)/1000</f>
        <v>272.06</v>
      </c>
      <c r="C39" s="41">
        <f>SUM(PGL_Supplies!Y8:AD8)/1000</f>
        <v>306.048</v>
      </c>
      <c r="D39" s="41">
        <f>SUM(PGL_Supplies!Y9:AD9)/1000</f>
        <v>306.048</v>
      </c>
      <c r="E39" s="41">
        <f>SUM(PGL_Supplies!Y10:AD10)/1000</f>
        <v>306.048</v>
      </c>
      <c r="F39" s="41">
        <f>SUM(PGL_Supplies!Y11:AD11)/1000</f>
        <v>306.048</v>
      </c>
      <c r="G39" s="41">
        <f>SUM(PGL_Supplies!Y12:AD12)/1000</f>
        <v>306.048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1.0680000000000001</v>
      </c>
      <c r="C41" s="41">
        <f>SUM(PGL_Requirements!Q7:T7)/1000</f>
        <v>1.0680000000000001</v>
      </c>
      <c r="D41" s="41">
        <f>SUM(PGL_Requirements!Q7:T7)/1000</f>
        <v>1.0680000000000001</v>
      </c>
      <c r="E41" s="41">
        <f>SUM(PGL_Requirements!Q7:T7)/1000</f>
        <v>1.0680000000000001</v>
      </c>
      <c r="F41" s="41">
        <f>SUM(PGL_Requirements!Q7:T7)/1000</f>
        <v>1.0680000000000001</v>
      </c>
      <c r="G41" s="41">
        <f>SUM(PGL_Requirements!Q7:T7)/1000</f>
        <v>1.0680000000000001</v>
      </c>
      <c r="H41" s="14"/>
      <c r="I41" s="15"/>
    </row>
    <row r="42" spans="1:9" ht="15">
      <c r="A42" s="15" t="s">
        <v>126</v>
      </c>
      <c r="B42" s="41">
        <f>PGL_Supplies!U7/1000</f>
        <v>126.39</v>
      </c>
      <c r="C42" s="41">
        <f>PGL_Supplies!U8/1000</f>
        <v>118.5</v>
      </c>
      <c r="D42" s="41">
        <f>PGL_Supplies!U9/1000</f>
        <v>118.5</v>
      </c>
      <c r="E42" s="41">
        <f>PGL_Supplies!U10/1000</f>
        <v>118.5</v>
      </c>
      <c r="F42" s="41">
        <f>PGL_Supplies!U11/1000</f>
        <v>118.5</v>
      </c>
      <c r="G42" s="41">
        <f>PGL_Supplies!U12/1000</f>
        <v>118.5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37123</v>
      </c>
      <c r="C44" s="89">
        <f t="shared" si="0"/>
        <v>37124</v>
      </c>
      <c r="D44" s="89">
        <f t="shared" si="0"/>
        <v>37125</v>
      </c>
      <c r="E44" s="89">
        <f t="shared" si="0"/>
        <v>37126</v>
      </c>
      <c r="F44" s="89">
        <f t="shared" si="0"/>
        <v>37127</v>
      </c>
      <c r="G44" s="89">
        <f t="shared" si="0"/>
        <v>37128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33</v>
      </c>
      <c r="D45" s="41">
        <f ca="1">NSG_6_Day_Report!F6</f>
        <v>33</v>
      </c>
      <c r="E45" s="41">
        <f ca="1">NSG_6_Day_Report!G6</f>
        <v>33</v>
      </c>
      <c r="F45" s="41">
        <f ca="1">NSG_6_Day_Report!H6</f>
        <v>32</v>
      </c>
      <c r="G45" s="41">
        <f ca="1">NSG_6_Day_Report!I6</f>
        <v>30</v>
      </c>
      <c r="H45" s="14"/>
      <c r="I45" s="15"/>
    </row>
    <row r="46" spans="1:9" ht="15">
      <c r="A46" s="42" t="s">
        <v>285</v>
      </c>
      <c r="B46" s="41">
        <f ca="1">NSG_6_Day_Report!D11</f>
        <v>40.5</v>
      </c>
      <c r="C46" s="41">
        <f ca="1">NSG_6_Day_Report!E11</f>
        <v>40</v>
      </c>
      <c r="D46" s="41">
        <f ca="1">NSG_6_Day_Report!F11</f>
        <v>40</v>
      </c>
      <c r="E46" s="41">
        <f ca="1">NSG_6_Day_Report!G11</f>
        <v>40</v>
      </c>
      <c r="F46" s="41">
        <f ca="1">NSG_6_Day_Report!H11</f>
        <v>39</v>
      </c>
      <c r="G46" s="41">
        <f ca="1">NSG_6_Day_Report!I11</f>
        <v>37</v>
      </c>
      <c r="H46" s="14"/>
      <c r="I46" s="15"/>
    </row>
    <row r="47" spans="1:9" ht="15">
      <c r="A47" s="42" t="s">
        <v>103</v>
      </c>
      <c r="B47" s="41">
        <f>SUM(NSG_Supplies!O7:Q7)/1000</f>
        <v>31.38</v>
      </c>
      <c r="C47" s="41">
        <f>SUM(NSG_Supplies!O8:Q8)/1000</f>
        <v>31.715</v>
      </c>
      <c r="D47" s="41">
        <f>SUM(NSG_Supplies!O9:Q9)/1000</f>
        <v>31.715</v>
      </c>
      <c r="E47" s="41">
        <f>SUM(NSG_Supplies!O10:Q10)/1000</f>
        <v>31.715</v>
      </c>
      <c r="F47" s="41">
        <f>SUM(NSG_Supplies!O11:Q11)/1000</f>
        <v>31.715</v>
      </c>
      <c r="G47" s="41">
        <f>SUM(NSG_Supplies!O12:Q12)/1000</f>
        <v>31.715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14.39</v>
      </c>
      <c r="C50" s="41">
        <f>NSG_Supplies!R8/1000</f>
        <v>14.725</v>
      </c>
      <c r="D50" s="41">
        <f>NSG_Supplies!R9/1000</f>
        <v>14.725</v>
      </c>
      <c r="E50" s="41">
        <f>NSG_Supplies!R10/1000</f>
        <v>14.725</v>
      </c>
      <c r="F50" s="41">
        <f>NSG_Supplies!R11/1000</f>
        <v>14.725</v>
      </c>
      <c r="G50" s="41">
        <f>NSG_Supplies!R12/1000</f>
        <v>14.725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37123</v>
      </c>
      <c r="C52" s="89">
        <f t="shared" si="1"/>
        <v>37124</v>
      </c>
      <c r="D52" s="89">
        <f t="shared" si="1"/>
        <v>37125</v>
      </c>
      <c r="E52" s="89">
        <f t="shared" si="1"/>
        <v>37126</v>
      </c>
      <c r="F52" s="89">
        <f t="shared" si="1"/>
        <v>37127</v>
      </c>
      <c r="G52" s="89">
        <f t="shared" si="1"/>
        <v>37128</v>
      </c>
      <c r="H52" s="14"/>
      <c r="I52" s="15"/>
    </row>
    <row r="53" spans="1:9" ht="15">
      <c r="A53" s="92" t="s">
        <v>289</v>
      </c>
      <c r="B53" s="41">
        <f>PGL_Requirements!O7/1000</f>
        <v>145</v>
      </c>
      <c r="C53" s="41">
        <f>PGL_Requirements!O8/1000</f>
        <v>145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150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Tuesday</v>
      </c>
      <c r="C4" s="1028" t="str">
        <f>Six_Day_Summary!A15</f>
        <v>Wednesday</v>
      </c>
      <c r="D4" s="1028" t="str">
        <f>Six_Day_Summary!A20</f>
        <v>Thursday</v>
      </c>
      <c r="E4" s="1028" t="str">
        <f>Six_Day_Summary!A25</f>
        <v>Friday</v>
      </c>
      <c r="F4" s="1029" t="str">
        <f>Six_Day_Summary!A30</f>
        <v>Saturday</v>
      </c>
      <c r="G4" s="98"/>
    </row>
    <row r="5" spans="1:8">
      <c r="A5" s="101" t="s">
        <v>296</v>
      </c>
      <c r="B5" s="1030">
        <f>Weather_Input!A6</f>
        <v>37124</v>
      </c>
      <c r="C5" s="1031">
        <f>Weather_Input!A7</f>
        <v>37125</v>
      </c>
      <c r="D5" s="1031">
        <f>Weather_Input!A8</f>
        <v>37126</v>
      </c>
      <c r="E5" s="1031">
        <f>Weather_Input!A9</f>
        <v>37127</v>
      </c>
      <c r="F5" s="1032">
        <f>Weather_Input!A10</f>
        <v>37128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38.869999999999997</v>
      </c>
      <c r="C6" s="1033">
        <f>PGL_Supplies!AB9/1000+PGL_Supplies!K9/1000-PGL_Requirements!N9/1000+C15-PGL_Requirements!S9/1000</f>
        <v>38.869999999999997</v>
      </c>
      <c r="D6" s="1033">
        <f>PGL_Supplies!AB10/1000+PGL_Supplies!K10/1000-PGL_Requirements!N10/1000+D15-PGL_Requirements!S10/1000</f>
        <v>38.869999999999997</v>
      </c>
      <c r="E6" s="1033">
        <f>PGL_Supplies!AB11/1000+PGL_Supplies!K11/1000-PGL_Requirements!N11/1000+E15-PGL_Requirements!S11/1000</f>
        <v>38.869999999999997</v>
      </c>
      <c r="F6" s="1034">
        <f>PGL_Supplies!AB12/1000+PGL_Supplies!K12/1000-PGL_Requirements!N12/1000+F15-PGL_Requirements!S12/1000</f>
        <v>38.869999999999997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Tuesday</v>
      </c>
      <c r="C21" s="1043" t="str">
        <f t="shared" si="0"/>
        <v>Wednesday</v>
      </c>
      <c r="D21" s="1043" t="str">
        <f t="shared" si="0"/>
        <v>Thursday</v>
      </c>
      <c r="E21" s="1043" t="str">
        <f t="shared" si="0"/>
        <v>Friday</v>
      </c>
      <c r="F21" s="1044" t="str">
        <f t="shared" si="0"/>
        <v>Saturday</v>
      </c>
      <c r="G21" s="98"/>
    </row>
    <row r="22" spans="1:7">
      <c r="A22" s="105" t="s">
        <v>296</v>
      </c>
      <c r="B22" s="1045">
        <f t="shared" si="0"/>
        <v>37124</v>
      </c>
      <c r="C22" s="1045">
        <f t="shared" si="0"/>
        <v>37125</v>
      </c>
      <c r="D22" s="1045">
        <f t="shared" si="0"/>
        <v>37126</v>
      </c>
      <c r="E22" s="1045">
        <f t="shared" si="0"/>
        <v>37127</v>
      </c>
      <c r="F22" s="1046">
        <f t="shared" si="0"/>
        <v>37128</v>
      </c>
      <c r="G22" s="98"/>
    </row>
    <row r="23" spans="1:7">
      <c r="A23" s="98" t="s">
        <v>297</v>
      </c>
      <c r="B23" s="1039">
        <f>NSG_Supplies!Q8/1000+NSG_Supplies!F8/1000-NSG_Requirements!H8/1000</f>
        <v>24.715</v>
      </c>
      <c r="C23" s="1039">
        <f>NSG_Supplies!Q9/1000+NSG_Supplies!F9/1000-NSG_Requirements!H9/1000</f>
        <v>24.715</v>
      </c>
      <c r="D23" s="1039">
        <f>NSG_Supplies!Q10/1000+NSG_Supplies!F10/1000-NSG_Requirements!H10/1000</f>
        <v>24.715</v>
      </c>
      <c r="E23" s="1039">
        <f>NSG_Supplies!Q12/1000+NSG_Supplies!F11/1000-NSG_Requirements!H11/1000</f>
        <v>24.715</v>
      </c>
      <c r="F23" s="1034">
        <f>NSG_Supplies!Q12/1000+NSG_Supplies!F12/1000-NSG_Requirements!H12/1000</f>
        <v>24.715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37124</v>
      </c>
      <c r="D1" s="1229" t="s">
        <v>764</v>
      </c>
      <c r="E1" s="1230"/>
      <c r="F1" s="1231"/>
      <c r="G1" s="421"/>
      <c r="H1" s="421"/>
      <c r="I1" s="984"/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7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7</v>
      </c>
      <c r="E4" s="1237"/>
      <c r="F4" s="169" t="s">
        <v>768</v>
      </c>
      <c r="G4" s="60"/>
      <c r="H4" s="151">
        <f>PGL_Requirements!O8/1000</f>
        <v>145</v>
      </c>
      <c r="I4" s="173">
        <f>AVERAGE(H4/1.025)</f>
        <v>141.46341463414635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0</v>
      </c>
      <c r="D5" s="427"/>
      <c r="E5" s="1240">
        <f>AVERAGE(C5/24)</f>
        <v>0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6.041666666666667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236.732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86.087000000000003</v>
      </c>
      <c r="D11" s="764"/>
      <c r="E11" s="1248"/>
      <c r="F11" s="1249" t="s">
        <v>778</v>
      </c>
      <c r="G11" s="1250">
        <f>G8+G10</f>
        <v>241.732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86.087000000000003</v>
      </c>
      <c r="D14" s="427"/>
      <c r="E14" s="1240">
        <f>AVERAGE(C14/24)</f>
        <v>3.5869583333333335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25.417999999999999</v>
      </c>
      <c r="D15" s="60"/>
      <c r="E15" s="158"/>
      <c r="F15" s="1252" t="s">
        <v>785</v>
      </c>
      <c r="G15" s="1250">
        <f>SUM(G11)-G16-G17-H13</f>
        <v>241.732</v>
      </c>
      <c r="H15" s="427" t="s">
        <v>9</v>
      </c>
      <c r="I15" s="1240">
        <f>AVERAGE(G15/24)</f>
        <v>10.072166666666666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0.41799999999999998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25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25</v>
      </c>
      <c r="D20" s="1260" t="s">
        <v>9</v>
      </c>
      <c r="E20" s="1240">
        <f>AVERAGE(C20/24)</f>
        <v>1.0416666666666667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37124</v>
      </c>
      <c r="I1" s="887"/>
      <c r="J1" s="889"/>
      <c r="K1" s="889"/>
    </row>
    <row r="2" spans="1:22" ht="16.5" customHeight="1">
      <c r="A2" s="907" t="s">
        <v>606</v>
      </c>
      <c r="C2" s="953">
        <v>336</v>
      </c>
      <c r="F2" s="954">
        <v>337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24.715</v>
      </c>
      <c r="I9" s="958"/>
      <c r="K9" s="887" t="s">
        <v>610</v>
      </c>
      <c r="L9" s="909">
        <f>NSG_Deliveries!C6/1000</f>
        <v>33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25</v>
      </c>
      <c r="B11" s="958"/>
      <c r="H11" s="909">
        <f>NSG_Supplies!T8/1000</f>
        <v>0</v>
      </c>
      <c r="K11" s="890" t="s">
        <v>611</v>
      </c>
      <c r="L11" s="915">
        <f>SUM(K4+K17+K19+H11+H9-L9)</f>
        <v>-8.2850000000000001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86.087000000000003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340</v>
      </c>
      <c r="D15" s="952">
        <v>410</v>
      </c>
      <c r="F15" s="959">
        <v>340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543</v>
      </c>
      <c r="D18" s="961"/>
      <c r="E18" s="961"/>
      <c r="F18" s="954">
        <v>797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241.732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33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211.81900000000002</v>
      </c>
      <c r="L28" s="890" t="s">
        <v>650</v>
      </c>
      <c r="M28" s="915">
        <f>SUM(J2+K17+K19+H11+H9-M26)</f>
        <v>-1.2850000000000001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37123</v>
      </c>
      <c r="G29" s="909">
        <f>PGL_Requirements!G7/1000</f>
        <v>25.4</v>
      </c>
      <c r="H29" s="888"/>
      <c r="J29" s="890" t="s">
        <v>614</v>
      </c>
      <c r="K29" s="909">
        <f>PGL_Supplies!AB8/1000+PGL_Supplies!K8/1000-PGL_Requirements!N8/1000</f>
        <v>38.869999999999997</v>
      </c>
    </row>
    <row r="30" spans="1:17" ht="10.5" customHeight="1">
      <c r="A30" s="892"/>
      <c r="B30" s="909"/>
      <c r="C30" s="890"/>
      <c r="D30" s="909"/>
      <c r="F30" s="1006">
        <f>PGL_Requirements!A8</f>
        <v>37124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55.689000000000021</v>
      </c>
    </row>
    <row r="32" spans="1:17">
      <c r="A32" s="909">
        <f>PGL_Supplies!G8/1000</f>
        <v>1</v>
      </c>
      <c r="G32" s="909">
        <f>PGL_Requirements!O8/1000</f>
        <v>145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545</v>
      </c>
      <c r="F38" s="959">
        <v>750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356.81900000000002</v>
      </c>
      <c r="B40" s="903"/>
      <c r="C40" s="902"/>
      <c r="D40" s="903"/>
      <c r="E40" s="903"/>
      <c r="F40" s="969"/>
      <c r="G40" s="969">
        <f>SUM(G30:G35)</f>
        <v>145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211.81900000000002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338.5</v>
      </c>
      <c r="E45" s="974"/>
      <c r="F45" s="975">
        <v>6.7000000000000004E-2</v>
      </c>
      <c r="G45" s="976">
        <f>(C45-D45)*F45</f>
        <v>4.7905000000000006</v>
      </c>
      <c r="H45" s="976">
        <f>(D45-B45)*F45</f>
        <v>5.9295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338</v>
      </c>
      <c r="E47" s="974"/>
      <c r="F47" s="975">
        <v>0.14099999999999999</v>
      </c>
      <c r="G47" s="976">
        <f>(C47-D47)*F47</f>
        <v>10.151999999999999</v>
      </c>
      <c r="H47" s="976">
        <f>(D47-B47)*F47</f>
        <v>12.407999999999999</v>
      </c>
      <c r="I47" s="909"/>
    </row>
    <row r="48" spans="1:11">
      <c r="A48" s="889" t="s">
        <v>593</v>
      </c>
      <c r="B48" s="978">
        <v>285</v>
      </c>
      <c r="C48" s="972">
        <v>750</v>
      </c>
      <c r="D48" s="973">
        <f>SUM(C18+C38)/2</f>
        <v>544</v>
      </c>
      <c r="E48" s="974"/>
      <c r="F48" s="975">
        <v>0.161</v>
      </c>
      <c r="G48" s="976">
        <f>(C48-D48)*F48</f>
        <v>33.166000000000004</v>
      </c>
      <c r="H48" s="976">
        <f>(D48-B48)*F48</f>
        <v>41.698999999999998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48.108500000000006</v>
      </c>
      <c r="H49" s="976">
        <f>SUM(H45:H48)</f>
        <v>60.036499999999997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37123</v>
      </c>
      <c r="B5" s="11">
        <v>77</v>
      </c>
      <c r="C5" s="49">
        <v>60</v>
      </c>
      <c r="D5" s="49">
        <v>8</v>
      </c>
      <c r="E5" s="11" t="s">
        <v>815</v>
      </c>
      <c r="F5" s="11">
        <v>0</v>
      </c>
      <c r="G5" s="11">
        <v>0</v>
      </c>
      <c r="H5" s="11">
        <v>0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  TODAY - MOSTLY SUNNY AND PLEASANT   TODAY - MOSTLY SUNNY AND PLEASANT</v>
      </c>
      <c r="AE5" s="15">
        <v>1</v>
      </c>
      <c r="AH5" s="15" t="s">
        <v>32</v>
      </c>
    </row>
    <row r="6" spans="1:34" ht="16.5" customHeight="1">
      <c r="A6" s="86">
        <f>A5+1</f>
        <v>37124</v>
      </c>
      <c r="B6" s="11">
        <v>83</v>
      </c>
      <c r="C6" s="49">
        <v>67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67" t="s">
        <v>829</v>
      </c>
      <c r="J6" s="867" t="s">
        <v>9</v>
      </c>
      <c r="K6" s="11">
        <v>1</v>
      </c>
      <c r="L6" s="11" t="s">
        <v>558</v>
      </c>
      <c r="N6" s="15" t="str">
        <f>I6&amp;" "&amp;J6</f>
        <v xml:space="preserve">  WARM WITH SEVERAL HOURS OF SUN; BREEZY LATER ON.  </v>
      </c>
      <c r="AE6" s="15">
        <v>1</v>
      </c>
      <c r="AH6" s="15" t="s">
        <v>33</v>
      </c>
    </row>
    <row r="7" spans="1:34" ht="16.5" customHeight="1">
      <c r="A7" s="86">
        <f>A6+1</f>
        <v>37125</v>
      </c>
      <c r="B7" s="11">
        <v>86</v>
      </c>
      <c r="C7" s="49">
        <v>66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824</v>
      </c>
      <c r="K7" s="11">
        <v>3</v>
      </c>
      <c r="L7" s="11" t="s">
        <v>20</v>
      </c>
      <c r="N7" s="15" t="str">
        <f>I7&amp;" "&amp;J7</f>
        <v xml:space="preserve">  HUMID WITH CLOUDS AND SUN, WARM,    THEN BREEZY WITH A THUNDER SHOWER POSSIBLE.</v>
      </c>
    </row>
    <row r="8" spans="1:34" ht="16.5" customHeight="1">
      <c r="A8" s="86">
        <f>A7+1</f>
        <v>37126</v>
      </c>
      <c r="B8" s="11">
        <v>87</v>
      </c>
      <c r="C8" s="49">
        <v>68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826</v>
      </c>
      <c r="K8" s="11">
        <v>3</v>
      </c>
      <c r="L8" s="11"/>
      <c r="N8" s="15" t="str">
        <f>I8&amp;" "&amp;J8</f>
        <v xml:space="preserve">  PERIODS OF CLOUDS AND SUNSHINE WITH A FEW THUNDERSTORMS;   WARM, AND HUMID.</v>
      </c>
    </row>
    <row r="9" spans="1:34" ht="16.5" customHeight="1">
      <c r="A9" s="86">
        <f>A8+1</f>
        <v>37127</v>
      </c>
      <c r="B9" s="11">
        <v>87</v>
      </c>
      <c r="C9" s="49">
        <v>68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827</v>
      </c>
      <c r="J9" s="867" t="s">
        <v>828</v>
      </c>
      <c r="K9" s="11">
        <v>6</v>
      </c>
      <c r="L9" s="11">
        <v>0</v>
      </c>
      <c r="M9" s="87"/>
      <c r="N9" s="15" t="str">
        <f>I9&amp;" "&amp;J9</f>
        <v xml:space="preserve">  INTERVALS OF CLOUDS AND SUNSHINE WITH A CHANCE    OF A THUNDERSTORM.</v>
      </c>
    </row>
    <row r="10" spans="1:34" ht="16.5" customHeight="1">
      <c r="A10" s="86">
        <f>A9+1</f>
        <v>37128</v>
      </c>
      <c r="B10" s="11">
        <v>87</v>
      </c>
      <c r="C10" s="49">
        <v>68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828</v>
      </c>
      <c r="K10" s="11">
        <v>3</v>
      </c>
      <c r="L10" s="11" t="s">
        <v>382</v>
      </c>
      <c r="N10" s="15" t="str">
        <f>I10&amp;" "&amp;J10</f>
        <v xml:space="preserve">  INTERVALS OF CLOUDS AND SUNSHINE WITH A CHANCE    OF A THUNDERSTORM.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5.0830000000000002</v>
      </c>
      <c r="C2" s="60"/>
      <c r="D2" s="118" t="s">
        <v>309</v>
      </c>
      <c r="E2" s="417">
        <f>Weather_Input!A5</f>
        <v>37123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86.251999999999995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4.5529999999999999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0.53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204.78299999999999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-148.94200000000001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11.436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4.3159999999999998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126.34099999999995</v>
      </c>
      <c r="C21" s="1268"/>
      <c r="D21" s="175" t="s">
        <v>530</v>
      </c>
      <c r="E21" s="174">
        <f>SUM(E7:E20)</f>
        <v>5.0830000000000002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86.2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2.2306500000000002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0.1</v>
      </c>
      <c r="D24" s="1269" t="s">
        <v>531</v>
      </c>
      <c r="E24" s="220">
        <f>SUM(E21:E23)</f>
        <v>7.3136500000000009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86.100000000000009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0.41799999999999998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0.41799999999999998</v>
      </c>
      <c r="D27" s="242" t="s">
        <v>538</v>
      </c>
      <c r="E27" s="60" t="s">
        <v>9</v>
      </c>
      <c r="F27" s="173">
        <f>PGL_Deliveries!AS5/1000</f>
        <v>25.396999999999998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68.477999999999994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43.080999999999996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198.136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145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4.3159999999999998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77</v>
      </c>
      <c r="F45" s="1116"/>
    </row>
    <row r="46" spans="1:13" ht="15">
      <c r="A46" s="169" t="s">
        <v>548</v>
      </c>
      <c r="B46" s="151">
        <f>PGL_Deliveries!AY5/1000</f>
        <v>2.2306500000000002</v>
      </c>
      <c r="C46" s="63"/>
      <c r="D46" s="169" t="s">
        <v>550</v>
      </c>
      <c r="E46" s="230">
        <f>Weather_Input!C5</f>
        <v>60</v>
      </c>
      <c r="F46" s="158"/>
    </row>
    <row r="47" spans="1:13" ht="15">
      <c r="A47" s="172" t="s">
        <v>655</v>
      </c>
      <c r="B47" s="67"/>
      <c r="C47" s="1202">
        <f>PGL_Requirements!Q7/1000</f>
        <v>0.65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8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37123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24.38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5.9029999999999996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30.282999999999998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209.346</v>
      </c>
      <c r="E5" s="1263">
        <f>SUM(PGL_Nine_to_Nine!F24)*2</f>
        <v>25.4</v>
      </c>
      <c r="G5" s="1263">
        <f>SUM(C5-E5)</f>
        <v>183.946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37123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37122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91228</v>
      </c>
      <c r="O6" s="199">
        <v>0</v>
      </c>
      <c r="P6" s="199">
        <v>54596571</v>
      </c>
      <c r="Q6" s="199">
        <v>15045098</v>
      </c>
      <c r="R6" s="199">
        <v>39551473</v>
      </c>
      <c r="S6" s="199">
        <v>0</v>
      </c>
    </row>
    <row r="7" spans="1:19">
      <c r="A7" s="4">
        <f>B1</f>
        <v>37123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91228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54687799</v>
      </c>
      <c r="Q7">
        <f>IF(O7&gt;0,Q6+O7,Q6)</f>
        <v>15045098</v>
      </c>
      <c r="R7">
        <f>IF(P7&gt;Q7,P7-Q7,0)</f>
        <v>39642701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37123</v>
      </c>
      <c r="B5" s="1">
        <f>(Weather_Input!B5+Weather_Input!C5)/2</f>
        <v>68.5</v>
      </c>
      <c r="C5" s="868">
        <v>198000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530</v>
      </c>
      <c r="T5" s="874">
        <v>4553</v>
      </c>
      <c r="U5" s="1047">
        <v>0</v>
      </c>
      <c r="V5" s="868">
        <f>SUM(D5:T5)-U5</f>
        <v>5083</v>
      </c>
      <c r="W5" s="868">
        <v>86252</v>
      </c>
      <c r="X5" s="11">
        <v>0</v>
      </c>
      <c r="Y5" s="11">
        <v>0</v>
      </c>
      <c r="Z5" s="11">
        <v>0</v>
      </c>
      <c r="AA5" s="11">
        <v>204783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1010</v>
      </c>
      <c r="AP5" s="1"/>
      <c r="AQ5" s="1">
        <v>11436</v>
      </c>
      <c r="AR5" s="1">
        <v>0</v>
      </c>
      <c r="AS5" s="1">
        <v>25397</v>
      </c>
      <c r="AT5" s="1">
        <v>0</v>
      </c>
      <c r="AU5" s="1">
        <v>0</v>
      </c>
      <c r="AV5" s="1">
        <v>418</v>
      </c>
      <c r="AW5" s="1">
        <v>148710</v>
      </c>
      <c r="AX5" s="1">
        <v>650</v>
      </c>
      <c r="AY5" s="610">
        <f>AW5*0.015</f>
        <v>2230.65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4316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37124</v>
      </c>
      <c r="B6" s="886">
        <f>(Weather_Input!B6+Weather_Input!C6)/2</f>
        <v>75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37125</v>
      </c>
      <c r="B7" s="886">
        <f>(Weather_Input!B7+Weather_Input!C7)/2</f>
        <v>76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37126</v>
      </c>
      <c r="B8" s="886">
        <f>(Weather_Input!B8+Weather_Input!C8)/2</f>
        <v>77.5</v>
      </c>
      <c r="C8" s="868">
        <v>195000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37127</v>
      </c>
      <c r="B9" s="886">
        <f>(Weather_Input!B9+Weather_Input!C9)/2</f>
        <v>77.5</v>
      </c>
      <c r="C9" s="868">
        <v>180000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37128</v>
      </c>
      <c r="B10" s="886">
        <f>(Weather_Input!B10+Weather_Input!C10)/2</f>
        <v>77.5</v>
      </c>
      <c r="C10" s="868">
        <v>165000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37123</v>
      </c>
      <c r="B5" s="1">
        <f>(Weather_Input!B5+Weather_Input!C5)/2</f>
        <v>68.5</v>
      </c>
      <c r="C5" s="868">
        <v>33500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1002</v>
      </c>
      <c r="J5" s="1" t="s">
        <v>9</v>
      </c>
      <c r="K5" s="1">
        <v>0</v>
      </c>
      <c r="L5" s="1">
        <v>5903</v>
      </c>
      <c r="M5" s="1">
        <v>7000</v>
      </c>
      <c r="N5" s="1">
        <v>0</v>
      </c>
    </row>
    <row r="6" spans="1:14">
      <c r="A6" s="12">
        <f>A5+1</f>
        <v>37124</v>
      </c>
      <c r="B6" s="886">
        <f>(Weather_Input!B6+Weather_Input!C6)/2</f>
        <v>75</v>
      </c>
      <c r="C6" s="868">
        <v>33000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37125</v>
      </c>
      <c r="B7" s="886">
        <f>(Weather_Input!B7+Weather_Input!C7)/2</f>
        <v>76</v>
      </c>
      <c r="C7" s="868">
        <v>33000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37126</v>
      </c>
      <c r="B8" s="886">
        <f>(Weather_Input!B8+Weather_Input!C8)/2</f>
        <v>77.5</v>
      </c>
      <c r="C8" s="868">
        <v>33000</v>
      </c>
      <c r="D8" s="871" t="s">
        <v>9</v>
      </c>
      <c r="E8" s="871"/>
      <c r="F8" s="871"/>
      <c r="G8" s="871"/>
      <c r="H8" s="15"/>
    </row>
    <row r="9" spans="1:14">
      <c r="A9" s="12">
        <f>A8+1</f>
        <v>37127</v>
      </c>
      <c r="B9" s="886">
        <f>(Weather_Input!B9+Weather_Input!C9)/2</f>
        <v>77.5</v>
      </c>
      <c r="C9" s="868">
        <v>32000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37128</v>
      </c>
      <c r="B10" s="886">
        <f>(Weather_Input!B10+Weather_Input!C10)/2</f>
        <v>77.5</v>
      </c>
      <c r="C10" s="868">
        <v>30000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2.75">
      <c r="A7" s="798">
        <f>Weather_Input!A5</f>
        <v>37123</v>
      </c>
      <c r="B7" s="877">
        <v>0</v>
      </c>
      <c r="C7" s="608">
        <v>0</v>
      </c>
      <c r="D7" s="608">
        <v>0</v>
      </c>
      <c r="E7" s="877">
        <v>5028</v>
      </c>
      <c r="F7" s="877">
        <v>0</v>
      </c>
      <c r="G7" s="879">
        <v>25400</v>
      </c>
      <c r="H7" s="607">
        <v>0</v>
      </c>
      <c r="I7" s="607">
        <v>100</v>
      </c>
      <c r="J7" s="608">
        <v>0</v>
      </c>
      <c r="K7" s="607">
        <v>0</v>
      </c>
      <c r="L7" s="608">
        <v>0</v>
      </c>
      <c r="M7" s="608">
        <v>0</v>
      </c>
      <c r="N7" s="609">
        <v>10800</v>
      </c>
      <c r="O7" s="608">
        <v>145000</v>
      </c>
      <c r="P7" s="610">
        <f t="shared" ref="P7:P12" si="0">O7*0.015</f>
        <v>2175</v>
      </c>
      <c r="Q7" s="608">
        <v>650</v>
      </c>
      <c r="R7" s="608">
        <v>0</v>
      </c>
      <c r="S7" s="608">
        <v>0</v>
      </c>
      <c r="T7" s="607">
        <v>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2.75">
      <c r="A8" s="798">
        <f>A7+1</f>
        <v>37124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145000</v>
      </c>
      <c r="P8" s="610">
        <f t="shared" si="0"/>
        <v>2175</v>
      </c>
      <c r="Q8" s="608">
        <v>650</v>
      </c>
      <c r="R8" s="608">
        <v>0</v>
      </c>
      <c r="S8" s="608">
        <v>0</v>
      </c>
      <c r="T8" s="607">
        <v>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2.75">
      <c r="A9" s="798">
        <f>A8+1</f>
        <v>37125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0</v>
      </c>
      <c r="O9" s="608">
        <v>150000</v>
      </c>
      <c r="P9" s="610">
        <f t="shared" si="0"/>
        <v>2250</v>
      </c>
      <c r="Q9" s="608">
        <v>650</v>
      </c>
      <c r="R9" s="608">
        <v>0</v>
      </c>
      <c r="S9" s="608">
        <v>0</v>
      </c>
      <c r="T9" s="607">
        <v>418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2.75">
      <c r="A10" s="798">
        <f>A9+1</f>
        <v>37126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150000</v>
      </c>
      <c r="P10" s="610">
        <f t="shared" si="0"/>
        <v>2250</v>
      </c>
      <c r="Q10" s="608">
        <v>650</v>
      </c>
      <c r="R10" s="608">
        <v>0</v>
      </c>
      <c r="S10" s="608">
        <v>0</v>
      </c>
      <c r="T10" s="607">
        <v>418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2.75">
      <c r="A11" s="798">
        <f>A10+1</f>
        <v>37127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150000</v>
      </c>
      <c r="P11" s="610">
        <f t="shared" si="0"/>
        <v>2250</v>
      </c>
      <c r="Q11" s="608">
        <v>650</v>
      </c>
      <c r="R11" s="608">
        <v>0</v>
      </c>
      <c r="S11" s="608">
        <v>0</v>
      </c>
      <c r="T11" s="607">
        <v>418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2.75">
      <c r="A12" s="798">
        <f>A11+1</f>
        <v>37128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150000</v>
      </c>
      <c r="P12" s="610">
        <f t="shared" si="0"/>
        <v>2250</v>
      </c>
      <c r="Q12" s="608">
        <v>650</v>
      </c>
      <c r="R12" s="608">
        <v>0</v>
      </c>
      <c r="S12" s="608">
        <v>0</v>
      </c>
      <c r="T12" s="607">
        <v>418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37123</v>
      </c>
      <c r="B7" s="610">
        <v>1400</v>
      </c>
      <c r="C7" s="610">
        <v>0</v>
      </c>
      <c r="D7" s="610">
        <v>6210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126390</v>
      </c>
      <c r="V7" s="609">
        <v>0</v>
      </c>
      <c r="W7" s="607">
        <v>0</v>
      </c>
      <c r="X7" s="880">
        <v>86200</v>
      </c>
      <c r="Y7" s="609">
        <v>418</v>
      </c>
      <c r="Z7" s="1">
        <v>0</v>
      </c>
      <c r="AA7" s="607">
        <v>198136</v>
      </c>
      <c r="AB7" s="607">
        <v>68478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37124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118500</v>
      </c>
      <c r="V8" s="609">
        <v>0</v>
      </c>
      <c r="W8" s="607">
        <v>0</v>
      </c>
      <c r="X8" s="880">
        <v>86087</v>
      </c>
      <c r="Y8" s="609">
        <v>25418</v>
      </c>
      <c r="Z8" s="1">
        <v>0</v>
      </c>
      <c r="AA8" s="607">
        <v>236732</v>
      </c>
      <c r="AB8" s="607">
        <v>38870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37125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118500</v>
      </c>
      <c r="V9" s="609">
        <v>0</v>
      </c>
      <c r="W9" s="607">
        <v>0</v>
      </c>
      <c r="X9" s="880">
        <v>86087</v>
      </c>
      <c r="Y9" s="609">
        <v>25418</v>
      </c>
      <c r="Z9" s="1">
        <v>0</v>
      </c>
      <c r="AA9" s="607">
        <v>236732</v>
      </c>
      <c r="AB9" s="607">
        <v>38870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118500</v>
      </c>
      <c r="V10" s="609">
        <v>0</v>
      </c>
      <c r="W10" s="607">
        <v>0</v>
      </c>
      <c r="X10" s="880">
        <v>86087</v>
      </c>
      <c r="Y10" s="609">
        <v>25418</v>
      </c>
      <c r="Z10" s="1">
        <v>0</v>
      </c>
      <c r="AA10" s="607">
        <v>236732</v>
      </c>
      <c r="AB10" s="607">
        <v>38870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118500</v>
      </c>
      <c r="V11" s="609">
        <v>0</v>
      </c>
      <c r="W11" s="607">
        <v>0</v>
      </c>
      <c r="X11" s="880">
        <v>86087</v>
      </c>
      <c r="Y11" s="609">
        <v>25418</v>
      </c>
      <c r="Z11" s="1">
        <v>0</v>
      </c>
      <c r="AA11" s="607">
        <v>236732</v>
      </c>
      <c r="AB11" s="607">
        <v>38870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118500</v>
      </c>
      <c r="V12" s="609">
        <v>0</v>
      </c>
      <c r="W12" s="607">
        <v>0</v>
      </c>
      <c r="X12" s="880">
        <v>86087</v>
      </c>
      <c r="Y12" s="609">
        <v>25418</v>
      </c>
      <c r="Z12" s="1">
        <v>0</v>
      </c>
      <c r="AA12" s="607">
        <v>236732</v>
      </c>
      <c r="AB12" s="607">
        <v>38870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37123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37123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37124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37124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37125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37125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37126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37126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37127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37127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37128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37128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37123</v>
      </c>
      <c r="B7" s="610">
        <v>0</v>
      </c>
      <c r="C7" s="611">
        <v>0</v>
      </c>
      <c r="D7" s="610">
        <v>0</v>
      </c>
      <c r="E7" s="610">
        <v>0</v>
      </c>
      <c r="F7" s="610">
        <v>9120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24380</v>
      </c>
      <c r="R7" s="610">
        <v>14390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37124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24715</v>
      </c>
      <c r="R8" s="610">
        <v>14725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37125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24715</v>
      </c>
      <c r="R9" s="610">
        <v>14725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37126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24715</v>
      </c>
      <c r="R10" s="610">
        <v>14725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37127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24715</v>
      </c>
      <c r="R11" s="610">
        <v>14725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37128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24715</v>
      </c>
      <c r="R12" s="610">
        <v>14725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MON</v>
      </c>
      <c r="I1" s="803">
        <f>D4</f>
        <v>37123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MON</v>
      </c>
      <c r="E3" s="808" t="str">
        <f t="shared" si="0"/>
        <v>TUE</v>
      </c>
      <c r="F3" s="808" t="str">
        <f t="shared" si="0"/>
        <v>WED</v>
      </c>
      <c r="G3" s="808" t="str">
        <f t="shared" si="0"/>
        <v>THU</v>
      </c>
      <c r="H3" s="808" t="str">
        <f t="shared" si="0"/>
        <v>FRI</v>
      </c>
      <c r="I3" s="809" t="str">
        <f t="shared" si="0"/>
        <v>SAT</v>
      </c>
    </row>
    <row r="4" spans="1:256" ht="18.95" customHeight="1" thickBot="1">
      <c r="A4" s="810"/>
      <c r="B4" s="811"/>
      <c r="C4" s="811"/>
      <c r="D4" s="449">
        <f>Weather_Input!A5</f>
        <v>37123</v>
      </c>
      <c r="E4" s="449">
        <f>Weather_Input!A6</f>
        <v>37124</v>
      </c>
      <c r="F4" s="449">
        <f>Weather_Input!A7</f>
        <v>37125</v>
      </c>
      <c r="G4" s="449">
        <f>Weather_Input!A8</f>
        <v>37126</v>
      </c>
      <c r="H4" s="449">
        <f>Weather_Input!A9</f>
        <v>37127</v>
      </c>
      <c r="I4" s="450">
        <f>Weather_Input!A10</f>
        <v>37128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77/60/69</v>
      </c>
      <c r="E5" s="451" t="str">
        <f>TEXT(Weather_Input!B6,"0")&amp;"/"&amp;TEXT(Weather_Input!C6,"0") &amp; "/" &amp; TEXT((Weather_Input!B6+Weather_Input!C6)/2,"0")</f>
        <v>83/67/75</v>
      </c>
      <c r="F5" s="451" t="str">
        <f>TEXT(Weather_Input!B7,"0")&amp;"/"&amp;TEXT(Weather_Input!C7,"0") &amp; "/" &amp; TEXT((Weather_Input!B7+Weather_Input!C7)/2,"0")</f>
        <v>86/66/76</v>
      </c>
      <c r="G5" s="451" t="str">
        <f>TEXT(Weather_Input!B8,"0")&amp;"/"&amp;TEXT(Weather_Input!C8,"0") &amp; "/" &amp; TEXT((Weather_Input!B8+Weather_Input!C8)/2,"0")</f>
        <v>87/68/78</v>
      </c>
      <c r="H5" s="451" t="str">
        <f>TEXT(Weather_Input!B9,"0")&amp;"/"&amp;TEXT(Weather_Input!C9,"0") &amp; "/" &amp; TEXT((Weather_Input!B9+Weather_Input!C9)/2,"0")</f>
        <v>87/68/78</v>
      </c>
      <c r="I5" s="452" t="str">
        <f>TEXT(Weather_Input!B10,"0")&amp;"/"&amp;TEXT(Weather_Input!C10,"0") &amp; "/" &amp; TEXT((Weather_Input!B10+Weather_Input!C10)/2,"0")</f>
        <v>87/68/78</v>
      </c>
    </row>
    <row r="6" spans="1:256" ht="18.95" customHeight="1">
      <c r="A6" s="817" t="s">
        <v>133</v>
      </c>
      <c r="B6" s="805"/>
      <c r="C6" s="805"/>
      <c r="D6" s="451">
        <f>PGL_Deliveries!C5/1000</f>
        <v>198</v>
      </c>
      <c r="E6" s="451">
        <f>PGL_Deliveries!C6/1000</f>
        <v>195</v>
      </c>
      <c r="F6" s="451">
        <f>PGL_Deliveries!C7/1000</f>
        <v>195</v>
      </c>
      <c r="G6" s="451">
        <f>PGL_Deliveries!C8/1000</f>
        <v>195</v>
      </c>
      <c r="H6" s="451">
        <f>PGL_Deliveries!C9/1000</f>
        <v>180</v>
      </c>
      <c r="I6" s="452">
        <f>PGL_Deliveries!C10/1000</f>
        <v>165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12.7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145</v>
      </c>
      <c r="E11" s="451">
        <f>PGL_Requirements!O8/1000</f>
        <v>145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150</v>
      </c>
    </row>
    <row r="12" spans="1:256" ht="18.95" customHeight="1">
      <c r="A12" s="814"/>
      <c r="B12" s="805"/>
      <c r="C12" s="805" t="s">
        <v>96</v>
      </c>
      <c r="D12" s="451">
        <f>PGL_Requirements!P7/1000</f>
        <v>2.1749999999999998</v>
      </c>
      <c r="E12" s="451">
        <f>PGL_Requirements!P8/1000</f>
        <v>2.1749999999999998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2.25</v>
      </c>
    </row>
    <row r="13" spans="1:256" ht="18.95" customHeight="1">
      <c r="A13" s="814"/>
      <c r="C13" s="805" t="s">
        <v>651</v>
      </c>
      <c r="D13" s="451">
        <f>PGL_Requirements!Q7/1000</f>
        <v>0.65</v>
      </c>
      <c r="E13" s="451">
        <f>PGL_Requirements!Q8/1000</f>
        <v>0.65</v>
      </c>
      <c r="F13" s="451">
        <f>PGL_Requirements!Q9/1000</f>
        <v>0.65</v>
      </c>
      <c r="G13" s="451">
        <f>PGL_Requirements!Q10/1000</f>
        <v>0.65</v>
      </c>
      <c r="H13" s="451">
        <f>PGL_Requirements!Q11/1000</f>
        <v>0.65</v>
      </c>
      <c r="I13" s="452">
        <f>PGL_Requirements!Q12/1000</f>
        <v>0.65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0.41799999999999998</v>
      </c>
      <c r="E15" s="451">
        <f>PGL_Requirements!T8/1000</f>
        <v>0.41799999999999998</v>
      </c>
      <c r="F15" s="451">
        <f>PGL_Requirements!T9/1000</f>
        <v>0.41799999999999998</v>
      </c>
      <c r="G15" s="451">
        <f>PGL_Requirements!T10/1000</f>
        <v>0.41799999999999998</v>
      </c>
      <c r="H15" s="451">
        <f>PGL_Requirements!T11/1000</f>
        <v>0.41799999999999998</v>
      </c>
      <c r="I15" s="452">
        <f>PGL_Requirements!T12/1000</f>
        <v>0.41799999999999998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10.8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0.1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374.87100000000004</v>
      </c>
      <c r="E25" s="455">
        <f t="shared" si="1"/>
        <v>348.27100000000002</v>
      </c>
      <c r="F25" s="455">
        <f t="shared" si="1"/>
        <v>353.346</v>
      </c>
      <c r="G25" s="455">
        <f t="shared" si="1"/>
        <v>353.346</v>
      </c>
      <c r="H25" s="455">
        <f t="shared" si="1"/>
        <v>338.346</v>
      </c>
      <c r="I25" s="1060">
        <f t="shared" si="1"/>
        <v>323.346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86.2</v>
      </c>
      <c r="E37" s="451">
        <f>PGL_Supplies!X8/1000</f>
        <v>86.087000000000003</v>
      </c>
      <c r="F37" s="451">
        <f>PGL_Supplies!X9/1000</f>
        <v>86.087000000000003</v>
      </c>
      <c r="G37" s="451">
        <f>PGL_Supplies!X10/1000</f>
        <v>86.087000000000003</v>
      </c>
      <c r="H37" s="451">
        <f>PGL_Supplies!X11/1000</f>
        <v>86.087000000000003</v>
      </c>
      <c r="I37" s="452">
        <f>PGL_Supplies!X12/1000</f>
        <v>86.087000000000003</v>
      </c>
    </row>
    <row r="38" spans="1:10" ht="18.95" customHeight="1">
      <c r="A38" s="817"/>
      <c r="B38" s="805" t="s">
        <v>136</v>
      </c>
      <c r="C38" s="818"/>
      <c r="D38" s="451">
        <f>PGL_Supplies!Y7/1000</f>
        <v>0.41799999999999998</v>
      </c>
      <c r="E38" s="451">
        <f>PGL_Supplies!Y8/1000</f>
        <v>25.417999999999999</v>
      </c>
      <c r="F38" s="451">
        <f>PGL_Supplies!Y9/1000</f>
        <v>25.417999999999999</v>
      </c>
      <c r="G38" s="451">
        <f>PGL_Supplies!Y10/1000</f>
        <v>25.417999999999999</v>
      </c>
      <c r="H38" s="451">
        <f>PGL_Supplies!Y11/1000</f>
        <v>25.417999999999999</v>
      </c>
      <c r="I38" s="452">
        <f>PGL_Supplies!Y12/1000</f>
        <v>25.417999999999999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198.136</v>
      </c>
      <c r="E40" s="451">
        <f>PGL_Supplies!AA8/1000</f>
        <v>236.732</v>
      </c>
      <c r="F40" s="451">
        <f>PGL_Supplies!AA9/1000</f>
        <v>236.732</v>
      </c>
      <c r="G40" s="451">
        <f>PGL_Supplies!AA10/1000</f>
        <v>236.732</v>
      </c>
      <c r="H40" s="451">
        <f>PGL_Supplies!AA11/1000</f>
        <v>236.732</v>
      </c>
      <c r="I40" s="452">
        <f>PGL_Supplies!AA12/1000</f>
        <v>236.732</v>
      </c>
    </row>
    <row r="41" spans="1:10" ht="18.95" customHeight="1">
      <c r="A41" s="817"/>
      <c r="B41" s="805" t="s">
        <v>134</v>
      </c>
      <c r="C41" s="805"/>
      <c r="D41" s="451">
        <f>PGL_Supplies!AB7/1000</f>
        <v>68.477999999999994</v>
      </c>
      <c r="E41" s="451">
        <f>PGL_Supplies!AB8/1000</f>
        <v>38.869999999999997</v>
      </c>
      <c r="F41" s="451">
        <f>PGL_Supplies!AB9/1000</f>
        <v>38.869999999999997</v>
      </c>
      <c r="G41" s="451">
        <f>PGL_Supplies!AB10/1000</f>
        <v>38.869999999999997</v>
      </c>
      <c r="H41" s="451">
        <f>PGL_Supplies!AB11/1000</f>
        <v>38.869999999999997</v>
      </c>
      <c r="I41" s="452">
        <f>PGL_Supplies!AB12/1000</f>
        <v>38.869999999999997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1.4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6.21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374.87</v>
      </c>
      <c r="E50" s="461">
        <f t="shared" si="2"/>
        <v>401.13499999999999</v>
      </c>
      <c r="F50" s="461">
        <f t="shared" si="2"/>
        <v>396.13499999999999</v>
      </c>
      <c r="G50" s="461">
        <f t="shared" si="2"/>
        <v>396.13499999999999</v>
      </c>
      <c r="H50" s="461">
        <f t="shared" si="2"/>
        <v>396.13499999999999</v>
      </c>
      <c r="I50" s="1062">
        <f t="shared" si="2"/>
        <v>396.13499999999999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0</v>
      </c>
      <c r="E51" s="462">
        <f t="shared" si="3"/>
        <v>52.863999999999976</v>
      </c>
      <c r="F51" s="462">
        <f t="shared" si="3"/>
        <v>42.788999999999987</v>
      </c>
      <c r="G51" s="462">
        <f t="shared" si="3"/>
        <v>42.788999999999987</v>
      </c>
      <c r="H51" s="462">
        <f t="shared" si="3"/>
        <v>57.788999999999987</v>
      </c>
      <c r="I51" s="1063">
        <f t="shared" si="3"/>
        <v>72.788999999999987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1.0000000000331966E-3</v>
      </c>
      <c r="E52" s="463">
        <f t="shared" si="4"/>
        <v>0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126.39</v>
      </c>
      <c r="E53" s="1053">
        <f>PGL_Supplies!U8/1000</f>
        <v>118.5</v>
      </c>
      <c r="F53" s="1053">
        <f>PGL_Supplies!U9/1000</f>
        <v>118.5</v>
      </c>
      <c r="G53" s="1053">
        <f>PGL_Supplies!U10/1000</f>
        <v>118.5</v>
      </c>
      <c r="H53" s="1053">
        <f>PGL_Supplies!U11/1000</f>
        <v>118.5</v>
      </c>
      <c r="I53" s="1054">
        <f>PGL_Supplies!U12/1000</f>
        <v>118.5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2001-08-21T09:17:08Z</cp:lastPrinted>
  <dcterms:created xsi:type="dcterms:W3CDTF">1997-07-16T16:14:22Z</dcterms:created>
  <dcterms:modified xsi:type="dcterms:W3CDTF">2023-09-10T17:01:03Z</dcterms:modified>
</cp:coreProperties>
</file>