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7498C7-5463-4C6D-9600-02F5065331B9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<sst xmlns="http://schemas.openxmlformats.org/spreadsheetml/2006/main" count="2089" uniqueCount="827">
  <si>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</si>
  <si>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</si>
  <si>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</si>
  <si>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</si>
  <si>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</si>
  <si>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</si>
  <si>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</si>
  <si>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</si>
  <si>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</si>
  <si>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</si>
  <si>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</si>
  <si>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</si>
  <si>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</si>
  <si>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</si>
  <si>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</si>
  <si>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</si>
  <si>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</si>
  <si>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</si>
  <si>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</si>
  <si>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</si>
  <si>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</si>
  <si>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</si>
  <si>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</si>
  <si>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</si>
  <si>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</si>
  <si>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</si>
  <si>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</si>
  <si>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</si>
  <si>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</si>
  <si>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</si>
  <si>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</si>
  <si>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</si>
  <si>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</si>
  <si>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</si>
  <si>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</si>
  <si>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</si>
  <si>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</si>
  <si>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</si>
  <si>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</si>
  <si>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</si>
  <si>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</si>
  <si>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</si>
  <si>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</si>
  <si>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</si>
  <si>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</si>
  <si>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</si>
  <si>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</si>
  <si>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</si>
  <si>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</si>
  <si>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</si>
  <si>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</si>
  <si>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</si>
  <si>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</si>
  <si>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</si>
  <si>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</si>
  <si>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</si>
  <si>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</si>
  <si>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</si>
  <si>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</si>
  <si>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</si>
  <si>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</si>
  <si>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</si>
  <si>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</si>
  <si>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</si>
  <si>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</si>
  <si>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</si>
  <si>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</si>
  <si>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</si>
  <si>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</si>
  <si>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</si>
  <si>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</si>
  <si>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</si>
  <si>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</si>
  <si>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</si>
  <si>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</si>
  <si>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</si>
  <si>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</si>
  <si>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</si>
  <si>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</si>
  <si>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</si>
  <si>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</si>
  <si>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</si>
  <si>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</si>
  <si>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</si>
  <si>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</si>
  <si>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</si>
  <si>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</si>
  <si>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</si>
  <si>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</si>
  <si>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</si>
  <si>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</si>
  <si>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</si>
  <si>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</si>
  <si>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</si>
  <si>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</si>
  <si>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</si>
  <si>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</si>
  <si>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</si>
  <si>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</si>
  <si>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</si>
  <si>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</si>
  <si>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</si>
  <si>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</si>
  <si>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</si>
  <si>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</si>
  <si>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</si>
  <si>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</si>
  <si>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</si>
  <si>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</si>
  <si>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</si>
  <si>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</si>
  <si>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</si>
  <si>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</si>
  <si>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</si>
  <si>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</si>
  <si>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</si>
  <si>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</si>
  <si>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</si>
  <si>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</si>
  <si>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</si>
  <si>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</si>
  <si>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</si>
  <si>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</si>
  <si>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</si>
  <si>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</si>
  <si>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</si>
  <si>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</si>
  <si>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</si>
  <si>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</si>
  <si>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</si>
  <si>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</si>
  <si>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</si>
  <si>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</si>
  <si>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</si>
  <si>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</si>
  <si>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</si>
  <si>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</si>
  <si>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</si>
  <si>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</si>
  <si>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</si>
  <si>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</si>
  <si>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</si>
  <si>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</si>
  <si>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</si>
  <si>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</si>
  <si>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</si>
  <si>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</si>
  <si>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</si>
  <si>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</si>
  <si>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</si>
  <si>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</si>
  <si>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</si>
  <si>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</si>
  <si>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</si>
  <si>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</si>
  <si>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</si>
  <si>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</si>
  <si>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</si>
  <si>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</si>
  <si>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</si>
  <si>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</si>
  <si>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</si>
  <si>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</si>
  <si>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</si>
  <si>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</si>
  <si>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</si>
  <si>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</si>
  <si>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</si>
  <si>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</si>
  <si>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</si>
  <si>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</si>
  <si>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</si>
  <si>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</si>
  <si>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</si>
  <si>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</si>
  <si>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</si>
  <si>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</si>
  <si>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</si>
  <si>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</si>
  <si>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</si>
  <si>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</si>
  <si>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</si>
  <si>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</si>
  <si>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</si>
  <si>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</si>
  <si>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</si>
  <si>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</si>
  <si>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</si>
  <si>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</si>
  <si>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</si>
  <si>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</si>
  <si>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</si>
  <si>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</si>
  <si>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</si>
  <si>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</si>
  <si>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</si>
  <si>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</si>
  <si>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</si>
  <si>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</si>
  <si>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</si>
  <si>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</si>
  <si>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</si>
  <si>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</si>
  <si>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</si>
  <si>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</si>
  <si>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</si>
  <si>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</si>
  <si>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</si>
  <si>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</si>
  <si>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</si>
  <si>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</si>
  <si>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</si>
  <si>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</si>
  <si>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</si>
  <si>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</si>
  <si>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</si>
  <si>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</si>
  <si>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</si>
  <si>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</si>
  <si>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</si>
  <si>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</si>
  <si>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</si>
  <si>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</si>
  <si>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</si>
  <si>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</si>
  <si>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</si>
  <si>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</si>
  <si>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</si>
  <si>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</si>
  <si>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</si>
  <si>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</si>
  <si>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</si>
  <si>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</si>
  <si>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</si>
  <si>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</si>
  <si>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</si>
  <si>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</si>
  <si>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</si>
  <si>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</si>
  <si>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</si>
  <si>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</si>
  <si>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</si>
  <si>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</si>
  <si>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</si>
  <si>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</si>
  <si>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</si>
  <si>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</si>
  <si>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</si>
  <si>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</si>
  <si>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</si>
  <si>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</si>
  <si>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</si>
  <si>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</si>
  <si>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</si>
  <si>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</si>
  <si>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</si>
  <si>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</si>
  <si>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</si>
  <si>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</si>
  <si>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</si>
  <si>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</si>
  <si>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</si>
  <si>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</si>
  <si>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</si>
  <si>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</si>
  <si>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</si>
  <si>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</si>
  <si>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</si>
  <si>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</si>
  <si>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</si>
  <si>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</si>
  <si>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</si>
  <si>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</si>
  <si>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</si>
  <si>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</si>
  <si>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</si>
  <si>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</si>
  <si>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</si>
  <si>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</si>
  <si>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</si>
  <si>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</si>
  <si>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</si>
  <si>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</si>
  <si>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</si>
  <si>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</si>
  <si>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</si>
  <si>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</si>
  <si>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</si>
  <si>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</si>
  <si>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</si>
  <si>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</si>
  <si>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</si>
  <si>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</si>
  <si>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</si>
  <si>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</si>
  <si>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</si>
  <si>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</si>
  <si>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</si>
  <si>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</si>
  <si>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</si>
  <si>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</si>
  <si>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</si>
  <si>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</si>
  <si>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</si>
  <si>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</si>
  <si>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</si>
  <si>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</si>
  <si>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</si>
  <si>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</si>
  <si>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</si>
  <si>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</si>
  <si>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</si>
  <si>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</si>
  <si>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</si>
  <si>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</si>
  <si>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</si>
  <si>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</si>
  <si>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</si>
  <si>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</si>
  <si>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</si>
  <si>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</si>
  <si>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</si>
  <si>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</si>
  <si>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</si>
  <si>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</si>
  <si>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</si>
  <si>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</si>
  <si>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</si>
  <si>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</si>
  <si>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</si>
  <si>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</si>
  <si>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</si>
  <si>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</si>
  <si>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</si>
  <si>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</si>
  <si>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</si>
  <si>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</si>
  <si>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</si>
  <si>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</si>
  <si>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</si>
  <si>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</si>
  <si>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</si>
  <si>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</si>
  <si>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</si>
  <si>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</si>
  <si>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</si>
  <si>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</si>
  <si>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</si>
  <si>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</si>
  <si>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</si>
  <si>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</si>
  <si>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</si>
  <si>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</si>
  <si>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</si>
  <si>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</si>
  <si>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</si>
  <si>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</si>
  <si>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</si>
  <si>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</si>
  <si>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</si>
  <si>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</si>
  <si>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</si>
  <si>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</si>
  <si>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</si>
  <si>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</si>
  <si>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</si>
  <si>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</si>
  <si>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</si>
  <si>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</si>
  <si>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</si>
  <si>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</si>
  <si>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</si>
  <si>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</si>
  <si>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</si>
  <si>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</si>
  <si>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</si>
  <si>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</si>
  <si>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</si>
  <si>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</si>
  <si>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</si>
  <si>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</si>
  <si>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</si>
  <si>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</si>
  <si>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</si>
  <si>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</si>
  <si>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</si>
  <si>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</si>
  <si>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</si>
  <si>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</si>
  <si>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</si>
  <si>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</si>
  <si>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</si>
  <si>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</si>
  <si>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</si>
  <si>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</si>
  <si>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</si>
  <si>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</si>
  <si>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</si>
  <si>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</si>
  <si>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</si>
  <si>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</si>
  <si>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</si>
  <si>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</si>
  <si>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</si>
  <si>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</si>
  <si>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</si>
  <si>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</si>
  <si>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</si>
  <si>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</si>
  <si>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</si>
  <si>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</si>
  <si>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</si>
  <si>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</si>
  <si>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</si>
  <si>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</si>
  <si>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</si>
  <si>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</si>
  <si>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</si>
  <si>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</si>
  <si>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</si>
  <si>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</si>
  <si>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</si>
  <si>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</si>
  <si>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</si>
  <si>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</si>
  <si>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</si>
  <si>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</si>
  <si>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</si>
  <si>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</si>
  <si>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</si>
  <si>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</si>
  <si>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</si>
  <si>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</si>
  <si>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</si>
  <si>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</si>
  <si>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</si>
  <si>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</si>
  <si>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</si>
  <si>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</si>
  <si>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</si>
  <si>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</si>
  <si>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</si>
  <si>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</si>
  <si>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</si>
  <si>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</si>
  <si>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</si>
  <si>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</si>
  <si>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</si>
  <si>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</si>
  <si>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</si>
  <si>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</si>
  <si>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</si>
  <si>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</si>
  <si>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</si>
  <si>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</si>
  <si>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</si>
  <si>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</si>
  <si>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</si>
  <si>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</si>
  <si>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</si>
  <si>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</si>
  <si>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</si>
  <si>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</si>
  <si>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</si>
  <si>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</si>
  <si>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</si>
  <si>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</si>
  <si>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</si>
  <si>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</si>
  <si>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</si>
  <si>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</si>
  <si>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</si>
  <si>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</si>
  <si>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</si>
  <si>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</si>
  <si>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</si>
  <si>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</si>
  <si>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</si>
  <si>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</si>
  <si>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</si>
  <si>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</si>
  <si>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</si>
  <si>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</si>
  <si>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</si>
  <si>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</si>
  <si>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</si>
  <si>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</si>
  <si>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</si>
  <si>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</si>
  <si>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</si>
  <si>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</si>
  <si>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</si>
  <si>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</si>
  <si>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</si>
  <si>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</si>
  <si>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</si>
  <si>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</si>
  <si>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</si>
  <si>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</si>
  <si>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</si>
  <si>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</si>
  <si>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</si>
  <si>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</si>
  <si>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</si>
  <si>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</si>
  <si>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</si>
  <si>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</si>
  <si>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</si>
  <si>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</si>
  <si>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</si>
  <si>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</si>
  <si>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</si>
  <si>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</si>
  <si>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</si>
  <si>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</si>
  <si>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</si>
  <si>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</si>
  <si>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</si>
  <si>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</si>
  <si>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</si>
  <si>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</si>
  <si>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</si>
  <si>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</si>
  <si>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</si>
  <si>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</si>
  <si>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</si>
  <si>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</si>
  <si>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</si>
  <si>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</si>
  <si>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</si>
  <si>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</si>
  <si>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</si>
  <si>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</si>
  <si>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</si>
  <si>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</si>
  <si>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</si>
  <si>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</si>
  <si>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</si>
  <si>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</si>
  <si>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</si>
  <si>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</si>
  <si>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</si>
  <si>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</si>
  <si>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</si>
  <si>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</si>
  <si>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</si>
  <si>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</si>
  <si>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</si>
  <si>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</si>
  <si>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</si>
  <si>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</si>
  <si>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</si>
  <si>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</si>
  <si>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</si>
  <si>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</si>
  <si>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</si>
  <si>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</si>
  <si>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</si>
  <si>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</si>
  <si>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</si>
  <si>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</si>
  <si>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</si>
  <si>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</si>
  <si>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</si>
  <si>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</si>
  <si>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</si>
  <si>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</si>
  <si>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</si>
  <si>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</si>
  <si>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</si>
  <si>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</si>
  <si>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</si>
  <si>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</si>
  <si>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</si>
  <si>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</si>
  <si>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</si>
  <si>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</si>
  <si>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</si>
  <si>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</si>
  <si>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</si>
  <si>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</si>
  <si>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</si>
  <si>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</si>
  <si>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</si>
  <si>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</si>
  <si>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</si>
  <si>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</si>
  <si>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</si>
  <si>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</si>
  <si>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</si>
  <si>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</si>
  <si>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</si>
  <si>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</si>
  <si>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</si>
  <si>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</si>
  <si>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</si>
  <si>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</si>
  <si>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</si>
  <si>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</si>
  <si>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</si>
  <si>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</si>
  <si>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</si>
  <si>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</si>
  <si>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</si>
  <si>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</si>
  <si>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</si>
  <si>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</si>
  <si>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</si>
  <si>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</si>
  <si>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</si>
  <si>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</si>
  <si>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</si>
  <si>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</si>
  <si>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</si>
  <si>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</si>
  <si>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</si>
  <si>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</si>
  <si>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</si>
  <si>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</si>
  <si>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</si>
  <si>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</si>
  <si>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</si>
  <si>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</si>
  <si>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</si>
  <si>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</si>
  <si>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</si>
  <si>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</si>
  <si>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</si>
  <si>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</si>
  <si>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</si>
  <si>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</si>
  <si>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</si>
  <si>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</si>
  <si>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</si>
  <si>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</si>
  <si>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</si>
  <si>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</si>
  <si>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</si>
  <si>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</si>
  <si>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</si>
  <si>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</si>
  <si>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</si>
  <si>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</si>
  <si>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</si>
  <si>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</si>
  <si>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</si>
  <si>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</si>
  <si>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</si>
  <si>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</si>
  <si>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</si>
  <si>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</si>
  <si>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</si>
  <si>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</si>
  <si>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</si>
  <si>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</si>
  <si>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</si>
  <si>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</si>
  <si>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</si>
  <si>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</si>
  <si>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</si>
  <si>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</si>
  <si>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</si>
  <si>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</si>
  <si>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</si>
  <si>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</si>
  <si>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</si>
  <si>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</si>
  <si>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</si>
  <si>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</si>
  <si>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</si>
  <si>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</si>
  <si>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</si>
  <si>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</si>
  <si>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</si>
  <si>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</si>
  <si>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</si>
  <si>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</si>
  <si>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</si>
  <si>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</si>
  <si>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</si>
  <si>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</si>
  <si>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</si>
  <si>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</si>
  <si>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</si>
  <si>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</si>
  <si>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</si>
  <si>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</si>
  <si>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</si>
  <si>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</si>
  <si>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</si>
  <si>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</si>
  <si>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</si>
  <si>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</si>
  <si>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</si>
  <si>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</si>
  <si>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</si>
  <si>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</si>
  <si>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</si>
  <si>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</si>
  <si>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</si>
  <si>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</si>
  <si>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</si>
  <si>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</si>
  <si>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</si>
  <si>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</si>
  <si>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</si>
  <si>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</si>
  <si>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</si>
  <si>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</si>
  <si>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</si>
  <si>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</si>
  <si>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</si>
  <si>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</si>
  <si>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</si>
  <si>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</si>
  <si>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</si>
  <si>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</si>
  <si>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</si>
  <si>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</si>
  <si>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</si>
  <si>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</si>
  <si>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</si>
  <si>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</si>
  <si>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</si>
  <si>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</si>
  <si>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</si>
  <si>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</si>
  <si>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</si>
  <si>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</si>
  <si>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</si>
  <si>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</si>
  <si>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</si>
  <si>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</si>
  <si>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</si>
  <si>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</si>
  <si>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</si>
  <si>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</si>
  <si>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</si>
  <si>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</si>
  <si>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</si>
  <si>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</si>
  <si>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</si>
  <si>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</si>
  <si>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</si>
  <si>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</si>
  <si>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</si>
  <si>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</si>
  <si>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</si>
  <si>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</si>
  <si>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</si>
  <si>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</si>
  <si>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</si>
  <si>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</si>
  <si>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</si>
  <si>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</si>
  <si>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</si>
  <si>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</si>
  <si>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</si>
  <si>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</si>
  <si>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</si>
  <si>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</si>
  <si>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</si>
  <si>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</si>
  <si>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</si>
  <si>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</si>
  <si>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</si>
  <si>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</si>
  <si>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</si>
  <si>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</si>
  <si>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</si>
  <si>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</si>
  <si>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</si>
  <si>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</si>
  <si>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</si>
  <si>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</si>
  <si>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</si>
  <si>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</si>
  <si>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</si>
  <si>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</si>
  <si>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</si>
  <si>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</si>
  <si>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</si>
  <si>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</si>
  <si>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</si>
  <si>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</si>
  <si>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</si>
  <si>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</si>
  <si>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</si>
  <si>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</si>
  <si>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</si>
  <si>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</si>
  <si>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</si>
  <si>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</si>
  <si>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</si>
  <si>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</si>
  <si>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</si>
  <si>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</si>
  <si>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</si>
  <si>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</si>
  <si>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</si>
  <si>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</si>
  <si>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</si>
  <si>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</si>
  <si>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</si>
  <si>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</si>
  <si>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</si>
  <si>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</si>
  <si>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</si>
  <si>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</si>
  <si>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</si>
  <si>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</si>
  <si>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</si>
  <si>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</si>
  <si>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</si>
  <si>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</si>
  <si>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N/A</t>
  </si>
  <si>
    <t>Will Lincoln run? 815-478-3799</t>
  </si>
  <si>
    <t>YES</t>
  </si>
  <si>
    <t>NO</t>
  </si>
  <si>
    <t>Time on</t>
  </si>
  <si>
    <t>Will Elwood run? 815-423-9973</t>
  </si>
  <si>
    <t xml:space="preserve">  TONIGHT  MOSTLY  CLOUDY WITH T-STORMS  LIKELY.    WIND S 10 MPH.</t>
  </si>
  <si>
    <t xml:space="preserve">   PARTLY  SUNNY  WITH 50%  CHANCE  SHOWERS  AND T-STORMS.  </t>
  </si>
  <si>
    <t xml:space="preserve">   PARTLY   CLOUDY  WITH A CHANCE  OF T-STORMS  LATE.</t>
  </si>
  <si>
    <t xml:space="preserve">   PARTLY   CLOUDY  WITH A CHANCE  OF T-STORMS.</t>
  </si>
  <si>
    <t xml:space="preserve">   INCREASING  CLOUDINESS   WIND  S 10  TO  15  MPH.</t>
  </si>
  <si>
    <t xml:space="preserve">   PARTLY   CLOUDY.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</si>
</sst>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A547D1F-0C0C-03DE-2581-0AA2FAEA8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04D288A-757C-8E81-22F2-A491A591C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4DA212C-601A-E403-7870-E6CE85BF0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271FBFA-8F99-5594-A288-0A9751465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381CDF7-1623-216F-43D9-57C0040F8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26B8CFA-0ED7-A1CA-6288-2E2A8A19A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75A92C7-D626-5BA4-3442-9D777F8B2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A8F24EA-2B48-6008-BE73-7913D7E86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51CB321-67D0-2D81-6135-F50BA012D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F23F555-80C5-1311-1E22-A289B33BE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5888D95-89E2-332E-382F-00DE1E696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BE0A2B7-F055-FEBD-720A-94CCDEEDA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8775C9F-5D6A-39F7-AD54-5C555AE3E4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11D6911E-5D6E-1517-5A2A-6ED75984E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D9B6872-AAA9-E93E-8C9F-4FD3C44A4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3721327D-BA7E-8CB5-C523-F46FAC6C1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CB028C3-7C5B-CC7F-3164-38A3B20D3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95EC03EB-B48B-5A4E-DB73-0C2F89264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6ECEEC1-134A-7407-40EC-2F7E71D41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EA6056B-5908-4690-B796-8597E32B25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8E3DB276-8A5C-1E05-4FE8-AB7812AA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97450EE4-4F39-796C-27F0-4BFE3DC31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09CB35D-5E8A-7D00-1871-4759879C2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3763F26C-D134-533A-B3C8-0D68C9B04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96F7ED57-5E59-9946-5EC8-1D4046F6F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B400E50-259C-3F3F-6CE4-1C7C5949E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C18FED33-73D4-CE30-6A3F-7E2FB848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AB63B34A-2CA1-96E2-7E11-93D800721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29E592A-241A-345B-32C3-75654D3C9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36B96237-6D99-1C15-C1C9-56FB3B52B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D477DCC0-9601-4498-96C0-23E52D9C4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8D2FD77E-333B-E384-E170-96F59A4AE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3C97997B-DEF5-C527-D6EA-7E5A427E1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F00C1D6F-E671-BA7F-5EC4-C53CE8061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65FED691-EA60-9B9F-854C-6743F923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CAB2CCE5-AC10-107B-AB15-15A476E4A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0D158062-0C18-3577-77CA-B0742F2B0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CDD7249-112D-0582-241B-0F80D2A0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959433E4-5719-B7DC-7285-16075F0A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1F770FF1-D0C3-137F-114C-8BBBAF7B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0476E781-B90D-A84B-4F06-0553FCF23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C7079447-FDBC-8C86-5B6B-45F58C6CB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4781DB96-6097-B6FF-7DCD-44ACFB24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A0C60594-79F8-BCE2-346B-FA64E0A8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19" name="Day_1">
          <a:extLst>
            <a:ext uri="{FF2B5EF4-FFF2-40B4-BE49-F238E27FC236}">
              <a16:creationId xmlns:a16="http://schemas.microsoft.com/office/drawing/2014/main" id="{FF0CA501-9043-FFBA-6F33-25684128B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20" name="Day_2">
          <a:extLst>
            <a:ext uri="{FF2B5EF4-FFF2-40B4-BE49-F238E27FC236}">
              <a16:creationId xmlns:a16="http://schemas.microsoft.com/office/drawing/2014/main" id="{7808B49B-13D2-C5FB-CEA1-DCE3A9AEC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21" name="Day_3">
          <a:extLst>
            <a:ext uri="{FF2B5EF4-FFF2-40B4-BE49-F238E27FC236}">
              <a16:creationId xmlns:a16="http://schemas.microsoft.com/office/drawing/2014/main" id="{67403DA9-5643-9B07-7A29-2EBF41E5E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22" name="Day_4">
          <a:extLst>
            <a:ext uri="{FF2B5EF4-FFF2-40B4-BE49-F238E27FC236}">
              <a16:creationId xmlns:a16="http://schemas.microsoft.com/office/drawing/2014/main" id="{509034F4-476F-DDF5-E3E9-06930A521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23" name="Day_5">
          <a:extLst>
            <a:ext uri="{FF2B5EF4-FFF2-40B4-BE49-F238E27FC236}">
              <a16:creationId xmlns:a16="http://schemas.microsoft.com/office/drawing/2014/main" id="{D850359E-A54B-E811-3B5F-3F80CE61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24" name="Day_6">
          <a:extLst>
            <a:ext uri="{FF2B5EF4-FFF2-40B4-BE49-F238E27FC236}">
              <a16:creationId xmlns:a16="http://schemas.microsoft.com/office/drawing/2014/main" id="{000AFE91-E3C7-6842-084E-A4B8F99F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BBF6AF1-1E18-2656-352F-5D548E2A24A4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5EDB2C5C-2D85-05A6-7B1A-152145D1DE1B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767C4AB-367F-F169-F511-09308FE53E80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B5681F4A-B8FE-8D16-7E95-AC9772E6719C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53FBA301-82DE-ECE6-9CEE-8A7171628872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C838043-B5E5-7152-8362-9313AADEFCF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012D8E2F-FD2E-FE2B-C54D-554C3F568F53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CE24CE4-824F-2420-1B8B-439DA7A0E487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9C4CD62F-2B23-9A45-D94F-E438D2049C06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C89FE69D-F053-6907-9A78-336F8DA05E8B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31B34248-D447-025A-7EAE-59AF1DEB9B5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A52FAED3-27E1-7632-928D-2CDA60404EA8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F9C53180-2040-6508-6C03-68F3E26DAF62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9A7294F3-FCA4-0525-88EA-2E8D476FBFD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6501F6E7-4901-6362-27D6-62D4BD6163AE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C81709BF-B1BF-9CB2-A7F4-DFBBC2EE86E5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8CF4F50A-D53F-D96C-7EE1-A900EE680BA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25EB690F-624A-681F-FDDE-265EE331B3C6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4B91DFF7-831F-908B-9777-5B7F37360FAD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A90B217C-EF2D-E9AF-309D-91686799C3E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3CEE785-E687-948E-B047-705B91EBC56F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0A6EE5D5-E09E-BE55-D7E8-F39FE39AF0AF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35949DB6-21E8-99A2-880C-9BEB42F6BA9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2E8DE4A-B128-4374-C529-32EB3FDC2790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9B9BB98E-8EE0-7374-1D35-69E470B1CE70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851BDDFD-C09C-9443-9895-FBC7D8C20AC7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3FA81B28-AC73-05E2-C5DF-25ADCEF58075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7F377704-2F84-FF2E-581E-A60EF73CBC0D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62CE75A5-7238-A025-9B2E-7729EB619C70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BC4FD85F-EEDA-D62E-8CB3-171F4D540834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D865C04E-AED1-12E4-5B8B-714231042470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9CF7DBC2-A2B2-79B8-A533-EB0AFF196CB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0E58D30D-FBB0-BED1-4994-F20F29F00DF0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71EBB613-752A-75B6-0295-08C9BDC200A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5882D0E-5029-88A4-429D-C834E6F1E2D4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9E736E2-D4A7-7316-C6D5-1BE212F5C7A5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D02E531A-218D-550D-F5CA-1660E1004764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0F3533EE-25D9-839F-35B5-B9A1939A0A88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2E49578D-5253-28A5-B18D-122C2947F90B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948B57F4-A471-D449-8902-C08C694A783B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1A5665EA-4821-A630-39DB-33E115EBA1B6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12D94475-266B-9DD2-C121-C8391D8CD1B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08D04888-D4AA-06F4-5C4A-B71EC7B28650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1D630D41-DAE7-5B7E-6B96-AC111A892F1C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39D5F82-7840-5658-99F5-068424A3062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91521059-D7C4-D409-FE77-C415D127B7EE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95390F50-F539-F32A-E95B-7F33B4BA283B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FFA2CB27-AF5C-E539-EA90-B20BB2ECDC1B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48B84E85-D366-CB53-3FC1-6B79A1E2BFF0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08ACB519-CF9A-0C1B-E287-5836C117E549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E441D4F9-8048-1E4A-7AB2-092A2871D8C2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C1F2943-F9B5-82CF-B459-16E1840D0217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885C5B17-0DFD-A7D0-94D3-0C7F4D498493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F06614A8-1535-3187-6F03-4F44BBF63D61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64E48B0A-FF43-2048-38D6-F25F50227A06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5C74FCC0-452F-80BE-D254-38DC62009F75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D9DFC118-EC87-347C-9602-EFE96C4D3E53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45FD3763-87E7-AE73-6196-E0A9AE75D2C4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7C1F4DBB-C0A5-FAA1-61F0-4DC7722AE029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2F066825-6DF4-42ED-E29E-1350E3816349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E142B103-5FD3-B865-B7E0-DDFDB63DE55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644BCB33-B48F-055E-E06F-861B7D6DCB5E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259AE29-B199-125C-B051-7EA821994E2C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08B42288-39EC-5CAE-0719-3B5BA1699CF4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A4302325-17B4-367E-05F3-F0C4B46EAFB5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01C8FAA-084D-B4A4-8C85-B4E1E80C0633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1AA398FF-E040-E015-49A4-59120E6DC6BF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45153211-C7A5-7DBD-8A64-848F8DA9B709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36C8FAD3-241A-9878-9E5B-BB2D963C3567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7688597E-1E78-5A02-1268-92BB6D52890D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4F2B4E88-9F33-5CB0-663E-0FB710E0B94E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DDB9A042-DC12-6ABE-069D-CEC747735A02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EE45B6AF-EBCB-B4FE-3E76-8C95D96882E2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818C4EED-48AE-9118-4AF7-A7B92236ED53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2FCFFF0E-AB01-6586-2BCD-D37AADE3492E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16FD99C7-BA7E-8D6E-49B2-F0E0367810F4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5BE1874-4D98-141C-FADF-CB74CE3671B4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569B7BA6-38AC-2880-B61A-151C0452ABDA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14EAE871-A35C-9DD7-BF13-D40353A2887D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23628312-B27C-13AE-2395-46983DF5AF32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EABF2A61-6CFE-1FB9-060A-459952B22363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3A3C7C6-9EFF-D260-7695-ED6AE975305D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B3666B21-135E-F6FF-06BA-B162CDCA34C7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7A4149F1-8144-8BAB-A98A-4B982B03D2E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6391905-FC60-1DA9-D8F1-F0C6B45EAC45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B42305C2-49DF-33DA-235F-85560CD686CB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9C856966-8CD9-9DD4-E85E-D96D8754082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968ADEF-A490-F803-A71A-BD2EDFF90C37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5D59C918-DD16-763B-CE4F-83CE8B23F7A2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672E39D-1293-135C-71B6-DE9F7BAFAA30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E949F18B-EE63-3BC8-3080-1D6551EF95FB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5440DF62-9B92-E5B8-4AA0-5B22CA153019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EB6D997-F3B6-DD90-6989-9B50FBA6F696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EC1D0FBF-26DB-56E9-EED8-1C78D13F245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F5DF1D42-0DAE-275C-94EE-EAD7AB07A12B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28EFFDB9-9ECC-D8BD-4E76-BC00EDF0DAAE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876E1505-83DE-CDE4-0AD9-F53327CAC5D6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5157745-2276-5B10-D4BE-BB8CC9E278F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C74B3C72-723B-0D19-71D9-DC4473EA93C8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91B9BC0A-2434-1C67-7F92-F2D60AE349F1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8568237-76A2-7033-7561-5555F1CF2EC7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E40BD72-411F-924A-307A-8EF9EACD118F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D2A9D8B5-BBAD-14B2-ABEA-63F35356BE05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A3621CC6-78BF-ED68-A6AF-863349CB940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F39640F8-D5D2-20A0-BCF0-2E0C24F09C8D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D4143CF7-6E6E-439B-9929-71D56111E3E6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595A9F10-57AC-E485-6960-ED0738D4E8CB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41167A2-F3A3-E8DF-6329-F7CFA3094675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EDB7C76E-634C-BE33-D2F8-AE0A8665048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CD6A0127-74AB-47B6-F2FC-17B5AC133F8C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5739CFB0-0499-6C08-ED70-F82ADAF26ECC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F8AECB37-FA49-A160-8796-A821EACC421C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F2BEB66A-6996-63F3-4634-62CED150C358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E3822217-FEE6-AC51-B1F7-BFA95F785762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65017819-23C3-C5AA-7925-1A06F1EC35D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86302221-EC1E-BC8F-E397-1BEBAB49D901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8EC439D-FD93-0193-E425-C8D107F10D7F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FE51AC8A-026B-65A8-11B2-BE3216619E0C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9D2999A0-229F-60BC-ECD4-A0A99725C57B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9B1C1005-68C9-1E2B-069C-13E24AA6FD0B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0DDD13C8-29A3-9026-1FE9-A4B9882918CF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76A1335F-FD01-E3F6-9522-044EC7104BF1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3B65A951-5C81-0786-FA82-247E32A1EFF8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264DF519-908A-E0D9-CB58-AF4AEECAC65F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674807F7-4F42-FCF7-73A1-CD97EC182E44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167E63DB-412F-A85D-B791-7D5FEBC09327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57E7E910-BB27-A261-BA1C-C5D7FF9698C7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097A821F-2DDF-D865-165E-36E5309E4FC6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D799C1C2-E689-5E99-1F87-9CF972C55384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D1CD7E3B-1237-305C-E9C1-56C4B9F90ED9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9</v>
      </c>
      <c r="B1" s="777"/>
    </row>
    <row r="2" spans="1:88">
      <c r="A2" s="1005" t="s">
        <v>9</v>
      </c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TUE</v>
      </c>
      <c r="I1" s="844">
        <f>D4</f>
        <v>37124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37124</v>
      </c>
      <c r="E4" s="812">
        <f>Weather_Input!A6</f>
        <v>37125</v>
      </c>
      <c r="F4" s="812">
        <f>Weather_Input!A7</f>
        <v>37126</v>
      </c>
      <c r="G4" s="812">
        <f>Weather_Input!A8</f>
        <v>37127</v>
      </c>
      <c r="H4" s="812">
        <f>Weather_Input!A9</f>
        <v>37128</v>
      </c>
      <c r="I4" s="813">
        <f>Weather_Input!A10</f>
        <v>37129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81/67/74</v>
      </c>
      <c r="E5" s="845" t="str">
        <f>TEXT(Weather_Input!B6,"0")&amp;"/"&amp;TEXT(Weather_Input!C6,"0") &amp; "/" &amp; TEXT((Weather_Input!B6+Weather_Input!C6)/2,"0")</f>
        <v>86/66/76</v>
      </c>
      <c r="F5" s="845" t="str">
        <f>TEXT(Weather_Input!B7,"0")&amp;"/"&amp;TEXT(Weather_Input!C7,"0") &amp; "/" &amp; TEXT((Weather_Input!B7+Weather_Input!C7)/2,"0")</f>
        <v>82/64/73</v>
      </c>
      <c r="G5" s="845" t="str">
        <f>TEXT(Weather_Input!B8,"0")&amp;"/"&amp;TEXT(Weather_Input!C8,"0") &amp; "/" &amp; TEXT((Weather_Input!B8+Weather_Input!C8)/2,"0")</f>
        <v>84/68/76</v>
      </c>
      <c r="H5" s="845" t="str">
        <f>TEXT(Weather_Input!B9,"0")&amp;"/"&amp;TEXT(Weather_Input!C9,"0") &amp; "/" &amp; TEXT((Weather_Input!B9+Weather_Input!C9)/2,"0")</f>
        <v>89/63/76</v>
      </c>
      <c r="I5" s="846" t="str">
        <f>TEXT(Weather_Input!B10,"0")&amp;"/"&amp;TEXT(Weather_Input!C10,"0") &amp; "/" &amp; TEXT((Weather_Input!B10+Weather_Input!C10)/2,"0")</f>
        <v>89/63/76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33.5</v>
      </c>
      <c r="E6" s="815">
        <f ca="1">VLOOKUP(E4,NSG_Sendouts,CELL("Col",NSG_Deliveries!C6),FALSE)/1000</f>
        <v>33.5</v>
      </c>
      <c r="F6" s="815">
        <f ca="1">VLOOKUP(F4,NSG_Sendouts,CELL("Col",NSG_Deliveries!C7),FALSE)/1000</f>
        <v>33.5</v>
      </c>
      <c r="G6" s="815">
        <f ca="1">VLOOKUP(G4,NSG_Sendouts,CELL("Col",NSG_Deliveries!C8),FALSE)/1000</f>
        <v>32</v>
      </c>
      <c r="H6" s="815">
        <f ca="1">VLOOKUP(H4,NSG_Sendouts,CELL("Col",NSG_Deliveries!C9),FALSE)/1000</f>
        <v>30</v>
      </c>
      <c r="I6" s="820">
        <f ca="1">VLOOKUP(I4,NSG_Sendouts,CELL("Col",NSG_Deliveries!C10),FALSE)/1000</f>
        <v>32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40.5</v>
      </c>
      <c r="E11" s="824">
        <f t="shared" ca="1" si="1"/>
        <v>40.5</v>
      </c>
      <c r="F11" s="824">
        <f t="shared" ca="1" si="1"/>
        <v>40.5</v>
      </c>
      <c r="G11" s="824">
        <f t="shared" ca="1" si="1"/>
        <v>39</v>
      </c>
      <c r="H11" s="824">
        <f t="shared" ca="1" si="1"/>
        <v>37</v>
      </c>
      <c r="I11" s="825">
        <f t="shared" ca="1" si="1"/>
        <v>39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8.7899999999999991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24.715</v>
      </c>
      <c r="E19" s="815">
        <f>NSG_Supplies!Q8/1000</f>
        <v>33.234999999999999</v>
      </c>
      <c r="F19" s="815">
        <f>NSG_Supplies!Q9/1000</f>
        <v>33.234999999999999</v>
      </c>
      <c r="G19" s="815">
        <f>NSG_Supplies!Q10/1000</f>
        <v>33.234999999999999</v>
      </c>
      <c r="H19" s="815">
        <f>NSG_Supplies!Q11/1000</f>
        <v>33.234999999999999</v>
      </c>
      <c r="I19" s="816">
        <f>NSG_Supplies!Q12/1000</f>
        <v>33.234999999999999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40.504999999999995</v>
      </c>
      <c r="E21" s="1200">
        <f t="shared" si="2"/>
        <v>40.234999999999999</v>
      </c>
      <c r="F21" s="1200">
        <f t="shared" si="2"/>
        <v>40.234999999999999</v>
      </c>
      <c r="G21" s="1200">
        <f t="shared" si="2"/>
        <v>40.234999999999999</v>
      </c>
      <c r="H21" s="1200">
        <f t="shared" si="2"/>
        <v>40.234999999999999</v>
      </c>
      <c r="I21" s="1201">
        <f t="shared" si="2"/>
        <v>40.234999999999999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4.9999999999954525E-3</v>
      </c>
      <c r="E22" s="856">
        <f t="shared" ca="1" si="3"/>
        <v>0</v>
      </c>
      <c r="F22" s="856">
        <f t="shared" ca="1" si="3"/>
        <v>0</v>
      </c>
      <c r="G22" s="856">
        <f t="shared" ca="1" si="3"/>
        <v>1.2349999999999994</v>
      </c>
      <c r="H22" s="856">
        <f t="shared" ca="1" si="3"/>
        <v>3.2349999999999994</v>
      </c>
      <c r="I22" s="857">
        <f t="shared" ca="1" si="3"/>
        <v>1.2349999999999994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0.26500000000000057</v>
      </c>
      <c r="F23" s="840">
        <f t="shared" ca="1" si="4"/>
        <v>0.26500000000000057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14.725</v>
      </c>
      <c r="E24" s="1058">
        <f>NSG_Supplies!R8/1000</f>
        <v>14.744999999999999</v>
      </c>
      <c r="F24" s="1058">
        <f>NSG_Supplies!R9/1000</f>
        <v>14.744999999999999</v>
      </c>
      <c r="G24" s="1058">
        <f>NSG_Supplies!R10/1000</f>
        <v>14.744999999999999</v>
      </c>
      <c r="H24" s="1058">
        <f>NSG_Supplies!R11/1000</f>
        <v>14.744999999999999</v>
      </c>
      <c r="I24" s="1059">
        <f>NSG_Supplies!R12/1000</f>
        <v>14.744999999999999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10</v>
      </c>
      <c r="E26" s="863">
        <f>Weather_Input!D6</f>
        <v>10</v>
      </c>
      <c r="F26" s="863">
        <f>Weather_Input!D7</f>
        <v>10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3" zoomScale="75" workbookViewId="0">
      <selection activeCell="M36" sqref="M36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37124</v>
      </c>
      <c r="N1" s="1175" t="str">
        <f>CHOOSE(WEEKDAY(M1),"SUN","MON","TUE","WED","THU","FRI","SAT")</f>
        <v>TUE</v>
      </c>
      <c r="O1" s="576"/>
    </row>
    <row r="2" spans="1:17">
      <c r="A2" s="416" t="s">
        <v>659</v>
      </c>
      <c r="B2" s="315">
        <f>PGL_Supplies!W7/1000</f>
        <v>0.1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81</v>
      </c>
      <c r="K3" s="918">
        <f>Weather_Input!C5</f>
        <v>67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 t="s">
        <v>9</v>
      </c>
      <c r="K4" s="1213">
        <v>74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86.087000000000003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195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86.186999999999998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25.417999999999999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86.186999999999998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25.417999999999999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-144.65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145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241.93199999999999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0.65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-11.3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2.1749999999999998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-144.65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175.16899999999998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19.831000000000017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15">
        <f>PGL_Supplies!C7/1000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2.1749999999999998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22.006000000000018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16.86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-38.869999999999997</v>
      </c>
      <c r="L30" s="1119"/>
      <c r="M30" s="1023">
        <f>-PGL_Supplies!AB7/1000</f>
        <v>-38.869999999999997</v>
      </c>
      <c r="N30" s="1120"/>
      <c r="O30" s="1179">
        <f>-PGL_Supplies!AB7/1000</f>
        <v>-38.869999999999997</v>
      </c>
    </row>
    <row r="31" spans="1:15" ht="16.5" thickBot="1">
      <c r="A31" s="361" t="s">
        <v>449</v>
      </c>
      <c r="B31" s="938">
        <f>PGL_Supplies!D7/1000</f>
        <v>0.2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236.732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241.93199999999999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241.93199999999999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241.93199999999999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TUE</v>
      </c>
      <c r="G1" s="1181">
        <f>Weather_Input!A5</f>
        <v>37124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74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81</v>
      </c>
      <c r="C4" s="737">
        <f>Weather_Input!C5</f>
        <v>67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33.5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33.5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33.5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-8.7899999999999991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-24.715</v>
      </c>
      <c r="D25" s="697"/>
      <c r="E25" s="690">
        <f>-NSG_Supplies!Q7/1000</f>
        <v>-24.715</v>
      </c>
      <c r="F25" s="697"/>
      <c r="G25" s="690">
        <f>-NSG_Supplies!Q7/1000</f>
        <v>-24.715</v>
      </c>
      <c r="H25" s="696"/>
      <c r="I25" s="753">
        <f>-NSG_Supplies!Q7/1000</f>
        <v>-24.715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37124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81</v>
      </c>
      <c r="C5" s="257">
        <f>Weather_Input!C5</f>
        <v>67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195</v>
      </c>
      <c r="C8" s="265">
        <f>NSG_Deliveries!C5/1000</f>
        <v>33.5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118.5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-58.912999999999997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11.3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33.5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2.1749999999999998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33.5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0.65</v>
      </c>
      <c r="C27" s="301">
        <f>NSG_Requirements!P7/1000</f>
        <v>0</v>
      </c>
      <c r="D27" s="301">
        <f>PGL_Requirements!Q7/1000</f>
        <v>0.65</v>
      </c>
      <c r="E27" s="301">
        <f>NSG_Requirements!P7/1000</f>
        <v>0</v>
      </c>
      <c r="F27" s="301">
        <f>PGL_Requirements!Q7/1000</f>
        <v>0.65</v>
      </c>
      <c r="G27" s="301">
        <f>NSG_Requirements!P7/1000</f>
        <v>0</v>
      </c>
      <c r="H27" s="302">
        <f>+B27</f>
        <v>0.65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-38.869999999999997</v>
      </c>
      <c r="C32" s="306">
        <f>-NSG_Supplies!Q7/1000</f>
        <v>-24.715</v>
      </c>
      <c r="D32" s="306">
        <f>B32</f>
        <v>-38.869999999999997</v>
      </c>
      <c r="E32" s="306">
        <f>C32</f>
        <v>-24.715</v>
      </c>
      <c r="F32" s="306">
        <f>B32</f>
        <v>-38.869999999999997</v>
      </c>
      <c r="G32" s="306">
        <f>C32</f>
        <v>-24.715</v>
      </c>
      <c r="H32" s="311">
        <f>B32</f>
        <v>-38.869999999999997</v>
      </c>
      <c r="I32" s="312">
        <f>C32</f>
        <v>-24.715</v>
      </c>
    </row>
    <row r="33" spans="1:9" ht="17.100000000000001" customHeight="1">
      <c r="A33" s="310" t="s">
        <v>361</v>
      </c>
      <c r="B33" s="306">
        <f>-PGL_Supplies!W7/1000</f>
        <v>-0.1</v>
      </c>
      <c r="C33" s="306">
        <f>-NSG_Supplies!R7/1000</f>
        <v>-14.725</v>
      </c>
      <c r="D33" s="306">
        <f>B33</f>
        <v>-0.1</v>
      </c>
      <c r="E33" s="306">
        <f>C33</f>
        <v>-14.725</v>
      </c>
      <c r="F33" s="306">
        <f>B33</f>
        <v>-0.1</v>
      </c>
      <c r="G33" s="306">
        <f>C33</f>
        <v>-14.725</v>
      </c>
      <c r="H33" s="311">
        <f>B33</f>
        <v>-0.1</v>
      </c>
      <c r="I33" s="312">
        <f>C33</f>
        <v>-14.725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16.86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-8.7899999999999991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145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2.1749999999999998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2.1749999999999998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118.5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118.5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25.417999999999999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86.087000000000003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145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-58.912999999999997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TUE</v>
      </c>
      <c r="H73" s="397">
        <f>Weather_Input!A5</f>
        <v>37124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118.5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86.087000000000003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11.3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-25.417999999999999</v>
      </c>
      <c r="C116" s="410">
        <f>-NSG_Supplies!V7/1000</f>
        <v>0</v>
      </c>
      <c r="D116" s="306">
        <f>-PGL_Supplies!Y7/1000</f>
        <v>-25.417999999999999</v>
      </c>
      <c r="E116" s="306">
        <f>-NSG_Supplies!V7/1000</f>
        <v>0</v>
      </c>
      <c r="F116" s="306">
        <f>-PGL_Supplies!Y7/1000</f>
        <v>-25.417999999999999</v>
      </c>
      <c r="G116" s="306">
        <f>-NSG_Supplies!V7/1000</f>
        <v>0</v>
      </c>
      <c r="H116" s="311">
        <f>-PGL_Supplies!Y7/1000</f>
        <v>-25.417999999999999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-0.1</v>
      </c>
      <c r="C123" s="306">
        <f>-NSG_Supplies!R7/1000</f>
        <v>-14.725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25.417999999999999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16.86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25.417999999999999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118.5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118.5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145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2.1749999999999998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86.087000000000003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86.087000000000003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37125.146626388887</v>
      </c>
      <c r="F22" s="161" t="s">
        <v>256</v>
      </c>
      <c r="G22" s="186">
        <f ca="1">NOW()</f>
        <v>37125.146626388887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37124</v>
      </c>
      <c r="C5" s="15"/>
      <c r="D5" s="22" t="s">
        <v>274</v>
      </c>
      <c r="E5" s="23">
        <f>Weather_Input!B5</f>
        <v>81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67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74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INCREASING  CLOUDINESS   WIND  S 10  TO  15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 MOSTLY  CLOUDY WITH T-STORMS  LIKELY.    WIND S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37125</v>
      </c>
      <c r="C10" s="15"/>
      <c r="D10" s="150" t="s">
        <v>274</v>
      </c>
      <c r="E10" s="23">
        <f>Weather_Input!B6</f>
        <v>86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66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76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   PARTLY  SUNNY  WITH 50%  CHANCE  SHOWERS  AND T-STORMS.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37126</v>
      </c>
      <c r="C15" s="15"/>
      <c r="D15" s="22" t="s">
        <v>274</v>
      </c>
      <c r="E15" s="23">
        <f>Weather_Input!B7</f>
        <v>82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64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73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 CLOUDY  WITH A CHANCE  OF T-STORMS  LATE.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37127</v>
      </c>
      <c r="C20" s="15"/>
      <c r="D20" s="22" t="s">
        <v>274</v>
      </c>
      <c r="E20" s="23">
        <f>Weather_Input!B8</f>
        <v>84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161</v>
      </c>
      <c r="E21" s="23">
        <f>Weather_Input!C8</f>
        <v>68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-1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76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-1</v>
      </c>
    </row>
    <row r="23" spans="1:109" ht="15">
      <c r="A23" s="18"/>
      <c r="B23" s="21"/>
      <c r="C23" s="15"/>
      <c r="D23" s="32" t="str">
        <f>IF(Weather_Input!I8=""," ",Weather_Input!I8)</f>
        <v xml:space="preserve">   PARTLY   CLOUDY  WITH A CHANCE  OF T-STORMS.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37128</v>
      </c>
      <c r="C25" s="15"/>
      <c r="D25" s="22" t="s">
        <v>274</v>
      </c>
      <c r="E25" s="23">
        <f>Weather_Input!B9</f>
        <v>89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161</v>
      </c>
      <c r="E26" s="23">
        <f>Weather_Input!C9</f>
        <v>63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-2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76</v>
      </c>
      <c r="F27" s="24" t="s">
        <v>280</v>
      </c>
      <c r="G27" s="25">
        <f>IF(AND(DAY(B25)=1,MONTH(B25)=8),G25,G22+G25)</f>
        <v>0</v>
      </c>
      <c r="H27" s="26" t="s">
        <v>280</v>
      </c>
      <c r="I27" s="27">
        <f ca="1">G27-(VLOOKUP(B25,DD_Normal_Data,CELL("Col",D24),FALSE))</f>
        <v>-2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 CLOUDY.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37129</v>
      </c>
      <c r="C30" s="15"/>
      <c r="D30" s="22" t="s">
        <v>274</v>
      </c>
      <c r="E30" s="23">
        <f>Weather_Input!B10</f>
        <v>89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161</v>
      </c>
      <c r="E31" s="23">
        <f>Weather_Input!C10</f>
        <v>63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-3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76</v>
      </c>
      <c r="F32" s="24" t="s">
        <v>280</v>
      </c>
      <c r="G32" s="25">
        <f>IF(AND(DAY(B30)=1,MONTH(B30)=8),G30,G27+G30)</f>
        <v>0</v>
      </c>
      <c r="H32" s="26" t="s">
        <v>280</v>
      </c>
      <c r="I32" s="27">
        <f ca="1">G32-(VLOOKUP(B30,DD_Normal_Data,CELL("Col",D29),FALSE))</f>
        <v>-3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 CLOUDY.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37124</v>
      </c>
      <c r="C36" s="89">
        <f>B10</f>
        <v>37125</v>
      </c>
      <c r="D36" s="89">
        <f>B15</f>
        <v>37126</v>
      </c>
      <c r="E36" s="89">
        <f xml:space="preserve">       B20</f>
        <v>37127</v>
      </c>
      <c r="F36" s="89">
        <f>B25</f>
        <v>37128</v>
      </c>
      <c r="G36" s="89">
        <f>B30</f>
        <v>37129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195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165</v>
      </c>
      <c r="G37" s="41">
        <f ca="1">(VLOOKUP(G36,PGL_Sendouts,(CELL("COL",PGL_Deliveries!C10))))/1000</f>
        <v>180</v>
      </c>
      <c r="H37" s="14"/>
      <c r="I37" s="15"/>
    </row>
    <row r="38" spans="1:9" ht="15">
      <c r="A38" s="15" t="s">
        <v>285</v>
      </c>
      <c r="B38" s="41">
        <f>PGL_6_Day_Report!D25</f>
        <v>401.43100000000004</v>
      </c>
      <c r="C38" s="41">
        <f>PGL_6_Day_Report!E25</f>
        <v>363.346</v>
      </c>
      <c r="D38" s="41">
        <f>PGL_6_Day_Report!F25</f>
        <v>353.346</v>
      </c>
      <c r="E38" s="41">
        <f>PGL_6_Day_Report!G25</f>
        <v>338.346</v>
      </c>
      <c r="F38" s="41">
        <f>PGL_6_Day_Report!H25</f>
        <v>323.346</v>
      </c>
      <c r="G38" s="41">
        <f>PGL_6_Day_Report!I25</f>
        <v>338.346</v>
      </c>
      <c r="H38" s="14"/>
      <c r="I38" s="15"/>
    </row>
    <row r="39" spans="1:9" ht="15">
      <c r="A39" s="42" t="s">
        <v>103</v>
      </c>
      <c r="B39" s="41">
        <f>SUM(PGL_Supplies!Y7:AD7)/1000</f>
        <v>306.048</v>
      </c>
      <c r="C39" s="41">
        <f>SUM(PGL_Supplies!Y8:AD8)/1000</f>
        <v>267.25299999999999</v>
      </c>
      <c r="D39" s="41">
        <f>SUM(PGL_Supplies!Y9:AD9)/1000</f>
        <v>267.25299999999999</v>
      </c>
      <c r="E39" s="41">
        <f>SUM(PGL_Supplies!Y10:AD10)/1000</f>
        <v>267.25299999999999</v>
      </c>
      <c r="F39" s="41">
        <f>SUM(PGL_Supplies!Y11:AD11)/1000</f>
        <v>267.25299999999999</v>
      </c>
      <c r="G39" s="41">
        <f>SUM(PGL_Supplies!Y12:AD12)/1000</f>
        <v>267.25299999999999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26.068000000000001</v>
      </c>
      <c r="C41" s="41">
        <f>SUM(PGL_Requirements!Q7:T7)/1000</f>
        <v>26.068000000000001</v>
      </c>
      <c r="D41" s="41">
        <f>SUM(PGL_Requirements!Q7:T7)/1000</f>
        <v>26.068000000000001</v>
      </c>
      <c r="E41" s="41">
        <f>SUM(PGL_Requirements!Q7:T7)/1000</f>
        <v>26.068000000000001</v>
      </c>
      <c r="F41" s="41">
        <f>SUM(PGL_Requirements!Q7:T7)/1000</f>
        <v>26.068000000000001</v>
      </c>
      <c r="G41" s="41">
        <f>SUM(PGL_Requirements!Q7:T7)/1000</f>
        <v>26.068000000000001</v>
      </c>
      <c r="H41" s="14"/>
      <c r="I41" s="15"/>
    </row>
    <row r="42" spans="1:9" ht="15">
      <c r="A42" s="15" t="s">
        <v>126</v>
      </c>
      <c r="B42" s="41">
        <f>PGL_Supplies!U7/1000</f>
        <v>118.5</v>
      </c>
      <c r="C42" s="41">
        <f>PGL_Supplies!U8/1000</f>
        <v>119.18</v>
      </c>
      <c r="D42" s="41">
        <f>PGL_Supplies!U9/1000</f>
        <v>119.18</v>
      </c>
      <c r="E42" s="41">
        <f>PGL_Supplies!U10/1000</f>
        <v>119.18</v>
      </c>
      <c r="F42" s="41">
        <f>PGL_Supplies!U11/1000</f>
        <v>119.18</v>
      </c>
      <c r="G42" s="41">
        <f>PGL_Supplies!U12/1000</f>
        <v>119.18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37124</v>
      </c>
      <c r="C44" s="89">
        <f t="shared" si="0"/>
        <v>37125</v>
      </c>
      <c r="D44" s="89">
        <f t="shared" si="0"/>
        <v>37126</v>
      </c>
      <c r="E44" s="89">
        <f t="shared" si="0"/>
        <v>37127</v>
      </c>
      <c r="F44" s="89">
        <f t="shared" si="0"/>
        <v>37128</v>
      </c>
      <c r="G44" s="89">
        <f t="shared" si="0"/>
        <v>37129</v>
      </c>
      <c r="H44" s="14"/>
      <c r="I44" s="15"/>
    </row>
    <row r="45" spans="1:9" ht="15">
      <c r="A45" s="15" t="s">
        <v>54</v>
      </c>
      <c r="B45" s="41">
        <f ca="1">NSG_6_Day_Report!D6</f>
        <v>33.5</v>
      </c>
      <c r="C45" s="41">
        <f ca="1">NSG_6_Day_Report!E6</f>
        <v>33.5</v>
      </c>
      <c r="D45" s="41">
        <f ca="1">NSG_6_Day_Report!F6</f>
        <v>33.5</v>
      </c>
      <c r="E45" s="41">
        <f ca="1">NSG_6_Day_Report!G6</f>
        <v>32</v>
      </c>
      <c r="F45" s="41">
        <f ca="1">NSG_6_Day_Report!H6</f>
        <v>30</v>
      </c>
      <c r="G45" s="41">
        <f ca="1">NSG_6_Day_Report!I6</f>
        <v>32</v>
      </c>
      <c r="H45" s="14"/>
      <c r="I45" s="15"/>
    </row>
    <row r="46" spans="1:9" ht="15">
      <c r="A46" s="42" t="s">
        <v>285</v>
      </c>
      <c r="B46" s="41">
        <f ca="1">NSG_6_Day_Report!D11</f>
        <v>40.5</v>
      </c>
      <c r="C46" s="41">
        <f ca="1">NSG_6_Day_Report!E11</f>
        <v>40.5</v>
      </c>
      <c r="D46" s="41">
        <f ca="1">NSG_6_Day_Report!F11</f>
        <v>40.5</v>
      </c>
      <c r="E46" s="41">
        <f ca="1">NSG_6_Day_Report!G11</f>
        <v>39</v>
      </c>
      <c r="F46" s="41">
        <f ca="1">NSG_6_Day_Report!H11</f>
        <v>37</v>
      </c>
      <c r="G46" s="41">
        <f ca="1">NSG_6_Day_Report!I11</f>
        <v>39</v>
      </c>
      <c r="H46" s="14"/>
      <c r="I46" s="15"/>
    </row>
    <row r="47" spans="1:9" ht="15">
      <c r="A47" s="42" t="s">
        <v>103</v>
      </c>
      <c r="B47" s="41">
        <f>SUM(NSG_Supplies!O7:Q7)/1000</f>
        <v>31.715</v>
      </c>
      <c r="C47" s="41">
        <f>SUM(NSG_Supplies!O8:Q8)/1000</f>
        <v>40.234999999999999</v>
      </c>
      <c r="D47" s="41">
        <f>SUM(NSG_Supplies!O9:Q9)/1000</f>
        <v>40.234999999999999</v>
      </c>
      <c r="E47" s="41">
        <f>SUM(NSG_Supplies!O10:Q10)/1000</f>
        <v>40.234999999999999</v>
      </c>
      <c r="F47" s="41">
        <f>SUM(NSG_Supplies!O11:Q11)/1000</f>
        <v>40.234999999999999</v>
      </c>
      <c r="G47" s="41">
        <f>SUM(NSG_Supplies!O12:Q12)/1000</f>
        <v>40.234999999999999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14.725</v>
      </c>
      <c r="C50" s="41">
        <f>NSG_Supplies!R8/1000</f>
        <v>14.744999999999999</v>
      </c>
      <c r="D50" s="41">
        <f>NSG_Supplies!R9/1000</f>
        <v>14.744999999999999</v>
      </c>
      <c r="E50" s="41">
        <f>NSG_Supplies!R10/1000</f>
        <v>14.744999999999999</v>
      </c>
      <c r="F50" s="41">
        <f>NSG_Supplies!R11/1000</f>
        <v>14.744999999999999</v>
      </c>
      <c r="G50" s="41">
        <f>NSG_Supplies!R12/1000</f>
        <v>14.744999999999999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37124</v>
      </c>
      <c r="C52" s="89">
        <f t="shared" si="1"/>
        <v>37125</v>
      </c>
      <c r="D52" s="89">
        <f t="shared" si="1"/>
        <v>37126</v>
      </c>
      <c r="E52" s="89">
        <f t="shared" si="1"/>
        <v>37127</v>
      </c>
      <c r="F52" s="89">
        <f t="shared" si="1"/>
        <v>37128</v>
      </c>
      <c r="G52" s="89">
        <f t="shared" si="1"/>
        <v>37129</v>
      </c>
      <c r="H52" s="14"/>
      <c r="I52" s="15"/>
    </row>
    <row r="53" spans="1:9" ht="15">
      <c r="A53" s="92" t="s">
        <v>289</v>
      </c>
      <c r="B53" s="41">
        <f>PGL_Requirements!O7/1000</f>
        <v>145</v>
      </c>
      <c r="C53" s="41">
        <f>PGL_Requirements!O8/1000</f>
        <v>150</v>
      </c>
      <c r="D53" s="41">
        <f>PGL_Requirements!O9/1000</f>
        <v>150</v>
      </c>
      <c r="E53" s="41">
        <f>PGL_Requirements!O10/1000</f>
        <v>150</v>
      </c>
      <c r="F53" s="41">
        <f>PGL_Requirements!O11/1000</f>
        <v>150</v>
      </c>
      <c r="G53" s="41">
        <f>PGL_Requirements!O12/1000</f>
        <v>150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Wednesday</v>
      </c>
      <c r="C4" s="1028" t="str">
        <f>Six_Day_Summary!A15</f>
        <v>Thursday</v>
      </c>
      <c r="D4" s="1028" t="str">
        <f>Six_Day_Summary!A20</f>
        <v>Friday</v>
      </c>
      <c r="E4" s="1028" t="str">
        <f>Six_Day_Summary!A25</f>
        <v>Saturday</v>
      </c>
      <c r="F4" s="1029" t="str">
        <f>Six_Day_Summary!A30</f>
        <v>Sunday</v>
      </c>
      <c r="G4" s="98"/>
    </row>
    <row r="5" spans="1:8">
      <c r="A5" s="101" t="s">
        <v>296</v>
      </c>
      <c r="B5" s="1030">
        <f>Weather_Input!A6</f>
        <v>37125</v>
      </c>
      <c r="C5" s="1031">
        <f>Weather_Input!A7</f>
        <v>37126</v>
      </c>
      <c r="D5" s="1031">
        <f>Weather_Input!A8</f>
        <v>37127</v>
      </c>
      <c r="E5" s="1031">
        <f>Weather_Input!A9</f>
        <v>37128</v>
      </c>
      <c r="F5" s="1032">
        <f>Weather_Input!A10</f>
        <v>37129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38.18</v>
      </c>
      <c r="C6" s="1033">
        <f>PGL_Supplies!AB9/1000+PGL_Supplies!K9/1000-PGL_Requirements!N9/1000+C15-PGL_Requirements!S9/1000</f>
        <v>38.18</v>
      </c>
      <c r="D6" s="1033">
        <f>PGL_Supplies!AB10/1000+PGL_Supplies!K10/1000-PGL_Requirements!N10/1000+D15-PGL_Requirements!S10/1000</f>
        <v>38.18</v>
      </c>
      <c r="E6" s="1033">
        <f>PGL_Supplies!AB11/1000+PGL_Supplies!K11/1000-PGL_Requirements!N11/1000+E15-PGL_Requirements!S11/1000</f>
        <v>38.18</v>
      </c>
      <c r="F6" s="1034">
        <f>PGL_Supplies!AB12/1000+PGL_Supplies!K12/1000-PGL_Requirements!N12/1000+F15-PGL_Requirements!S12/1000</f>
        <v>38.18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Wednesday</v>
      </c>
      <c r="C21" s="1043" t="str">
        <f t="shared" si="0"/>
        <v>Thursday</v>
      </c>
      <c r="D21" s="1043" t="str">
        <f t="shared" si="0"/>
        <v>Friday</v>
      </c>
      <c r="E21" s="1043" t="str">
        <f t="shared" si="0"/>
        <v>Saturday</v>
      </c>
      <c r="F21" s="1044" t="str">
        <f t="shared" si="0"/>
        <v>Sunday</v>
      </c>
      <c r="G21" s="98"/>
    </row>
    <row r="22" spans="1:7">
      <c r="A22" s="105" t="s">
        <v>296</v>
      </c>
      <c r="B22" s="1045">
        <f t="shared" si="0"/>
        <v>37125</v>
      </c>
      <c r="C22" s="1045">
        <f t="shared" si="0"/>
        <v>37126</v>
      </c>
      <c r="D22" s="1045">
        <f t="shared" si="0"/>
        <v>37127</v>
      </c>
      <c r="E22" s="1045">
        <f t="shared" si="0"/>
        <v>37128</v>
      </c>
      <c r="F22" s="1046">
        <f t="shared" si="0"/>
        <v>37129</v>
      </c>
      <c r="G22" s="98"/>
    </row>
    <row r="23" spans="1:7">
      <c r="A23" s="98" t="s">
        <v>297</v>
      </c>
      <c r="B23" s="1039">
        <f>NSG_Supplies!Q8/1000+NSG_Supplies!F8/1000-NSG_Requirements!H8/1000</f>
        <v>33.234999999999999</v>
      </c>
      <c r="C23" s="1039">
        <f>NSG_Supplies!Q9/1000+NSG_Supplies!F9/1000-NSG_Requirements!H9/1000</f>
        <v>33.234999999999999</v>
      </c>
      <c r="D23" s="1039">
        <f>NSG_Supplies!Q10/1000+NSG_Supplies!F10/1000-NSG_Requirements!H10/1000</f>
        <v>33.234999999999999</v>
      </c>
      <c r="E23" s="1039">
        <f>NSG_Supplies!Q12/1000+NSG_Supplies!F11/1000-NSG_Requirements!H11/1000</f>
        <v>33.234999999999999</v>
      </c>
      <c r="F23" s="1034">
        <f>NSG_Supplies!Q12/1000+NSG_Supplies!F12/1000-NSG_Requirements!H12/1000</f>
        <v>33.234999999999999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37125</v>
      </c>
      <c r="D1" s="1229" t="s">
        <v>764</v>
      </c>
      <c r="E1" s="1230"/>
      <c r="F1" s="1231"/>
      <c r="G1" s="421"/>
      <c r="H1" s="421"/>
      <c r="I1" s="984"/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7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7</v>
      </c>
      <c r="E4" s="1237"/>
      <c r="F4" s="169" t="s">
        <v>768</v>
      </c>
      <c r="G4" s="60"/>
      <c r="H4" s="151">
        <f>PGL_Requirements!O8/1000</f>
        <v>150</v>
      </c>
      <c r="I4" s="173">
        <f>AVERAGE(H4/1.025)</f>
        <v>146.34146341463415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0</v>
      </c>
      <c r="D5" s="427"/>
      <c r="E5" s="1240">
        <f>AVERAGE(C5/24)</f>
        <v>0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6.25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198.62700000000001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85.9</v>
      </c>
      <c r="D11" s="764"/>
      <c r="E11" s="1248"/>
      <c r="F11" s="1249" t="s">
        <v>778</v>
      </c>
      <c r="G11" s="1250">
        <f>G8+G10</f>
        <v>203.62700000000001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85.9</v>
      </c>
      <c r="D14" s="427"/>
      <c r="E14" s="1240">
        <f>AVERAGE(C14/24)</f>
        <v>3.5791666666666671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25.417999999999999</v>
      </c>
      <c r="D15" s="60"/>
      <c r="E15" s="158"/>
      <c r="F15" s="1252" t="s">
        <v>785</v>
      </c>
      <c r="G15" s="1250">
        <f>SUM(G11)-G16-G17-H13</f>
        <v>183.62700000000001</v>
      </c>
      <c r="H15" s="427" t="s">
        <v>9</v>
      </c>
      <c r="I15" s="1240">
        <f>AVERAGE(G15/24)</f>
        <v>7.6511250000000004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0.41799999999999998</v>
      </c>
      <c r="E16" s="158"/>
      <c r="F16" s="1252" t="s">
        <v>786</v>
      </c>
      <c r="G16" s="1239">
        <f>PGL_Requirements!G8/1000</f>
        <v>20</v>
      </c>
      <c r="H16" s="1239" t="s">
        <v>9</v>
      </c>
      <c r="I16" s="1240">
        <f>AVERAGE(G16/24)</f>
        <v>0.83333333333333337</v>
      </c>
    </row>
    <row r="17" spans="1:9" ht="15.75" customHeight="1" thickTop="1" thickBot="1">
      <c r="B17" s="1249" t="s">
        <v>778</v>
      </c>
      <c r="C17" s="1250">
        <f>SUM(C15:C16)-SUM(D15:D16)</f>
        <v>25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25</v>
      </c>
      <c r="D20" s="1260" t="s">
        <v>9</v>
      </c>
      <c r="E20" s="1240">
        <f>AVERAGE(C20/24)</f>
        <v>1.0416666666666667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37125</v>
      </c>
      <c r="I1" s="887"/>
      <c r="J1" s="889"/>
      <c r="K1" s="889"/>
    </row>
    <row r="2" spans="1:22" ht="16.5" customHeight="1">
      <c r="A2" s="907" t="s">
        <v>606</v>
      </c>
      <c r="C2" s="953">
        <v>338</v>
      </c>
      <c r="F2" s="954">
        <v>338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33.234999999999999</v>
      </c>
      <c r="I9" s="958"/>
      <c r="K9" s="887" t="s">
        <v>610</v>
      </c>
      <c r="L9" s="909">
        <f>NSG_Deliveries!C6/1000</f>
        <v>33.5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25</v>
      </c>
      <c r="B11" s="958"/>
      <c r="H11" s="909">
        <f>NSG_Supplies!T8/1000</f>
        <v>0</v>
      </c>
      <c r="K11" s="890" t="s">
        <v>611</v>
      </c>
      <c r="L11" s="915">
        <f>SUM(K4+K17+K19+H11+H9-L9)</f>
        <v>-0.26500000000000057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85.9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340</v>
      </c>
      <c r="D15" s="952">
        <v>410</v>
      </c>
      <c r="F15" s="959">
        <v>340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578</v>
      </c>
      <c r="D18" s="961"/>
      <c r="E18" s="961"/>
      <c r="F18" s="954">
        <v>795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183.62700000000001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195</v>
      </c>
      <c r="L26" s="887" t="s">
        <v>610</v>
      </c>
      <c r="M26" s="909">
        <f>NSG_Deliveries!C6/1000</f>
        <v>33.5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128.52700000000004</v>
      </c>
      <c r="L28" s="890" t="s">
        <v>650</v>
      </c>
      <c r="M28" s="915">
        <f>SUM(J2+K17+K19+H11+H9-M26)</f>
        <v>6.7349999999999994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37124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38.18</v>
      </c>
    </row>
    <row r="30" spans="1:17" ht="10.5" customHeight="1">
      <c r="A30" s="892"/>
      <c r="B30" s="909"/>
      <c r="C30" s="890"/>
      <c r="D30" s="909"/>
      <c r="F30" s="1006">
        <f>PGL_Requirements!A8</f>
        <v>37125</v>
      </c>
      <c r="G30" s="909">
        <f>PGL_Requirements!G8/1000</f>
        <v>20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-28.29299999999995</v>
      </c>
    </row>
    <row r="32" spans="1:17">
      <c r="A32" s="909">
        <f>PGL_Supplies!G8/1000</f>
        <v>1</v>
      </c>
      <c r="G32" s="909">
        <f>PGL_Requirements!O8/1000</f>
        <v>150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580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298.52700000000004</v>
      </c>
      <c r="B40" s="903"/>
      <c r="C40" s="902"/>
      <c r="D40" s="903"/>
      <c r="E40" s="903"/>
      <c r="F40" s="969"/>
      <c r="G40" s="969">
        <f>SUM(G30:G35)</f>
        <v>170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128.52700000000004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339</v>
      </c>
      <c r="E45" s="974"/>
      <c r="F45" s="975">
        <v>6.7000000000000004E-2</v>
      </c>
      <c r="G45" s="976">
        <f>(C45-D45)*F45</f>
        <v>4.7570000000000006</v>
      </c>
      <c r="H45" s="976">
        <f>(D45-B45)*F45</f>
        <v>5.9630000000000001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339</v>
      </c>
      <c r="E47" s="974"/>
      <c r="F47" s="975">
        <v>0.14099999999999999</v>
      </c>
      <c r="G47" s="976">
        <f>(C47-D47)*F47</f>
        <v>10.010999999999999</v>
      </c>
      <c r="H47" s="976">
        <f>(D47-B47)*F47</f>
        <v>12.548999999999999</v>
      </c>
      <c r="I47" s="909"/>
    </row>
    <row r="48" spans="1:11">
      <c r="A48" s="889" t="s">
        <v>593</v>
      </c>
      <c r="B48" s="978">
        <v>285</v>
      </c>
      <c r="C48" s="972">
        <v>750</v>
      </c>
      <c r="D48" s="973">
        <f>SUM(C18+C38)/2</f>
        <v>579</v>
      </c>
      <c r="E48" s="974"/>
      <c r="F48" s="975">
        <v>0.161</v>
      </c>
      <c r="G48" s="976">
        <f>(C48-D48)*F48</f>
        <v>27.531000000000002</v>
      </c>
      <c r="H48" s="976">
        <f>(D48-B48)*F48</f>
        <v>47.334000000000003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42.299000000000007</v>
      </c>
      <c r="H49" s="976">
        <f>SUM(H45:H48)</f>
        <v>65.846000000000004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37124</v>
      </c>
      <c r="B5" s="11">
        <v>81</v>
      </c>
      <c r="C5" s="49">
        <v>67</v>
      </c>
      <c r="D5" s="49">
        <v>10</v>
      </c>
      <c r="E5" s="11" t="s">
        <v>815</v>
      </c>
      <c r="F5" s="11">
        <v>0</v>
      </c>
      <c r="G5" s="11">
        <v>0</v>
      </c>
      <c r="H5" s="11">
        <v>0</v>
      </c>
      <c r="I5" s="867" t="s">
        <v>825</v>
      </c>
      <c r="J5" s="867" t="s">
        <v>821</v>
      </c>
      <c r="K5" s="11">
        <v>3</v>
      </c>
      <c r="L5" s="11">
        <v>1</v>
      </c>
      <c r="N5" s="15" t="str">
        <f>I5&amp;" "&amp;I5</f>
        <v xml:space="preserve">   INCREASING  CLOUDINESS   WIND  S 10  TO  15  MPH.    INCREASING  CLOUDINESS   WIND  S 10  TO  15  MPH.</v>
      </c>
      <c r="AE5" s="15">
        <v>1</v>
      </c>
      <c r="AH5" s="15" t="s">
        <v>32</v>
      </c>
    </row>
    <row r="6" spans="1:34" ht="16.5" customHeight="1">
      <c r="A6" s="86">
        <f>A5+1</f>
        <v>37125</v>
      </c>
      <c r="B6" s="11">
        <v>86</v>
      </c>
      <c r="C6" s="49">
        <v>66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157</v>
      </c>
      <c r="K6" s="11">
        <v>2</v>
      </c>
      <c r="L6" s="11" t="s">
        <v>558</v>
      </c>
      <c r="N6" s="15" t="str">
        <f>I6&amp;" "&amp;J6</f>
        <v xml:space="preserve">   PARTLY  SUNNY  WITH 50%  CHANCE  SHOWERS  AND T-STORMS.     </v>
      </c>
      <c r="AE6" s="15">
        <v>1</v>
      </c>
      <c r="AH6" s="15" t="s">
        <v>33</v>
      </c>
    </row>
    <row r="7" spans="1:34" ht="16.5" customHeight="1">
      <c r="A7" s="86">
        <f>A6+1</f>
        <v>37126</v>
      </c>
      <c r="B7" s="11">
        <v>82</v>
      </c>
      <c r="C7" s="49">
        <v>64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157</v>
      </c>
      <c r="K7" s="11">
        <v>3</v>
      </c>
      <c r="L7" s="11" t="s">
        <v>20</v>
      </c>
      <c r="N7" s="15" t="str">
        <f>I7&amp;" "&amp;J7</f>
        <v xml:space="preserve">   PARTLY   CLOUDY  WITH A CHANCE  OF T-STORMS  LATE.   </v>
      </c>
    </row>
    <row r="8" spans="1:34" ht="16.5" customHeight="1">
      <c r="A8" s="86">
        <f>A7+1</f>
        <v>37127</v>
      </c>
      <c r="B8" s="11">
        <v>84</v>
      </c>
      <c r="C8" s="49">
        <v>68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157</v>
      </c>
      <c r="K8" s="11">
        <v>3</v>
      </c>
      <c r="L8" s="11"/>
      <c r="N8" s="15" t="str">
        <f>I8&amp;" "&amp;J8</f>
        <v xml:space="preserve">   PARTLY   CLOUDY  WITH A CHANCE  OF T-STORMS.   </v>
      </c>
    </row>
    <row r="9" spans="1:34" ht="16.5" customHeight="1">
      <c r="A9" s="86">
        <f>A8+1</f>
        <v>37128</v>
      </c>
      <c r="B9" s="11">
        <v>89</v>
      </c>
      <c r="C9" s="49">
        <v>63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6</v>
      </c>
      <c r="L9" s="11">
        <v>0</v>
      </c>
      <c r="M9" s="87"/>
      <c r="N9" s="15" t="str">
        <f>I9&amp;" "&amp;J9</f>
        <v xml:space="preserve">   PARTLY   CLOUDY.   </v>
      </c>
    </row>
    <row r="10" spans="1:34" ht="16.5" customHeight="1">
      <c r="A10" s="86">
        <f>A9+1</f>
        <v>37129</v>
      </c>
      <c r="B10" s="11">
        <v>89</v>
      </c>
      <c r="C10" s="49">
        <v>63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826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 PARTLY   CLOUDY. 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5.0830000000000002</v>
      </c>
      <c r="C2" s="60"/>
      <c r="D2" s="118" t="s">
        <v>309</v>
      </c>
      <c r="E2" s="417">
        <f>Weather_Input!A5</f>
        <v>37124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86.251999999999995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4.5529999999999999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0.53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204.78299999999999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-148.94200000000001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11.436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4.3159999999999998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126.34099999999995</v>
      </c>
      <c r="C21" s="1268"/>
      <c r="D21" s="175" t="s">
        <v>530</v>
      </c>
      <c r="E21" s="174">
        <f>SUM(E7:E20)</f>
        <v>5.0830000000000002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86.087000000000003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0.1</v>
      </c>
      <c r="C23" s="63"/>
      <c r="D23" s="115" t="s">
        <v>174</v>
      </c>
      <c r="E23" s="151">
        <f>PGL_Deliveries!AY5/1000+B44</f>
        <v>2.2306500000000002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7.3136500000000009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86.186999999999998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25.417999999999999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25.417999999999999</v>
      </c>
      <c r="D27" s="242" t="s">
        <v>538</v>
      </c>
      <c r="E27" s="60" t="s">
        <v>9</v>
      </c>
      <c r="F27" s="173">
        <f>PGL_Deliveries!AS5/1000</f>
        <v>25.396999999999998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38.869999999999997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13.472999999999999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236.732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145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4.3159999999999998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81</v>
      </c>
      <c r="F45" s="1116"/>
    </row>
    <row r="46" spans="1:13" ht="15">
      <c r="A46" s="169" t="s">
        <v>548</v>
      </c>
      <c r="B46" s="151">
        <f>PGL_Deliveries!AY5/1000</f>
        <v>2.2306500000000002</v>
      </c>
      <c r="C46" s="63"/>
      <c r="D46" s="169" t="s">
        <v>550</v>
      </c>
      <c r="E46" s="230">
        <f>Weather_Input!C5</f>
        <v>67</v>
      </c>
      <c r="F46" s="158"/>
    </row>
    <row r="47" spans="1:13" ht="15">
      <c r="A47" s="172" t="s">
        <v>655</v>
      </c>
      <c r="B47" s="67"/>
      <c r="C47" s="1202">
        <f>PGL_Requirements!Q7/1000</f>
        <v>0.65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10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37124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24.715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5.9029999999999996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30.617999999999999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241.93199999999999</v>
      </c>
      <c r="E5" s="1263">
        <f>SUM(PGL_Nine_to_Nine!F24)*2</f>
        <v>0</v>
      </c>
      <c r="G5" s="1263">
        <f>SUM(C5-E5)</f>
        <v>241.93199999999999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37124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37123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91228</v>
      </c>
      <c r="O6" s="199">
        <v>0</v>
      </c>
      <c r="P6" s="199">
        <v>54687799</v>
      </c>
      <c r="Q6" s="199">
        <v>15045098</v>
      </c>
      <c r="R6" s="199">
        <v>39642701</v>
      </c>
      <c r="S6" s="199">
        <v>0</v>
      </c>
    </row>
    <row r="7" spans="1:19">
      <c r="A7" s="4">
        <f>B1</f>
        <v>37124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91115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54778914</v>
      </c>
      <c r="Q7">
        <f>IF(O7&gt;0,Q6+O7,Q6)</f>
        <v>15045098</v>
      </c>
      <c r="R7">
        <f>IF(P7&gt;Q7,P7-Q7,0)</f>
        <v>39733816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37124</v>
      </c>
      <c r="B5" s="1">
        <f>(Weather_Input!B5+Weather_Input!C5)/2</f>
        <v>74</v>
      </c>
      <c r="C5" s="868">
        <v>195000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530</v>
      </c>
      <c r="T5" s="874">
        <v>4553</v>
      </c>
      <c r="U5" s="1047">
        <v>0</v>
      </c>
      <c r="V5" s="868">
        <f>SUM(D5:T5)-U5</f>
        <v>5083</v>
      </c>
      <c r="W5" s="868">
        <v>86252</v>
      </c>
      <c r="X5" s="11">
        <v>0</v>
      </c>
      <c r="Y5" s="11">
        <v>0</v>
      </c>
      <c r="Z5" s="11">
        <v>0</v>
      </c>
      <c r="AA5" s="11">
        <v>204783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1010</v>
      </c>
      <c r="AP5" s="1"/>
      <c r="AQ5" s="1">
        <v>11436</v>
      </c>
      <c r="AR5" s="1">
        <v>0</v>
      </c>
      <c r="AS5" s="1">
        <v>25397</v>
      </c>
      <c r="AT5" s="1">
        <v>0</v>
      </c>
      <c r="AU5" s="1">
        <v>0</v>
      </c>
      <c r="AV5" s="1">
        <v>418</v>
      </c>
      <c r="AW5" s="1">
        <v>148710</v>
      </c>
      <c r="AX5" s="1">
        <v>650</v>
      </c>
      <c r="AY5" s="610">
        <f>AW5*0.015</f>
        <v>2230.65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4316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37125</v>
      </c>
      <c r="B6" s="886">
        <f>(Weather_Input!B6+Weather_Input!C6)/2</f>
        <v>76</v>
      </c>
      <c r="C6" s="868">
        <v>195000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37126</v>
      </c>
      <c r="B7" s="886">
        <f>(Weather_Input!B7+Weather_Input!C7)/2</f>
        <v>73</v>
      </c>
      <c r="C7" s="868">
        <v>195000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37127</v>
      </c>
      <c r="B8" s="886">
        <f>(Weather_Input!B8+Weather_Input!C8)/2</f>
        <v>76</v>
      </c>
      <c r="C8" s="868">
        <v>180000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37128</v>
      </c>
      <c r="B9" s="886">
        <f>(Weather_Input!B9+Weather_Input!C9)/2</f>
        <v>76</v>
      </c>
      <c r="C9" s="868">
        <v>165000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37129</v>
      </c>
      <c r="B10" s="886">
        <f>(Weather_Input!B10+Weather_Input!C10)/2</f>
        <v>76</v>
      </c>
      <c r="C10" s="868">
        <v>180000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37124</v>
      </c>
      <c r="B5" s="1">
        <f>(Weather_Input!B5+Weather_Input!C5)/2</f>
        <v>74</v>
      </c>
      <c r="C5" s="868">
        <v>33500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1002</v>
      </c>
      <c r="J5" s="1" t="s">
        <v>9</v>
      </c>
      <c r="K5" s="1">
        <v>0</v>
      </c>
      <c r="L5" s="1">
        <v>5903</v>
      </c>
      <c r="M5" s="1">
        <v>7000</v>
      </c>
      <c r="N5" s="1">
        <v>0</v>
      </c>
    </row>
    <row r="6" spans="1:14">
      <c r="A6" s="12">
        <f>A5+1</f>
        <v>37125</v>
      </c>
      <c r="B6" s="886">
        <f>(Weather_Input!B6+Weather_Input!C6)/2</f>
        <v>76</v>
      </c>
      <c r="C6" s="868">
        <v>33500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37126</v>
      </c>
      <c r="B7" s="886">
        <f>(Weather_Input!B7+Weather_Input!C7)/2</f>
        <v>73</v>
      </c>
      <c r="C7" s="868">
        <v>33500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37127</v>
      </c>
      <c r="B8" s="886">
        <f>(Weather_Input!B8+Weather_Input!C8)/2</f>
        <v>76</v>
      </c>
      <c r="C8" s="868">
        <v>32000</v>
      </c>
      <c r="D8" s="871" t="s">
        <v>9</v>
      </c>
      <c r="E8" s="871"/>
      <c r="F8" s="871"/>
      <c r="G8" s="871"/>
      <c r="H8" s="15"/>
    </row>
    <row r="9" spans="1:14">
      <c r="A9" s="12">
        <f>A8+1</f>
        <v>37128</v>
      </c>
      <c r="B9" s="886">
        <f>(Weather_Input!B9+Weather_Input!C9)/2</f>
        <v>76</v>
      </c>
      <c r="C9" s="868">
        <v>30000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37129</v>
      </c>
      <c r="B10" s="886">
        <f>(Weather_Input!B10+Weather_Input!C10)/2</f>
        <v>76</v>
      </c>
      <c r="C10" s="868">
        <v>32000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2.75">
      <c r="A7" s="798">
        <f>Weather_Input!A5</f>
        <v>37124</v>
      </c>
      <c r="B7" s="877">
        <v>0</v>
      </c>
      <c r="C7" s="608">
        <v>0</v>
      </c>
      <c r="D7" s="608">
        <v>0</v>
      </c>
      <c r="E7" s="877">
        <v>5028</v>
      </c>
      <c r="F7" s="877">
        <v>11300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16860</v>
      </c>
      <c r="O7" s="608">
        <v>145000</v>
      </c>
      <c r="P7" s="610">
        <f t="shared" ref="P7:P12" si="0">O7*0.015</f>
        <v>2175</v>
      </c>
      <c r="Q7" s="608">
        <v>650</v>
      </c>
      <c r="R7" s="608">
        <v>0</v>
      </c>
      <c r="S7" s="608">
        <v>0</v>
      </c>
      <c r="T7" s="607">
        <v>25418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2.75">
      <c r="A8" s="798">
        <f>A7+1</f>
        <v>37125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20000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0</v>
      </c>
      <c r="O8" s="608">
        <v>150000</v>
      </c>
      <c r="P8" s="610">
        <f t="shared" si="0"/>
        <v>2250</v>
      </c>
      <c r="Q8" s="608">
        <v>650</v>
      </c>
      <c r="R8" s="608">
        <v>0</v>
      </c>
      <c r="S8" s="608">
        <v>0</v>
      </c>
      <c r="T8" s="607">
        <v>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2.75">
      <c r="A9" s="798">
        <f>A8+1</f>
        <v>37126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0</v>
      </c>
      <c r="O9" s="608">
        <v>150000</v>
      </c>
      <c r="P9" s="610">
        <f t="shared" si="0"/>
        <v>2250</v>
      </c>
      <c r="Q9" s="608">
        <v>650</v>
      </c>
      <c r="R9" s="608">
        <v>0</v>
      </c>
      <c r="S9" s="608">
        <v>0</v>
      </c>
      <c r="T9" s="607">
        <v>418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2.75">
      <c r="A10" s="798">
        <f>A9+1</f>
        <v>37127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150000</v>
      </c>
      <c r="P10" s="610">
        <f t="shared" si="0"/>
        <v>2250</v>
      </c>
      <c r="Q10" s="608">
        <v>650</v>
      </c>
      <c r="R10" s="608">
        <v>0</v>
      </c>
      <c r="S10" s="608">
        <v>0</v>
      </c>
      <c r="T10" s="607">
        <v>418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2.75">
      <c r="A11" s="798">
        <f>A10+1</f>
        <v>37128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150000</v>
      </c>
      <c r="P11" s="610">
        <f t="shared" si="0"/>
        <v>2250</v>
      </c>
      <c r="Q11" s="608">
        <v>650</v>
      </c>
      <c r="R11" s="608">
        <v>0</v>
      </c>
      <c r="S11" s="608">
        <v>0</v>
      </c>
      <c r="T11" s="607">
        <v>418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2.75">
      <c r="A12" s="798">
        <f>A11+1</f>
        <v>37129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150000</v>
      </c>
      <c r="P12" s="610">
        <f t="shared" si="0"/>
        <v>2250</v>
      </c>
      <c r="Q12" s="608">
        <v>650</v>
      </c>
      <c r="R12" s="608">
        <v>0</v>
      </c>
      <c r="S12" s="608">
        <v>0</v>
      </c>
      <c r="T12" s="607">
        <v>418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37124</v>
      </c>
      <c r="B7" s="610">
        <v>0</v>
      </c>
      <c r="C7" s="610">
        <v>0</v>
      </c>
      <c r="D7" s="610">
        <v>200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118500</v>
      </c>
      <c r="V7" s="609">
        <v>0</v>
      </c>
      <c r="W7" s="607">
        <v>100</v>
      </c>
      <c r="X7" s="880">
        <v>86087</v>
      </c>
      <c r="Y7" s="609">
        <v>25418</v>
      </c>
      <c r="Z7" s="1">
        <v>0</v>
      </c>
      <c r="AA7" s="607">
        <v>236732</v>
      </c>
      <c r="AB7" s="607">
        <v>38870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37125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119180</v>
      </c>
      <c r="V8" s="609">
        <v>0</v>
      </c>
      <c r="W8" s="607">
        <v>0</v>
      </c>
      <c r="X8" s="880">
        <v>85900</v>
      </c>
      <c r="Y8" s="609">
        <v>25418</v>
      </c>
      <c r="Z8" s="1">
        <v>0</v>
      </c>
      <c r="AA8" s="607">
        <v>198627</v>
      </c>
      <c r="AB8" s="607">
        <v>38180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37126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119180</v>
      </c>
      <c r="V9" s="609">
        <v>0</v>
      </c>
      <c r="W9" s="607">
        <v>0</v>
      </c>
      <c r="X9" s="880">
        <v>85900</v>
      </c>
      <c r="Y9" s="609">
        <v>25418</v>
      </c>
      <c r="Z9" s="1">
        <v>0</v>
      </c>
      <c r="AA9" s="607">
        <v>198627</v>
      </c>
      <c r="AB9" s="607">
        <v>38180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v>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119180</v>
      </c>
      <c r="V10" s="609">
        <v>0</v>
      </c>
      <c r="W10" s="607">
        <v>0</v>
      </c>
      <c r="X10" s="880">
        <v>85900</v>
      </c>
      <c r="Y10" s="609">
        <v>25418</v>
      </c>
      <c r="Z10" s="1">
        <v>0</v>
      </c>
      <c r="AA10" s="607">
        <v>198627</v>
      </c>
      <c r="AB10" s="607">
        <v>38180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119180</v>
      </c>
      <c r="V11" s="609">
        <v>0</v>
      </c>
      <c r="W11" s="607">
        <v>0</v>
      </c>
      <c r="X11" s="880">
        <v>85900</v>
      </c>
      <c r="Y11" s="609">
        <v>25418</v>
      </c>
      <c r="Z11" s="1">
        <v>0</v>
      </c>
      <c r="AA11" s="607">
        <v>198627</v>
      </c>
      <c r="AB11" s="607">
        <v>38180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119180</v>
      </c>
      <c r="V12" s="609">
        <v>0</v>
      </c>
      <c r="W12" s="607">
        <v>0</v>
      </c>
      <c r="X12" s="880">
        <v>85900</v>
      </c>
      <c r="Y12" s="609">
        <v>25418</v>
      </c>
      <c r="Z12" s="1">
        <v>0</v>
      </c>
      <c r="AA12" s="607">
        <v>198627</v>
      </c>
      <c r="AB12" s="607">
        <v>38180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37124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37124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37125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37125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37126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37126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37127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37127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37128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37128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37129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37129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37124</v>
      </c>
      <c r="B7" s="610">
        <v>0</v>
      </c>
      <c r="C7" s="611">
        <v>0</v>
      </c>
      <c r="D7" s="610">
        <v>0</v>
      </c>
      <c r="E7" s="610">
        <v>0</v>
      </c>
      <c r="F7" s="610">
        <v>8790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24715</v>
      </c>
      <c r="R7" s="610">
        <v>14725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37125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33235</v>
      </c>
      <c r="R8" s="610">
        <v>14745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37126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33235</v>
      </c>
      <c r="R9" s="610">
        <v>14745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37127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33235</v>
      </c>
      <c r="R10" s="610">
        <v>14745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37128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33235</v>
      </c>
      <c r="R11" s="610">
        <v>14745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37129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33235</v>
      </c>
      <c r="R12" s="610">
        <v>14745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32" zoomScale="75" workbookViewId="0">
      <selection activeCell="F52" sqref="F52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TUE</v>
      </c>
      <c r="I1" s="803">
        <f>D4</f>
        <v>37124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</row>
    <row r="4" spans="1:256" ht="18.95" customHeight="1" thickBot="1">
      <c r="A4" s="810"/>
      <c r="B4" s="811"/>
      <c r="C4" s="811"/>
      <c r="D4" s="449">
        <f>Weather_Input!A5</f>
        <v>37124</v>
      </c>
      <c r="E4" s="449">
        <f>Weather_Input!A6</f>
        <v>37125</v>
      </c>
      <c r="F4" s="449">
        <f>Weather_Input!A7</f>
        <v>37126</v>
      </c>
      <c r="G4" s="449">
        <f>Weather_Input!A8</f>
        <v>37127</v>
      </c>
      <c r="H4" s="449">
        <f>Weather_Input!A9</f>
        <v>37128</v>
      </c>
      <c r="I4" s="450">
        <f>Weather_Input!A10</f>
        <v>37129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81/67/74</v>
      </c>
      <c r="E5" s="451" t="str">
        <f>TEXT(Weather_Input!B6,"0")&amp;"/"&amp;TEXT(Weather_Input!C6,"0") &amp; "/" &amp; TEXT((Weather_Input!B6+Weather_Input!C6)/2,"0")</f>
        <v>86/66/76</v>
      </c>
      <c r="F5" s="451" t="str">
        <f>TEXT(Weather_Input!B7,"0")&amp;"/"&amp;TEXT(Weather_Input!C7,"0") &amp; "/" &amp; TEXT((Weather_Input!B7+Weather_Input!C7)/2,"0")</f>
        <v>82/64/73</v>
      </c>
      <c r="G5" s="451" t="str">
        <f>TEXT(Weather_Input!B8,"0")&amp;"/"&amp;TEXT(Weather_Input!C8,"0") &amp; "/" &amp; TEXT((Weather_Input!B8+Weather_Input!C8)/2,"0")</f>
        <v>84/68/76</v>
      </c>
      <c r="H5" s="451" t="str">
        <f>TEXT(Weather_Input!B9,"0")&amp;"/"&amp;TEXT(Weather_Input!C9,"0") &amp; "/" &amp; TEXT((Weather_Input!B9+Weather_Input!C9)/2,"0")</f>
        <v>89/63/76</v>
      </c>
      <c r="I5" s="452" t="str">
        <f>TEXT(Weather_Input!B10,"0")&amp;"/"&amp;TEXT(Weather_Input!C10,"0") &amp; "/" &amp; TEXT((Weather_Input!B10+Weather_Input!C10)/2,"0")</f>
        <v>89/63/76</v>
      </c>
    </row>
    <row r="6" spans="1:256" ht="18.95" customHeight="1">
      <c r="A6" s="817" t="s">
        <v>133</v>
      </c>
      <c r="B6" s="805"/>
      <c r="C6" s="805"/>
      <c r="D6" s="451">
        <f>PGL_Deliveries!C5/1000</f>
        <v>195</v>
      </c>
      <c r="E6" s="451">
        <f>PGL_Deliveries!C6/1000</f>
        <v>195</v>
      </c>
      <c r="F6" s="451">
        <f>PGL_Deliveries!C7/1000</f>
        <v>195</v>
      </c>
      <c r="G6" s="451">
        <f>PGL_Deliveries!C8/1000</f>
        <v>180</v>
      </c>
      <c r="H6" s="451">
        <f>PGL_Deliveries!C9/1000</f>
        <v>165</v>
      </c>
      <c r="I6" s="452">
        <f>PGL_Deliveries!C10/1000</f>
        <v>180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10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145</v>
      </c>
      <c r="E11" s="451">
        <f>PGL_Requirements!O8/1000</f>
        <v>150</v>
      </c>
      <c r="F11" s="451">
        <f>PGL_Requirements!O9/1000</f>
        <v>150</v>
      </c>
      <c r="G11" s="451">
        <f>PGL_Requirements!O10/1000</f>
        <v>150</v>
      </c>
      <c r="H11" s="451">
        <f>PGL_Requirements!O11/1000</f>
        <v>150</v>
      </c>
      <c r="I11" s="452">
        <f>PGL_Requirements!O12/1000</f>
        <v>150</v>
      </c>
    </row>
    <row r="12" spans="1:256" ht="18.95" customHeight="1">
      <c r="A12" s="814"/>
      <c r="B12" s="805"/>
      <c r="C12" s="805" t="s">
        <v>96</v>
      </c>
      <c r="D12" s="451">
        <f>PGL_Requirements!P7/1000</f>
        <v>2.1749999999999998</v>
      </c>
      <c r="E12" s="451">
        <f>PGL_Requirements!P8/1000</f>
        <v>2.25</v>
      </c>
      <c r="F12" s="451">
        <f>PGL_Requirements!P9/1000</f>
        <v>2.25</v>
      </c>
      <c r="G12" s="451">
        <f>PGL_Requirements!P10/1000</f>
        <v>2.25</v>
      </c>
      <c r="H12" s="451">
        <f>PGL_Requirements!P11/1000</f>
        <v>2.25</v>
      </c>
      <c r="I12" s="452">
        <f>PGL_Requirements!P12/1000</f>
        <v>2.25</v>
      </c>
    </row>
    <row r="13" spans="1:256" ht="18.95" customHeight="1">
      <c r="A13" s="814"/>
      <c r="C13" s="805" t="s">
        <v>651</v>
      </c>
      <c r="D13" s="451">
        <f>PGL_Requirements!Q7/1000</f>
        <v>0.65</v>
      </c>
      <c r="E13" s="451">
        <f>PGL_Requirements!Q8/1000</f>
        <v>0.65</v>
      </c>
      <c r="F13" s="451">
        <f>PGL_Requirements!Q9/1000</f>
        <v>0.65</v>
      </c>
      <c r="G13" s="451">
        <f>PGL_Requirements!Q10/1000</f>
        <v>0.65</v>
      </c>
      <c r="H13" s="451">
        <f>PGL_Requirements!Q11/1000</f>
        <v>0.65</v>
      </c>
      <c r="I13" s="452">
        <f>PGL_Requirements!Q12/1000</f>
        <v>0.65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25.417999999999999</v>
      </c>
      <c r="E15" s="451">
        <f>PGL_Requirements!T8/1000</f>
        <v>0.41799999999999998</v>
      </c>
      <c r="F15" s="451">
        <f>PGL_Requirements!T9/1000</f>
        <v>0.41799999999999998</v>
      </c>
      <c r="G15" s="451">
        <f>PGL_Requirements!T10/1000</f>
        <v>0.41799999999999998</v>
      </c>
      <c r="H15" s="451">
        <f>PGL_Requirements!T11/1000</f>
        <v>0.41799999999999998</v>
      </c>
      <c r="I15" s="452">
        <f>PGL_Requirements!T12/1000</f>
        <v>0.41799999999999998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16.86</v>
      </c>
      <c r="E17" s="451">
        <f>PGL_Requirements!N8/1000</f>
        <v>0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11.3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401.43100000000004</v>
      </c>
      <c r="E25" s="455">
        <f t="shared" si="1"/>
        <v>363.346</v>
      </c>
      <c r="F25" s="455">
        <f t="shared" si="1"/>
        <v>353.346</v>
      </c>
      <c r="G25" s="455">
        <f t="shared" si="1"/>
        <v>338.346</v>
      </c>
      <c r="H25" s="455">
        <f t="shared" si="1"/>
        <v>323.346</v>
      </c>
      <c r="I25" s="1060">
        <f t="shared" si="1"/>
        <v>338.346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86.087000000000003</v>
      </c>
      <c r="E37" s="451">
        <f>PGL_Supplies!X8/1000</f>
        <v>85.9</v>
      </c>
      <c r="F37" s="451">
        <f>PGL_Supplies!X9/1000</f>
        <v>85.9</v>
      </c>
      <c r="G37" s="451">
        <f>PGL_Supplies!X10/1000</f>
        <v>85.9</v>
      </c>
      <c r="H37" s="451">
        <f>PGL_Supplies!X11/1000</f>
        <v>85.9</v>
      </c>
      <c r="I37" s="452">
        <f>PGL_Supplies!X12/1000</f>
        <v>85.9</v>
      </c>
    </row>
    <row r="38" spans="1:10" ht="18.95" customHeight="1">
      <c r="A38" s="817"/>
      <c r="B38" s="805" t="s">
        <v>136</v>
      </c>
      <c r="C38" s="818"/>
      <c r="D38" s="451">
        <f>PGL_Supplies!Y7/1000</f>
        <v>25.417999999999999</v>
      </c>
      <c r="E38" s="451">
        <f>PGL_Supplies!Y8/1000</f>
        <v>25.417999999999999</v>
      </c>
      <c r="F38" s="451">
        <f>PGL_Supplies!Y9/1000</f>
        <v>25.417999999999999</v>
      </c>
      <c r="G38" s="451">
        <f>PGL_Supplies!Y10/1000</f>
        <v>25.417999999999999</v>
      </c>
      <c r="H38" s="451">
        <f>PGL_Supplies!Y11/1000</f>
        <v>25.417999999999999</v>
      </c>
      <c r="I38" s="452">
        <f>PGL_Supplies!Y12/1000</f>
        <v>25.417999999999999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236.732</v>
      </c>
      <c r="E40" s="451">
        <f>PGL_Supplies!AA8/1000</f>
        <v>198.62700000000001</v>
      </c>
      <c r="F40" s="451">
        <f>PGL_Supplies!AA9/1000</f>
        <v>198.62700000000001</v>
      </c>
      <c r="G40" s="451">
        <f>PGL_Supplies!AA10/1000</f>
        <v>198.62700000000001</v>
      </c>
      <c r="H40" s="451">
        <f>PGL_Supplies!AA11/1000</f>
        <v>198.62700000000001</v>
      </c>
      <c r="I40" s="452">
        <f>PGL_Supplies!AA12/1000</f>
        <v>198.62700000000001</v>
      </c>
    </row>
    <row r="41" spans="1:10" ht="18.95" customHeight="1">
      <c r="A41" s="817"/>
      <c r="B41" s="805" t="s">
        <v>134</v>
      </c>
      <c r="C41" s="805"/>
      <c r="D41" s="451">
        <f>PGL_Supplies!AB7/1000</f>
        <v>38.869999999999997</v>
      </c>
      <c r="E41" s="451">
        <f>PGL_Supplies!AB8/1000</f>
        <v>38.18</v>
      </c>
      <c r="F41" s="451">
        <f>PGL_Supplies!AB9/1000</f>
        <v>38.18</v>
      </c>
      <c r="G41" s="451">
        <f>PGL_Supplies!AB10/1000</f>
        <v>38.18</v>
      </c>
      <c r="H41" s="451">
        <f>PGL_Supplies!AB11/1000</f>
        <v>38.18</v>
      </c>
      <c r="I41" s="452">
        <f>PGL_Supplies!AB12/1000</f>
        <v>38.18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0.1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0.2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401.435</v>
      </c>
      <c r="E50" s="461">
        <f t="shared" si="2"/>
        <v>362.15300000000008</v>
      </c>
      <c r="F50" s="461">
        <f t="shared" si="2"/>
        <v>357.15300000000008</v>
      </c>
      <c r="G50" s="461">
        <f t="shared" si="2"/>
        <v>357.15300000000008</v>
      </c>
      <c r="H50" s="461">
        <f t="shared" si="2"/>
        <v>357.15300000000008</v>
      </c>
      <c r="I50" s="1062">
        <f t="shared" si="2"/>
        <v>357.15300000000008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3.999999999962256E-3</v>
      </c>
      <c r="E51" s="462">
        <f t="shared" si="3"/>
        <v>0</v>
      </c>
      <c r="F51" s="462">
        <f t="shared" si="3"/>
        <v>3.8070000000000732</v>
      </c>
      <c r="G51" s="462">
        <f t="shared" si="3"/>
        <v>18.807000000000073</v>
      </c>
      <c r="H51" s="462">
        <f t="shared" si="3"/>
        <v>33.807000000000073</v>
      </c>
      <c r="I51" s="1063">
        <f t="shared" si="3"/>
        <v>18.807000000000073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1.1929999999999268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118.5</v>
      </c>
      <c r="E53" s="1053">
        <f>PGL_Supplies!U8/1000</f>
        <v>119.18</v>
      </c>
      <c r="F53" s="1053">
        <f>PGL_Supplies!U9/1000</f>
        <v>119.18</v>
      </c>
      <c r="G53" s="1053">
        <f>PGL_Supplies!U10/1000</f>
        <v>119.18</v>
      </c>
      <c r="H53" s="1053">
        <f>PGL_Supplies!U11/1000</f>
        <v>119.18</v>
      </c>
      <c r="I53" s="1054">
        <f>PGL_Supplies!U12/1000</f>
        <v>119.18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2001-08-21T19:12:35Z</cp:lastPrinted>
  <dcterms:created xsi:type="dcterms:W3CDTF">1997-07-16T16:14:22Z</dcterms:created>
  <dcterms:modified xsi:type="dcterms:W3CDTF">2023-09-10T17:01:13Z</dcterms:modified>
</cp:coreProperties>
</file>