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D58C3E-4873-4B45-A6E1-62203E51E2C8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<sst xmlns="http://schemas.openxmlformats.org/spreadsheetml/2006/main" count="2089" uniqueCount="824">
  <si>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</si>
  <si>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</si>
  <si>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</si>
  <si>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</si>
  <si>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</si>
  <si>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</si>
  <si>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</si>
  <si>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</si>
  <si>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</si>
  <si>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</si>
  <si>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</si>
  <si>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</si>
  <si>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</si>
  <si>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</si>
  <si>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</si>
  <si>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</si>
  <si>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</si>
  <si>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</si>
  <si>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</si>
  <si>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</si>
  <si>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</si>
  <si>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</si>
  <si>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</si>
  <si>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</si>
  <si>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</si>
  <si>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</si>
  <si>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</si>
  <si>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</si>
  <si>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</si>
  <si>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</si>
  <si>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</si>
  <si>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</si>
  <si>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</si>
  <si>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</si>
  <si>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</si>
  <si>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</si>
  <si>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</si>
  <si>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</si>
  <si>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</si>
  <si>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</si>
  <si>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</si>
  <si>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</si>
  <si>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</si>
  <si>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</si>
  <si>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</si>
  <si>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</si>
  <si>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</si>
  <si>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</si>
  <si>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</si>
  <si>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</si>
  <si>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</si>
  <si>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</si>
  <si>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</si>
  <si>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</si>
  <si>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</si>
  <si>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</si>
  <si>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</si>
  <si>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</si>
  <si>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</si>
  <si>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</si>
  <si>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</si>
  <si>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</si>
  <si>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</si>
  <si>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</si>
  <si>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</si>
  <si>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</si>
  <si>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</si>
  <si>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</si>
  <si>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</si>
  <si>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</si>
  <si>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</si>
  <si>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</si>
  <si>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</si>
  <si>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</si>
  <si>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</si>
  <si>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</si>
  <si>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</si>
  <si>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</si>
  <si>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</si>
  <si>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</si>
  <si>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</si>
  <si>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</si>
  <si>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</si>
  <si>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</si>
  <si>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</si>
  <si>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</si>
  <si>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</si>
  <si>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</si>
  <si>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</si>
  <si>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</si>
  <si>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</si>
  <si>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</si>
  <si>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</si>
  <si>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</si>
  <si>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</si>
  <si>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</si>
  <si>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</si>
  <si>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</si>
  <si>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</si>
  <si>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</si>
  <si>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</si>
  <si>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</si>
  <si>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</si>
  <si>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</si>
  <si>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</si>
  <si>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</si>
  <si>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</si>
  <si>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</si>
  <si>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</si>
  <si>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</si>
  <si>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</si>
  <si>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</si>
  <si>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</si>
  <si>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</si>
  <si>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</si>
  <si>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</si>
  <si>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</si>
  <si>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</si>
  <si>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</si>
  <si>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</si>
  <si>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</si>
  <si>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</si>
  <si>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</si>
  <si>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</si>
  <si>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</si>
  <si>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</si>
  <si>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</si>
  <si>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</si>
  <si>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</si>
  <si>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</si>
  <si>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</si>
  <si>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</si>
  <si>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</si>
  <si>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</si>
  <si>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</si>
  <si>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</si>
  <si>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</si>
  <si>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</si>
  <si>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</si>
  <si>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</si>
  <si>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</si>
  <si>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</si>
  <si>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</si>
  <si>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</si>
  <si>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</si>
  <si>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</si>
  <si>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</si>
  <si>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</si>
  <si>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</si>
  <si>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</si>
  <si>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</si>
  <si>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</si>
  <si>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</si>
  <si>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</si>
  <si>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</si>
  <si>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</si>
  <si>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</si>
  <si>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</si>
  <si>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</si>
  <si>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</si>
  <si>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</si>
  <si>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</si>
  <si>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</si>
  <si>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</si>
  <si>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</si>
  <si>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</si>
  <si>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</si>
  <si>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</si>
  <si>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</si>
  <si>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</si>
  <si>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</si>
  <si>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</si>
  <si>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</si>
  <si>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</si>
  <si>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</si>
  <si>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</si>
  <si>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</si>
  <si>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</si>
  <si>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</si>
  <si>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</si>
  <si>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</si>
  <si>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</si>
  <si>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</si>
  <si>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</si>
  <si>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</si>
  <si>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</si>
  <si>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</si>
  <si>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</si>
  <si>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</si>
  <si>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</si>
  <si>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</si>
  <si>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</si>
  <si>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</si>
  <si>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</si>
  <si>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</si>
  <si>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</si>
  <si>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</si>
  <si>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</si>
  <si>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</si>
  <si>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</si>
  <si>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</si>
  <si>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</si>
  <si>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</si>
  <si>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</si>
  <si>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</si>
  <si>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</si>
  <si>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</si>
  <si>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</si>
  <si>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</si>
  <si>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</si>
  <si>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</si>
  <si>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</si>
  <si>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</si>
  <si>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</si>
  <si>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</si>
  <si>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</si>
  <si>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</si>
  <si>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</si>
  <si>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</si>
  <si>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</si>
  <si>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</si>
  <si>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</si>
  <si>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</si>
  <si>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</si>
  <si>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</si>
  <si>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</si>
  <si>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</si>
  <si>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</si>
  <si>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</si>
  <si>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</si>
  <si>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</si>
  <si>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</si>
  <si>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</si>
  <si>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</si>
  <si>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</si>
  <si>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</si>
  <si>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</si>
  <si>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</si>
  <si>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</si>
  <si>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</si>
  <si>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</si>
  <si>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</si>
  <si>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</si>
  <si>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</si>
  <si>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</si>
  <si>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</si>
  <si>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</si>
  <si>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</si>
  <si>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</si>
  <si>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</si>
  <si>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</si>
  <si>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</si>
  <si>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</si>
  <si>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</si>
  <si>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</si>
  <si>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</si>
  <si>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</si>
  <si>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</si>
  <si>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</si>
  <si>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</si>
  <si>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</si>
  <si>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</si>
  <si>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</si>
  <si>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</si>
  <si>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</si>
  <si>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</si>
  <si>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</si>
  <si>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</si>
  <si>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</si>
  <si>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</si>
  <si>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</si>
  <si>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</si>
  <si>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</si>
  <si>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</si>
  <si>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</si>
  <si>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</si>
  <si>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</si>
  <si>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</si>
  <si>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</si>
  <si>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</si>
  <si>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</si>
  <si>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</si>
  <si>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</si>
  <si>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</si>
  <si>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</si>
  <si>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</si>
  <si>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</si>
  <si>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</si>
  <si>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</si>
  <si>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</si>
  <si>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</si>
  <si>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</si>
  <si>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</si>
  <si>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</si>
  <si>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</si>
  <si>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</si>
  <si>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</si>
  <si>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</si>
  <si>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</si>
  <si>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</si>
  <si>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</si>
  <si>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</si>
  <si>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</si>
  <si>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</si>
  <si>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</si>
  <si>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</si>
  <si>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</si>
  <si>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</si>
  <si>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</si>
  <si>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</si>
  <si>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</si>
  <si>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</si>
  <si>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</si>
  <si>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</si>
  <si>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</si>
  <si>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</si>
  <si>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</si>
  <si>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</si>
  <si>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</si>
  <si>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</si>
  <si>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</si>
  <si>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</si>
  <si>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</si>
  <si>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</si>
  <si>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</si>
  <si>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</si>
  <si>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</si>
  <si>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</si>
  <si>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</si>
  <si>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</si>
  <si>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</si>
  <si>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</si>
  <si>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</si>
  <si>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</si>
  <si>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</si>
  <si>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</si>
  <si>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</si>
  <si>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</si>
  <si>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</si>
  <si>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</si>
  <si>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</si>
  <si>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</si>
  <si>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</si>
  <si>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</si>
  <si>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</si>
  <si>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</si>
  <si>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</si>
  <si>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</si>
  <si>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</si>
  <si>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</si>
  <si>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</si>
  <si>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</si>
  <si>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</si>
  <si>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</si>
  <si>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</si>
  <si>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</si>
  <si>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</si>
  <si>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</si>
  <si>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</si>
  <si>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</si>
  <si>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</si>
  <si>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</si>
  <si>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</si>
  <si>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</si>
  <si>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</si>
  <si>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</si>
  <si>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</si>
  <si>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</si>
  <si>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</si>
  <si>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</si>
  <si>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</si>
  <si>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</si>
  <si>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</si>
  <si>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</si>
  <si>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</si>
  <si>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</si>
  <si>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</si>
  <si>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</si>
  <si>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</si>
  <si>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</si>
  <si>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</si>
  <si>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</si>
  <si>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</si>
  <si>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</si>
  <si>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</si>
  <si>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</si>
  <si>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</si>
  <si>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</si>
  <si>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</si>
  <si>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</si>
  <si>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</si>
  <si>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</si>
  <si>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</si>
  <si>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</si>
  <si>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</si>
  <si>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</si>
  <si>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</si>
  <si>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</si>
  <si>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</si>
  <si>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</si>
  <si>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</si>
  <si>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</si>
  <si>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</si>
  <si>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</si>
  <si>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</si>
  <si>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</si>
  <si>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</si>
  <si>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</si>
  <si>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</si>
  <si>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</si>
  <si>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</si>
  <si>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</si>
  <si>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</si>
  <si>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</si>
  <si>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</si>
  <si>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</si>
  <si>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</si>
  <si>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</si>
  <si>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</si>
  <si>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</si>
  <si>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</si>
  <si>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</si>
  <si>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</si>
  <si>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</si>
  <si>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</si>
  <si>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</si>
  <si>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</si>
  <si>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</si>
  <si>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</si>
  <si>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</si>
  <si>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</si>
  <si>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</si>
  <si>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</si>
  <si>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</si>
  <si>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</si>
  <si>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</si>
  <si>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</si>
  <si>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</si>
  <si>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</si>
  <si>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</si>
  <si>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</si>
  <si>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</si>
  <si>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</si>
  <si>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</si>
  <si>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</si>
  <si>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</si>
  <si>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</si>
  <si>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</si>
  <si>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</si>
  <si>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</si>
  <si>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</si>
  <si>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</si>
  <si>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</si>
  <si>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</si>
  <si>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</si>
  <si>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</si>
  <si>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</si>
  <si>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</si>
  <si>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</si>
  <si>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</si>
  <si>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</si>
  <si>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</si>
  <si>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</si>
  <si>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</si>
  <si>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</si>
  <si>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</si>
  <si>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</si>
  <si>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</si>
  <si>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</si>
  <si>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</si>
  <si>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</si>
  <si>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</si>
  <si>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</si>
  <si>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</si>
  <si>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</si>
  <si>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</si>
  <si>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</si>
  <si>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</si>
  <si>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</si>
  <si>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</si>
  <si>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</si>
  <si>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</si>
  <si>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</si>
  <si>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</si>
  <si>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</si>
  <si>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</si>
  <si>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</si>
  <si>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</si>
  <si>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</si>
  <si>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</si>
  <si>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</si>
  <si>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</si>
  <si>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</si>
  <si>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</si>
  <si>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</si>
  <si>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</si>
  <si>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</si>
  <si>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</si>
  <si>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</si>
  <si>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</si>
  <si>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</si>
  <si>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</si>
  <si>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</si>
  <si>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</si>
  <si>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</si>
  <si>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</si>
  <si>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</si>
  <si>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</si>
  <si>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</si>
  <si>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</si>
  <si>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</si>
  <si>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</si>
  <si>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</si>
  <si>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</si>
  <si>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</si>
  <si>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</si>
  <si>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</si>
  <si>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</si>
  <si>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</si>
  <si>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</si>
  <si>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</si>
  <si>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</si>
  <si>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</si>
  <si>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</si>
  <si>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</si>
  <si>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</si>
  <si>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</si>
  <si>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</si>
  <si>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</si>
  <si>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</si>
  <si>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</si>
  <si>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</si>
  <si>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</si>
  <si>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</si>
  <si>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</si>
  <si>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</si>
  <si>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</si>
  <si>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</si>
  <si>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</si>
  <si>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</si>
  <si>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</si>
  <si>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</si>
  <si>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</si>
  <si>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</si>
  <si>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</si>
  <si>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</si>
  <si>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</si>
  <si>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</si>
  <si>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</si>
  <si>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</si>
  <si>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</si>
  <si>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</si>
  <si>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</si>
  <si>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</si>
  <si>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</si>
  <si>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</si>
  <si>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</si>
  <si>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</si>
  <si>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</si>
  <si>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</si>
  <si>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</si>
  <si>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</si>
  <si>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</si>
  <si>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</si>
  <si>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</si>
  <si>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</si>
  <si>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</si>
  <si>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</si>
  <si>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</si>
  <si>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</si>
  <si>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</si>
  <si>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</si>
  <si>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</si>
  <si>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</si>
  <si>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</si>
  <si>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</si>
  <si>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</si>
  <si>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</si>
  <si>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</si>
  <si>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</si>
  <si>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</si>
  <si>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</si>
  <si>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</si>
  <si>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</si>
  <si>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</si>
  <si>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</si>
  <si>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</si>
  <si>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</si>
  <si>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</si>
  <si>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</si>
  <si>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</si>
  <si>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</si>
  <si>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</si>
  <si>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</si>
  <si>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</si>
  <si>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</si>
  <si>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</si>
  <si>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</si>
  <si>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</si>
  <si>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</si>
  <si>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</si>
  <si>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</si>
  <si>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</si>
  <si>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</si>
  <si>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</si>
  <si>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</si>
  <si>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</si>
  <si>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</si>
  <si>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</si>
  <si>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</si>
  <si>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</si>
  <si>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</si>
  <si>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</si>
  <si>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</si>
  <si>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</si>
  <si>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</si>
  <si>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</si>
  <si>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</si>
  <si>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</si>
  <si>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</si>
  <si>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</si>
  <si>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</si>
  <si>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</si>
  <si>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</si>
  <si>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</si>
  <si>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</si>
  <si>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</si>
  <si>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</si>
  <si>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</si>
  <si>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</si>
  <si>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</si>
  <si>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</si>
  <si>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</si>
  <si>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</si>
  <si>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</si>
  <si>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</si>
  <si>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</si>
  <si>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</si>
  <si>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</si>
  <si>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</si>
  <si>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</si>
  <si>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</si>
  <si>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</si>
  <si>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</si>
  <si>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</si>
  <si>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</si>
  <si>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</si>
  <si>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</si>
  <si>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</si>
  <si>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</si>
  <si>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</si>
  <si>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</si>
  <si>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</si>
  <si>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</si>
  <si>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</si>
  <si>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</si>
  <si>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</si>
  <si>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</si>
  <si>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</si>
  <si>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</si>
  <si>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</si>
  <si>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</si>
  <si>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</si>
  <si>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</si>
  <si>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</si>
  <si>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</si>
  <si>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</si>
  <si>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</si>
  <si>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</si>
  <si>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</si>
  <si>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</si>
  <si>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</si>
  <si>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</si>
  <si>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</si>
  <si>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</si>
  <si>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</si>
  <si>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</si>
  <si>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</si>
  <si>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</si>
  <si>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</si>
  <si>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</si>
  <si>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</si>
  <si>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</si>
  <si>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</si>
  <si>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</si>
  <si>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</si>
  <si>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</si>
  <si>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</si>
  <si>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</si>
  <si>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</si>
  <si>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</si>
  <si>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</si>
  <si>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</si>
  <si>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</si>
  <si>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</si>
  <si>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</si>
  <si>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</si>
  <si>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</si>
  <si>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</si>
  <si>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</si>
  <si>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</si>
  <si>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</si>
  <si>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</si>
  <si>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</si>
  <si>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</si>
  <si>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</si>
  <si>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</si>
  <si>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</si>
  <si>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</si>
  <si>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</si>
  <si>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</si>
  <si>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</si>
  <si>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</si>
  <si>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</si>
  <si>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</si>
  <si>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</si>
  <si>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</si>
  <si>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</si>
  <si>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</si>
  <si>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</si>
  <si>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</si>
  <si>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</si>
  <si>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</si>
  <si>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</si>
  <si>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</si>
  <si>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</si>
  <si>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</si>
  <si>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</si>
  <si>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</si>
  <si>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</si>
  <si>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</si>
  <si>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</si>
  <si>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</si>
  <si>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</si>
  <si>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</si>
  <si>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</si>
  <si>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</si>
  <si>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</si>
  <si>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</si>
  <si>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</si>
  <si>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</si>
  <si>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</si>
  <si>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</si>
  <si>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</si>
  <si>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</si>
  <si>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</si>
  <si>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</si>
  <si>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</si>
  <si>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</si>
  <si>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</si>
  <si>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</si>
  <si>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</si>
  <si>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</si>
  <si>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</si>
  <si>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</si>
  <si>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</si>
  <si>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</si>
  <si>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</si>
  <si>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</si>
  <si>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</si>
  <si>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</si>
  <si>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</si>
  <si>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</si>
  <si>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</si>
  <si>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</si>
  <si>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</si>
  <si>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</si>
  <si>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</si>
  <si>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</si>
  <si>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</si>
  <si>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</si>
  <si>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</si>
  <si>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</si>
  <si>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</si>
  <si>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</si>
  <si>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</si>
  <si>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</si>
  <si>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</si>
  <si>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</si>
  <si>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</si>
  <si>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</si>
  <si>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</si>
  <si>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</si>
  <si>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</si>
  <si>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</si>
  <si>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</si>
  <si>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</si>
  <si>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</si>
  <si>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</si>
  <si>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</si>
  <si>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</si>
  <si>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</si>
  <si>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</si>
  <si>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</si>
  <si>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</si>
  <si>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</si>
  <si>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</si>
  <si>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</si>
  <si>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</si>
  <si>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</si>
  <si>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</si>
  <si>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</si>
  <si>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</si>
  <si>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</si>
  <si>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</si>
  <si>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</si>
  <si>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</si>
  <si>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</si>
  <si>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</si>
  <si>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</si>
  <si>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</si>
  <si>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</si>
  <si>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</si>
  <si>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</si>
  <si>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</si>
  <si>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N/A</t>
  </si>
  <si>
    <t>Will Lincoln run? 815-478-3799</t>
  </si>
  <si>
    <t>YES</t>
  </si>
  <si>
    <t>NO</t>
  </si>
  <si>
    <t>Time on</t>
  </si>
  <si>
    <t>Will Elwood run? 815-423-9973</t>
  </si>
  <si>
    <t xml:space="preserve">PARTLY SUNNY. </t>
  </si>
  <si>
    <t xml:space="preserve">PARTLY CLOUDY. </t>
  </si>
  <si>
    <t>CHANCE OF SHOWERS AND T'STORMS.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</si>
</sst>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5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4B7ACC3-376D-639B-D10E-87946B2E51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97CD49D0-8F1C-1441-442E-37493E0645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9036DCEC-2E6E-C05A-9B2D-2447451B9A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8861E85-919C-9BB0-6456-0BBCC7D377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117B0974-0B71-E412-D953-A876317500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AC22C882-A28A-1E94-F549-F4B5A51656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E953F8EC-171F-920C-8324-B7DCA1542D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8BD1EF1-2CB8-FBD3-08FE-F89FEAE1F6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9E9C527-4CD0-DC2C-09D1-BF5390B2F9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F24EF3F7-2015-1340-7F49-218BDAF42D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DE5D7426-ED4C-7107-7BE3-27CF57DC89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1CDEAB42-FB20-4C66-4287-23FAC15FF5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4E7AEC4C-E4F6-5628-3638-9BB184FAB7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F60B4378-DC2A-9D4D-AC79-B7AF085950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E7774603-9F77-82D5-9DFB-92F3F79870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C748D2EC-81B3-3DC1-C292-25688429E7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AAAA7401-DA7C-B5D3-7238-D46AAE1A8C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BD9E0CFB-4064-3921-8695-FE930C8316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C416E387-31D9-52C0-5940-1748C0D450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EF145A11-3181-E7BB-A329-5737D67F15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ACD6F1C2-1952-D8D3-F967-EE3757655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D5422C9B-1C0B-5E08-9453-CBA14476A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1E33D933-6608-F209-4658-A185B3B22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795F64B8-FE3B-5891-5085-C7A40A657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FA5CBCE9-936A-09E3-614D-9D0F83C44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F8F659FA-C6E5-9BBA-FB3D-BCB0F479A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3A59A450-5792-3779-11FB-EBEA2D4C9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19E083DC-B988-DA80-4E4D-0BF33C68A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570D6026-9208-535E-B2E8-6E62E1DFA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3159E91E-073D-8D4D-684F-E00E7D5F4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7EC96E1A-45A8-FE56-4AC7-6C59134AB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98BAF89E-0896-E6A2-3A26-9CBE17A6C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2305FA15-29C1-5C4B-E38A-38F9F82D6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A091F042-4408-98D0-8C75-B148D98F7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A02C414A-FD3D-3F92-B691-499C4F142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FC54A865-5E9B-44FA-8E45-7B044DAD8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55791BDA-29EE-138F-7075-8BAA057DC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0B4C9A82-95C7-931E-C4EC-00E350C38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7EEC1EB6-6671-4F01-CE2B-D5200E8F1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D0285378-9E6B-2B5C-8AAE-89B0BD194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539EE6E5-8542-4F91-30BF-65EAD6A68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11D3A35E-E04B-668C-A947-9DAB3E660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03924F1B-DC43-BE68-634B-4622C841A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0CA53CED-E185-0B85-902A-FB9242A4F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607" name="Day_1">
          <a:extLst>
            <a:ext uri="{FF2B5EF4-FFF2-40B4-BE49-F238E27FC236}">
              <a16:creationId xmlns:a16="http://schemas.microsoft.com/office/drawing/2014/main" id="{731EC724-3820-F961-EDC5-6244F3A2E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608" name="Day_2">
          <a:extLst>
            <a:ext uri="{FF2B5EF4-FFF2-40B4-BE49-F238E27FC236}">
              <a16:creationId xmlns:a16="http://schemas.microsoft.com/office/drawing/2014/main" id="{269B9917-97DF-7330-765F-B9A062FBC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609" name="Day_3">
          <a:extLst>
            <a:ext uri="{FF2B5EF4-FFF2-40B4-BE49-F238E27FC236}">
              <a16:creationId xmlns:a16="http://schemas.microsoft.com/office/drawing/2014/main" id="{8D17070B-B0E3-217B-3A19-C7084DA8D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610" name="Day_4">
          <a:extLst>
            <a:ext uri="{FF2B5EF4-FFF2-40B4-BE49-F238E27FC236}">
              <a16:creationId xmlns:a16="http://schemas.microsoft.com/office/drawing/2014/main" id="{4AE36D86-5740-B707-92EA-74369EAC5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611" name="Day_5">
          <a:extLst>
            <a:ext uri="{FF2B5EF4-FFF2-40B4-BE49-F238E27FC236}">
              <a16:creationId xmlns:a16="http://schemas.microsoft.com/office/drawing/2014/main" id="{6B8A67C8-ABD4-E50C-A907-C23653822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612" name="Day_6">
          <a:extLst>
            <a:ext uri="{FF2B5EF4-FFF2-40B4-BE49-F238E27FC236}">
              <a16:creationId xmlns:a16="http://schemas.microsoft.com/office/drawing/2014/main" id="{8638633D-4796-2A5F-B92F-EFA0DA2DC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6BFC53BA-6F8A-A79C-F1FB-867F668DF3F3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62C2A647-9D38-6404-3864-34259058C9FA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AAFD2BFE-BA77-8E7F-EDE1-64D58281098B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62F96CF2-76AF-1B15-77A3-392F7AB8BCF4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6E2D8F94-1E4A-D06C-601D-0DABE24F1A96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1BB68C30-55AB-98FF-8D8C-8A7AE265A7CB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77D4D1CA-F88A-06FC-C565-A0EC4EDBDA1B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0660082B-B460-C68A-66D6-8B346ABE1094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0D646E6F-10C3-EE42-6659-6DBF77AA639D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4468323E-F08D-9D6D-D814-3D5046603C98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3CA2EF38-1AC3-B701-E248-6622317F5860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20C9B4F2-3712-80BA-E4DF-1B1A2395BCEB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C9C94E2B-0DE3-012F-DCFC-930A8519A977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8EB0FBD1-8F50-9210-1943-CA0C2C23176E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1C4BACAD-D937-EA6B-B258-4A0E3163A376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1535B516-EEF3-CDCC-6F02-A0A79A7CB0AC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B6A50025-3D01-7DBD-9467-12392CA48DEF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F2DB5A4A-587C-7153-01A3-B7C8F0522E6D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AD558F82-13C0-9849-DD4C-A3769C9F886C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65A0E0ED-0E45-8F94-4D6D-527E42094F31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B0380C10-4BFF-069E-0A21-5E64BF8B7522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9843290B-A2AB-550E-2A6D-617637690BB1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096B3BC3-D0AA-DD5E-35B0-1B172B25C39F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94F96788-05B8-D546-9881-F638D906D3E2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DEAC0F94-1368-4A56-FDD5-E21B35AD9BF8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F139D2DE-7C16-1537-B39A-10DF1DE3262C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694E5966-B6EE-100C-8866-E653B276AFCA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E7125EC0-8397-62A0-316A-9BB69E5F009C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B4D6F86E-D137-51F8-1585-AC545001C747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3E937B01-90B5-74A5-AA7B-6D60C5576BA8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0847F35D-45AB-B884-6FF8-5FE87883AE36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EC278D92-0976-F25B-A30E-B714EA49C125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53103036-3E77-AB57-2EB6-0C5B17B4EA37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F1C8D88B-107F-BB40-6F6D-217D277E5DBA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10F68A77-C47B-C990-A207-A97BCBF9D9FA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C0562C18-CC31-5128-2052-6CF1053DA64B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362237A6-5DD5-A3FF-A866-9731C5C5E367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2C363C60-BAF7-423A-EF45-8023D48BC0CD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A8920E1C-A7CE-A56A-7BF2-D7C0ECCD5FF8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7EF79A18-03A8-2C88-DD86-44CAB619701F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370C6F79-BC18-AE29-5DA7-30AC95936D1A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55576E82-AE8A-3B96-94E6-74197DCBB750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3D1F2077-1E25-4EEF-8D84-16639752D15A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C39569C7-8161-93CF-9D26-E1B91F3DCFBE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B6771357-EF5E-3D89-E60C-FC19C752A82F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17B667FC-C04E-C2C7-4D0B-A732E33B4671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A373088F-CBD6-FF97-B7B3-346419BF5EF4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147BBDD5-42B5-A05C-6E9E-BDB293623FA2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A3382577-7076-26AF-2E09-D23471AF5940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D52C60DA-BD7D-FE14-D54A-B92596CE8254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3735ED6B-BA2E-7F0F-1BD5-3E2E9F888498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07B80839-1141-0DD0-986C-49F85FAF4798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B26E4380-0B59-F324-23E9-A124B8552020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A82F8AA1-028B-0A29-28AF-3C20CA6971FD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8B2A2745-AB70-32F1-3F4D-C646963AC334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9B2F8884-3A70-21A9-F326-75800820AE1E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4EE4B6B4-185B-BDEE-441C-BD366232FB85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991707C3-3EC3-7213-4A47-0E648B97957C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C885B604-89EA-10B3-A305-E49792B6F850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D8C89CE8-D2AD-D5F3-DE08-2D9D10E010F2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F101A9A5-B53A-19AB-D65C-D40F50395BDB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04852EBF-22B4-A1E0-6F65-30458C1DDDBE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1C01D9F2-0D75-BA15-7DAA-696944F54100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2C5CDCF5-2A01-C9AD-AB67-D9CD624D9D59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95E975F2-E8BB-FAC8-C321-CBB66AF350DD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D917E48C-BE48-40CA-1036-1608A0F71917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151FEC15-1951-F0AA-6769-9FE2B8AA8B95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577F9524-D4B7-8503-069F-426F443C266A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D6C54D20-29B2-0C5F-78A2-51BF45C98D8C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526913A4-92A1-BF7D-85DC-AB2E565B70E1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1385A138-B926-04A3-F2CF-4E7A420569C8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351AA843-C5D4-21AD-1AC5-38BF1D26255A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EF4E37FA-F709-FA72-41FB-ABCB90EE8E4D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F4282221-156E-A60F-80FC-882871512348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6E96EFAC-97F1-B245-3D3F-DF4E857EDD90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2E80B293-598C-6185-A876-5BD3207ABBE5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2FDCE23D-1C6E-FCF9-FD9F-570F526E61E7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2D752AB3-159B-FCEA-637B-FE8101483D4D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8AA3CF36-D986-EAA3-6E4A-E2DEB8CA01AC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28F5DBF9-B518-27B4-E64A-3BA589C5E39B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DB136B3E-AF08-473F-6E94-DE3C60D5D672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72C5CC4B-FC01-22AA-A47C-6E99FAF74C2B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91E7BE9D-EABD-0373-2CD4-EA6A28EA1B96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B8D679C0-D1A1-B3A9-A1F5-51D21AD144C9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19990A33-0853-94FE-CC4C-ECB20E382B9C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455354C2-B38D-8EF7-0352-EE854F92DBE6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EC761F1C-87BF-3144-49CD-864E360D0485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472D8299-C307-7CE0-90FC-05601FCACCAD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C691FABD-8308-EC48-34BB-C7F431A46564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B35A2ABA-BCBD-5554-5575-D7221A82CA21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3B201FB2-D66B-9BF6-0CDC-5D68E7A8D912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16F438D8-A2FE-CCF7-CA69-4A1E57E6128E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158C4B15-4F40-2084-AC01-3A4672A82D70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742CE83F-FACC-F1D4-F299-3165E89BAC45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969169BA-0AC0-A33C-346B-268ED5023F8F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35F2B8A1-3C51-B966-E033-9A0FB9D1B024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A6F15530-FB52-E21C-BFD5-4CE6ECFE9A42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E30FA728-45CE-C5C4-7693-8175055A2E09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11F74582-27A1-64B3-848E-6DA3FDD6CD7B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8A80C903-5F0D-0F38-D27F-9367C1663EBB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3236AAC7-3539-930A-DE94-C3AB256F80C1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3799DCD9-8CD3-8ACE-E3AF-5DA4944152DC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F4BCB3F3-4909-7EF8-A0B8-A68EA6C2AB86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BF00C36C-81D5-50F4-FF2E-716CC259AD44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3977CD4E-3670-7556-AA5F-256DC9A5E37C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D5B7004E-7D5D-13EF-145C-582F4F62209E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B013B4C3-B2A4-7052-428A-8DD871035057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78B6DCF9-ED6B-012F-868D-1D4E9AEFAB31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FD4D0159-89A0-F75C-4A7C-6932AAF5DEC7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168F0BF8-6CDA-6A6E-F008-B0D9653ACC9A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2B7DE021-8C9E-4787-5828-A4646CFD25D4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A4198384-90B9-877E-221E-754DFFE41C2E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C5F53E34-5843-E7C8-7DD0-A25AFF6BB59B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AA8D87E0-7818-559E-B7DF-B4B94CFE8DE8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0FDBC59B-A3DE-D599-1D3B-1C8BC23607D0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888FAAEC-3FA1-8B67-A4C6-762E52B9C958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72ABD802-74F9-C682-D5B2-F603FD7D8382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F9608B26-9F5A-F6E6-5AD8-7441CDB78E7D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4707AE5B-2738-DCBA-AA09-EA8884B5D5FC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F0908056-AF86-DBB5-0701-91A45B0003E8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41EA1C07-4B26-37C1-F3BC-AE6A561E23EF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E8B69058-EE88-5B9E-D364-872C81467913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2BD13A31-AE14-C0E8-1E93-3C7887E43E63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2D35E6C2-1C19-7191-7190-68C9C738DA5D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73AF2211-071F-989B-FBC5-8AB38574B750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23F2D73B-014C-8AB0-7178-BCC71299524F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E21A4691-AC38-C275-E3EE-6130AF6A7664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30FB7C35-896A-2A29-0141-5B21E5E81F51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9EE20EB0-6CC4-A4F4-4341-3FCE40E6F67B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C304C8D6-D42F-5A0E-51D9-AC3C95B96AA9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05" t="s">
        <v>9</v>
      </c>
      <c r="B1" s="777"/>
    </row>
    <row r="2" spans="1:88">
      <c r="A2" s="1005" t="s">
        <v>9</v>
      </c>
      <c r="B2" t="s">
        <v>9</v>
      </c>
    </row>
    <row r="3" spans="1:88" ht="15.75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SUN</v>
      </c>
      <c r="I1" s="844">
        <f>D4</f>
        <v>37122</v>
      </c>
      <c r="J1" s="110"/>
    </row>
    <row r="2" spans="1:10" ht="24.95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5" customHeight="1" thickBot="1">
      <c r="A3" s="807"/>
      <c r="B3" s="805"/>
      <c r="C3" s="805"/>
      <c r="D3" s="808" t="str">
        <f t="shared" ref="D3:I3" si="0">CHOOSE(WEEKDAY(D4),"SUN","MON","TUE","WED","THU","FRI","SAT")</f>
        <v>SUN</v>
      </c>
      <c r="E3" s="808" t="str">
        <f t="shared" si="0"/>
        <v>MON</v>
      </c>
      <c r="F3" s="808" t="str">
        <f t="shared" si="0"/>
        <v>TUE</v>
      </c>
      <c r="G3" s="808" t="str">
        <f t="shared" si="0"/>
        <v>WED</v>
      </c>
      <c r="H3" s="808" t="str">
        <f t="shared" si="0"/>
        <v>THU</v>
      </c>
      <c r="I3" s="809" t="str">
        <f t="shared" si="0"/>
        <v>FRI</v>
      </c>
      <c r="J3" s="110"/>
    </row>
    <row r="4" spans="1:10" ht="24.95" customHeight="1" thickBot="1">
      <c r="A4" s="810" t="s">
        <v>152</v>
      </c>
      <c r="B4" s="811"/>
      <c r="C4" s="811"/>
      <c r="D4" s="812">
        <f>Weather_Input!A5</f>
        <v>37122</v>
      </c>
      <c r="E4" s="812">
        <f>Weather_Input!A6</f>
        <v>37123</v>
      </c>
      <c r="F4" s="812">
        <f>Weather_Input!A7</f>
        <v>37124</v>
      </c>
      <c r="G4" s="812">
        <f>Weather_Input!A8</f>
        <v>37125</v>
      </c>
      <c r="H4" s="812">
        <f>Weather_Input!A9</f>
        <v>37126</v>
      </c>
      <c r="I4" s="813">
        <f>Weather_Input!A10</f>
        <v>37127</v>
      </c>
      <c r="J4" s="110"/>
    </row>
    <row r="5" spans="1:10" s="111" customFormat="1" ht="24.95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73/60/67</v>
      </c>
      <c r="E5" s="845" t="str">
        <f>TEXT(Weather_Input!B6,"0")&amp;"/"&amp;TEXT(Weather_Input!C6,"0") &amp; "/" &amp; TEXT((Weather_Input!B6+Weather_Input!C6)/2,"0")</f>
        <v>78/60/69</v>
      </c>
      <c r="F5" s="845" t="str">
        <f>TEXT(Weather_Input!B7,"0")&amp;"/"&amp;TEXT(Weather_Input!C7,"0") &amp; "/" &amp; TEXT((Weather_Input!B7+Weather_Input!C7)/2,"0")</f>
        <v>83/67/75</v>
      </c>
      <c r="G5" s="845" t="str">
        <f>TEXT(Weather_Input!B8,"0")&amp;"/"&amp;TEXT(Weather_Input!C8,"0") &amp; "/" &amp; TEXT((Weather_Input!B8+Weather_Input!C8)/2,"0")</f>
        <v>86/66/76</v>
      </c>
      <c r="H5" s="845" t="str">
        <f>TEXT(Weather_Input!B9,"0")&amp;"/"&amp;TEXT(Weather_Input!C9,"0") &amp; "/" &amp; TEXT((Weather_Input!B9+Weather_Input!C9)/2,"0")</f>
        <v>87/68/78</v>
      </c>
      <c r="I5" s="846" t="str">
        <f>TEXT(Weather_Input!B10,"0")&amp;"/"&amp;TEXT(Weather_Input!C10,"0") &amp; "/" &amp; TEXT((Weather_Input!B10+Weather_Input!C10)/2,"0")</f>
        <v>87/68/78</v>
      </c>
      <c r="J5" s="110"/>
    </row>
    <row r="6" spans="1:10" ht="24.95" customHeight="1">
      <c r="A6" s="817" t="s">
        <v>133</v>
      </c>
      <c r="B6" s="805"/>
      <c r="C6" s="805"/>
      <c r="D6" s="815">
        <f ca="1">VLOOKUP(D4,NSG_Sendouts,CELL("Col",NSG_Deliveries!C5),FALSE)/1000</f>
        <v>31</v>
      </c>
      <c r="E6" s="815">
        <f ca="1">VLOOKUP(E4,NSG_Sendouts,CELL("Col",NSG_Deliveries!C6),FALSE)/1000</f>
        <v>33</v>
      </c>
      <c r="F6" s="815">
        <f ca="1">VLOOKUP(F4,NSG_Sendouts,CELL("Col",NSG_Deliveries!C7),FALSE)/1000</f>
        <v>33</v>
      </c>
      <c r="G6" s="815">
        <f ca="1">VLOOKUP(G4,NSG_Sendouts,CELL("Col",NSG_Deliveries!C8),FALSE)/1000</f>
        <v>33</v>
      </c>
      <c r="H6" s="815">
        <f ca="1">VLOOKUP(H4,NSG_Sendouts,CELL("Col",NSG_Deliveries!C9),FALSE)/1000</f>
        <v>33</v>
      </c>
      <c r="I6" s="820">
        <f ca="1">VLOOKUP(I4,NSG_Sendouts,CELL("Col",NSG_Deliveries!C10),FALSE)/1000</f>
        <v>33</v>
      </c>
      <c r="J6" s="111"/>
    </row>
    <row r="7" spans="1:10" ht="24.95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5" customHeight="1">
      <c r="A8" s="814"/>
      <c r="B8" s="805" t="s">
        <v>136</v>
      </c>
      <c r="C8" s="819" t="s">
        <v>86</v>
      </c>
      <c r="D8" s="815">
        <f>NSG_Requirements!J7/1000</f>
        <v>7</v>
      </c>
      <c r="E8" s="815">
        <f>NSG_Requirements!J8/1000</f>
        <v>7</v>
      </c>
      <c r="F8" s="815">
        <f>NSG_Requirements!J9/1000</f>
        <v>7</v>
      </c>
      <c r="G8" s="815">
        <f>NSG_Requirements!J10/1000</f>
        <v>7</v>
      </c>
      <c r="H8" s="815">
        <f>NSG_Requirements!J11/1000</f>
        <v>7</v>
      </c>
      <c r="I8" s="816">
        <f>NSG_Requirements!J12/1000</f>
        <v>7</v>
      </c>
      <c r="J8" s="110"/>
    </row>
    <row r="9" spans="1:10" ht="24.95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5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5" customHeight="1" thickBot="1">
      <c r="A11" s="849" t="s">
        <v>142</v>
      </c>
      <c r="B11" s="839"/>
      <c r="C11" s="839"/>
      <c r="D11" s="824">
        <f t="shared" ref="D11:I11" ca="1" si="1">SUM(D6:D10)</f>
        <v>38</v>
      </c>
      <c r="E11" s="824">
        <f t="shared" ca="1" si="1"/>
        <v>40</v>
      </c>
      <c r="F11" s="824">
        <f t="shared" ca="1" si="1"/>
        <v>40</v>
      </c>
      <c r="G11" s="824">
        <f t="shared" ca="1" si="1"/>
        <v>40</v>
      </c>
      <c r="H11" s="824">
        <f t="shared" ca="1" si="1"/>
        <v>40</v>
      </c>
      <c r="I11" s="825">
        <f t="shared" ca="1" si="1"/>
        <v>40</v>
      </c>
      <c r="J11" s="110"/>
    </row>
    <row r="12" spans="1:10" ht="24.95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5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5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5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5" customHeight="1">
      <c r="A16" s="814"/>
      <c r="B16" s="805"/>
      <c r="C16" s="819" t="s">
        <v>741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5" customHeight="1">
      <c r="A17" s="814"/>
      <c r="B17" s="805" t="s">
        <v>134</v>
      </c>
      <c r="C17" s="819" t="s">
        <v>742</v>
      </c>
      <c r="D17" s="815">
        <f>NSG_Supplies!F7/1000</f>
        <v>6.62</v>
      </c>
      <c r="E17" s="815">
        <f>NSG_Supplies!F8/1000</f>
        <v>0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5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5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24.38</v>
      </c>
      <c r="E19" s="815">
        <f>NSG_Supplies!Q8/1000</f>
        <v>24.38</v>
      </c>
      <c r="F19" s="815">
        <f>NSG_Supplies!Q9/1000</f>
        <v>24.38</v>
      </c>
      <c r="G19" s="815">
        <f>NSG_Supplies!Q10/1000</f>
        <v>24.38</v>
      </c>
      <c r="H19" s="815">
        <f>NSG_Supplies!Q11/1000</f>
        <v>24.38</v>
      </c>
      <c r="I19" s="816">
        <f>NSG_Supplies!Q12/1000</f>
        <v>24.38</v>
      </c>
      <c r="J19" s="110"/>
    </row>
    <row r="20" spans="1:13" ht="24.95" customHeight="1">
      <c r="A20" s="814"/>
      <c r="B20" s="805" t="s">
        <v>136</v>
      </c>
      <c r="C20" s="805" t="s">
        <v>567</v>
      </c>
      <c r="D20" s="815">
        <f>NSG_Supplies!P7/1000</f>
        <v>7</v>
      </c>
      <c r="E20" s="815">
        <f>NSG_Supplies!P8/1000</f>
        <v>7</v>
      </c>
      <c r="F20" s="815">
        <f>NSG_Supplies!P9/1000</f>
        <v>7</v>
      </c>
      <c r="G20" s="815">
        <f>NSG_Supplies!P10/1000</f>
        <v>7</v>
      </c>
      <c r="H20" s="815">
        <f>NSG_Supplies!P11/1000</f>
        <v>7</v>
      </c>
      <c r="I20" s="816">
        <f>NSG_Supplies!P12/1000</f>
        <v>7</v>
      </c>
      <c r="J20" s="110"/>
    </row>
    <row r="21" spans="1:13" ht="24.95" customHeight="1" thickBot="1">
      <c r="A21" s="1198" t="s">
        <v>148</v>
      </c>
      <c r="B21" s="1199"/>
      <c r="C21" s="1199"/>
      <c r="D21" s="1200">
        <f t="shared" ref="D21:I21" si="2">SUM(D14:D20)</f>
        <v>38</v>
      </c>
      <c r="E21" s="1200">
        <f t="shared" si="2"/>
        <v>31.38</v>
      </c>
      <c r="F21" s="1200">
        <f t="shared" si="2"/>
        <v>31.38</v>
      </c>
      <c r="G21" s="1200">
        <f t="shared" si="2"/>
        <v>31.38</v>
      </c>
      <c r="H21" s="1200">
        <f t="shared" si="2"/>
        <v>31.38</v>
      </c>
      <c r="I21" s="1201">
        <f t="shared" si="2"/>
        <v>31.38</v>
      </c>
      <c r="J21" s="110"/>
      <c r="K21" s="111"/>
      <c r="L21" s="93"/>
      <c r="M21" s="111"/>
    </row>
    <row r="22" spans="1:13" ht="24.95" customHeight="1">
      <c r="A22" s="854" t="s">
        <v>149</v>
      </c>
      <c r="B22" s="855"/>
      <c r="C22" s="855"/>
      <c r="D22" s="856">
        <f t="shared" ref="D22:I22" ca="1" si="3">IF(D21-D11&lt;0,0,D21-D11)</f>
        <v>0</v>
      </c>
      <c r="E22" s="856">
        <f t="shared" ca="1" si="3"/>
        <v>0</v>
      </c>
      <c r="F22" s="856">
        <f t="shared" ca="1" si="3"/>
        <v>0</v>
      </c>
      <c r="G22" s="856">
        <f t="shared" ca="1" si="3"/>
        <v>0</v>
      </c>
      <c r="H22" s="856">
        <f t="shared" ca="1" si="3"/>
        <v>0</v>
      </c>
      <c r="I22" s="857">
        <f t="shared" ca="1" si="3"/>
        <v>0</v>
      </c>
      <c r="J22" s="110"/>
      <c r="K22" s="111"/>
      <c r="L22" s="93"/>
      <c r="M22" s="111"/>
    </row>
    <row r="23" spans="1:13" ht="24.95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8.620000000000001</v>
      </c>
      <c r="F23" s="840">
        <f t="shared" ca="1" si="4"/>
        <v>8.620000000000001</v>
      </c>
      <c r="G23" s="840">
        <f t="shared" ca="1" si="4"/>
        <v>8.620000000000001</v>
      </c>
      <c r="H23" s="840">
        <f t="shared" ca="1" si="4"/>
        <v>8.620000000000001</v>
      </c>
      <c r="I23" s="841">
        <f t="shared" ca="1" si="4"/>
        <v>8.620000000000001</v>
      </c>
      <c r="J23" s="110"/>
      <c r="K23" s="111"/>
      <c r="L23" s="111"/>
      <c r="M23" s="111"/>
    </row>
    <row r="24" spans="1:13" ht="24.95" customHeight="1" thickTop="1" thickBot="1">
      <c r="A24" s="1056" t="s">
        <v>680</v>
      </c>
      <c r="B24" s="1057"/>
      <c r="C24" s="1057"/>
      <c r="D24" s="1058">
        <f>NSG_Supplies!R7/1000</f>
        <v>14.39</v>
      </c>
      <c r="E24" s="1058">
        <f>NSG_Supplies!R8/1000</f>
        <v>14.39</v>
      </c>
      <c r="F24" s="1058">
        <f>NSG_Supplies!R9/1000</f>
        <v>14.39</v>
      </c>
      <c r="G24" s="1058">
        <f>NSG_Supplies!R10/1000</f>
        <v>14.39</v>
      </c>
      <c r="H24" s="1058">
        <f>NSG_Supplies!R11/1000</f>
        <v>14.39</v>
      </c>
      <c r="I24" s="1059">
        <f>NSG_Supplies!R12/1000</f>
        <v>14.39</v>
      </c>
    </row>
    <row r="25" spans="1:13" ht="24.95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5" customHeight="1" thickTop="1" thickBot="1">
      <c r="A26" s="861" t="s">
        <v>156</v>
      </c>
      <c r="B26" s="862"/>
      <c r="C26" s="862"/>
      <c r="D26" s="863">
        <f>Weather_Input!D5</f>
        <v>13</v>
      </c>
      <c r="E26" s="863">
        <f>Weather_Input!D6</f>
        <v>8</v>
      </c>
      <c r="F26" s="863">
        <f>Weather_Input!D7</f>
        <v>12</v>
      </c>
      <c r="G26" s="864"/>
      <c r="H26" s="859"/>
      <c r="I26" s="859"/>
    </row>
    <row r="27" spans="1:13" ht="15.75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E21" zoomScale="75" workbookViewId="0">
      <selection activeCell="I27" sqref="I27:J27"/>
    </sheetView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37122</v>
      </c>
      <c r="N1" s="1175" t="str">
        <f>CHOOSE(WEEKDAY(M1),"SUN","MON","TUE","WED","THU","FRI","SAT")</f>
        <v>SUN</v>
      </c>
      <c r="O1" s="576"/>
    </row>
    <row r="2" spans="1:17">
      <c r="A2" s="416" t="s">
        <v>659</v>
      </c>
      <c r="B2" s="315">
        <f>PGL_Supplies!W7/1000</f>
        <v>0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75">
      <c r="A3" s="416" t="s">
        <v>690</v>
      </c>
      <c r="B3" s="1136">
        <f>PGL_Requirements!I7/1000</f>
        <v>0.7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73</v>
      </c>
      <c r="K3" s="918">
        <f>Weather_Input!C5</f>
        <v>60</v>
      </c>
      <c r="L3" s="587" t="s">
        <v>9</v>
      </c>
      <c r="M3" s="260" t="s">
        <v>9</v>
      </c>
      <c r="N3" s="260"/>
      <c r="O3" s="258"/>
    </row>
    <row r="4" spans="1:17" ht="15.75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3</v>
      </c>
      <c r="G4" s="509" t="s">
        <v>9</v>
      </c>
      <c r="H4" s="1194"/>
      <c r="I4" t="s">
        <v>725</v>
      </c>
      <c r="J4" s="1009" t="s">
        <v>9</v>
      </c>
      <c r="K4" s="1213">
        <v>65.2</v>
      </c>
      <c r="L4" s="425"/>
      <c r="M4" s="1011"/>
      <c r="N4" s="425"/>
      <c r="O4" s="778"/>
    </row>
    <row r="5" spans="1:17" ht="16.5" thickBot="1">
      <c r="A5" s="1020" t="s">
        <v>3</v>
      </c>
      <c r="B5" s="315">
        <f>PGL_Supplies!X7/1000</f>
        <v>86.2</v>
      </c>
      <c r="C5" s="1012" t="s">
        <v>9</v>
      </c>
      <c r="D5" s="340"/>
      <c r="E5" s="1155" t="s">
        <v>420</v>
      </c>
      <c r="F5" s="936">
        <f>F3+F4</f>
        <v>3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184</v>
      </c>
      <c r="L5" s="585"/>
      <c r="M5" s="260"/>
      <c r="N5" s="585"/>
      <c r="O5" s="258"/>
    </row>
    <row r="6" spans="1:17" ht="16.5" thickBot="1">
      <c r="A6" s="542" t="s">
        <v>411</v>
      </c>
      <c r="B6" s="1015">
        <f>+B5-B3+B2-B4</f>
        <v>85.5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5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0.41799999999999998</v>
      </c>
      <c r="C8" s="577"/>
      <c r="D8" s="304"/>
      <c r="E8" s="416" t="s">
        <v>423</v>
      </c>
      <c r="F8" s="379">
        <f>PGL_Requirements!E7/1000</f>
        <v>5.0279999999999996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5"/>
      <c r="I9" s="119" t="s">
        <v>656</v>
      </c>
      <c r="J9" s="1009"/>
      <c r="K9" s="1217">
        <f>+B6</f>
        <v>85.5</v>
      </c>
      <c r="L9" s="1009"/>
      <c r="M9" s="1011"/>
      <c r="N9" s="425"/>
      <c r="O9" s="276" t="s">
        <v>9</v>
      </c>
    </row>
    <row r="10" spans="1:17" ht="15.75" thickBot="1">
      <c r="A10" s="617" t="s">
        <v>618</v>
      </c>
      <c r="B10" s="315">
        <f>PGL_Supplies!Y7/1000</f>
        <v>0.41799999999999998</v>
      </c>
      <c r="C10" s="119"/>
      <c r="D10" s="1008"/>
      <c r="E10" s="416" t="s">
        <v>714</v>
      </c>
      <c r="F10" s="944">
        <f>PGL_Supplies!AC7/1000</f>
        <v>5.0279999999999996</v>
      </c>
      <c r="G10" s="510"/>
      <c r="H10" s="1086"/>
      <c r="I10" s="1147" t="s">
        <v>707</v>
      </c>
      <c r="J10" s="273" t="s">
        <v>9</v>
      </c>
      <c r="K10" s="1216">
        <f>B11</f>
        <v>0</v>
      </c>
      <c r="L10" s="585"/>
      <c r="M10" s="597" t="s">
        <v>9</v>
      </c>
      <c r="N10" s="585"/>
      <c r="O10" s="276" t="s">
        <v>9</v>
      </c>
    </row>
    <row r="11" spans="1:17" ht="16.5" thickBot="1">
      <c r="A11" s="542" t="s">
        <v>411</v>
      </c>
      <c r="B11" s="549">
        <f>B10+B9-B8</f>
        <v>0</v>
      </c>
      <c r="C11" s="514"/>
      <c r="D11" s="514"/>
      <c r="E11" s="771" t="s">
        <v>512</v>
      </c>
      <c r="F11" s="945">
        <f>+F10+F9-F8+F7</f>
        <v>0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-149.65</v>
      </c>
      <c r="L11" s="585"/>
      <c r="M11" s="260" t="s">
        <v>9</v>
      </c>
      <c r="N11" s="585"/>
      <c r="O11" s="258"/>
    </row>
    <row r="12" spans="1:17" ht="16.5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0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150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206.036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3</v>
      </c>
      <c r="L14" s="585"/>
      <c r="M14" s="260" t="s">
        <v>9</v>
      </c>
      <c r="N14" s="585"/>
      <c r="O14" s="258"/>
    </row>
    <row r="15" spans="1:17" ht="16.5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0</v>
      </c>
      <c r="L15" s="585"/>
      <c r="M15" s="260" t="s">
        <v>9</v>
      </c>
      <c r="N15" s="585"/>
      <c r="O15" s="258"/>
    </row>
    <row r="16" spans="1:17" ht="16.5" thickBot="1">
      <c r="A16" s="416" t="s">
        <v>418</v>
      </c>
      <c r="B16" s="315">
        <f>PGL_Supplies!G7/1000</f>
        <v>1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0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0.65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-10.199999999999999</v>
      </c>
      <c r="L17" s="585"/>
      <c r="M17" s="260"/>
      <c r="N17" s="585"/>
      <c r="O17" s="258"/>
    </row>
    <row r="18" spans="1:15" ht="16.5" thickBot="1">
      <c r="A18" s="416" t="s">
        <v>653</v>
      </c>
      <c r="B18" s="315">
        <f>PGL_Requirements!P7/1000</f>
        <v>2.25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0</v>
      </c>
      <c r="L18" s="1009"/>
      <c r="M18" s="217"/>
      <c r="N18" s="1009"/>
      <c r="O18" s="778"/>
    </row>
    <row r="19" spans="1:15" ht="16.5" thickBot="1">
      <c r="A19" s="501" t="s">
        <v>420</v>
      </c>
      <c r="B19" s="1166">
        <f>-B13+B14+B16-B17-B15+B20+B21</f>
        <v>-149.65</v>
      </c>
      <c r="C19" s="503"/>
      <c r="D19" s="515"/>
      <c r="E19" s="1104" t="s">
        <v>697</v>
      </c>
      <c r="F19" s="1169">
        <f>PGL_Requirements!J7/1000</f>
        <v>0</v>
      </c>
      <c r="G19" s="998" t="s">
        <v>9</v>
      </c>
      <c r="H19" s="1105" t="s">
        <v>9</v>
      </c>
      <c r="I19" t="s">
        <v>515</v>
      </c>
      <c r="J19" s="1171"/>
      <c r="K19" s="1221">
        <f>-F24</f>
        <v>-2.5125000000000002</v>
      </c>
      <c r="L19" s="1171"/>
      <c r="M19" s="157"/>
      <c r="N19" s="1171"/>
      <c r="O19" s="1170"/>
    </row>
    <row r="20" spans="1:15" ht="16.5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132.17350000000002</v>
      </c>
      <c r="L20" s="604" t="s">
        <v>9</v>
      </c>
      <c r="M20" s="494" t="s">
        <v>9</v>
      </c>
      <c r="N20" s="604" t="s">
        <v>9</v>
      </c>
      <c r="O20" s="605"/>
    </row>
    <row r="21" spans="1:15" ht="16.5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75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51.826499999999982</v>
      </c>
      <c r="L23" s="257"/>
      <c r="M23" s="597" t="s">
        <v>9</v>
      </c>
      <c r="N23" s="257"/>
      <c r="O23" s="287"/>
    </row>
    <row r="24" spans="1:15" ht="16.5" thickBot="1">
      <c r="A24" s="416" t="s">
        <v>414</v>
      </c>
      <c r="B24" s="315">
        <f>PGL_Supplies!C7/1000</f>
        <v>0</v>
      </c>
      <c r="C24" s="343"/>
      <c r="D24" s="1085"/>
      <c r="E24" s="534" t="s">
        <v>701</v>
      </c>
      <c r="F24" s="1169">
        <f>PGL_Requirements!G7/1000*0.5</f>
        <v>2.5125000000000002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5" thickBot="1">
      <c r="A25" s="416" t="s">
        <v>693</v>
      </c>
      <c r="B25" s="938">
        <f>PGL_Supplies!C7/1000</f>
        <v>0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2.25</v>
      </c>
      <c r="L25" s="923"/>
      <c r="M25" s="1182"/>
      <c r="N25" s="924" t="s">
        <v>9</v>
      </c>
      <c r="O25" s="251"/>
    </row>
    <row r="26" spans="1:15" ht="17.25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54.076499999999982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5" thickBot="1">
      <c r="A28" s="542" t="s">
        <v>411</v>
      </c>
      <c r="B28" s="936">
        <f>-B24+B25+B26+B27</f>
        <v>0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14.4</v>
      </c>
      <c r="L28" s="298"/>
      <c r="M28" s="919" t="s">
        <v>9</v>
      </c>
      <c r="N28" s="497"/>
      <c r="O28" s="929" t="s">
        <v>9</v>
      </c>
    </row>
    <row r="29" spans="1:15" ht="16.5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0</v>
      </c>
      <c r="L29" s="298"/>
      <c r="M29" s="930" t="s">
        <v>9</v>
      </c>
      <c r="N29" s="497"/>
      <c r="O29" s="934" t="s">
        <v>9</v>
      </c>
    </row>
    <row r="30" spans="1:15" ht="15.75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-68.477999999999994</v>
      </c>
      <c r="L30" s="1119"/>
      <c r="M30" s="1023">
        <f>-PGL_Supplies!AB7/1000</f>
        <v>-68.477999999999994</v>
      </c>
      <c r="N30" s="1120"/>
      <c r="O30" s="1179">
        <f>-PGL_Supplies!AB7/1000</f>
        <v>-68.477999999999994</v>
      </c>
    </row>
    <row r="31" spans="1:15" ht="16.5" thickBot="1">
      <c r="A31" s="361" t="s">
        <v>449</v>
      </c>
      <c r="B31" s="938">
        <f>PGL_Supplies!D7/1000</f>
        <v>2.9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5" thickBot="1">
      <c r="A32" s="416" t="s">
        <v>103</v>
      </c>
      <c r="B32" s="938">
        <f>PGL_Supplies!AA7/1000+NSG_Supplies!M7/1000</f>
        <v>198.136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75" thickBot="1">
      <c r="A33" s="1076" t="s">
        <v>557</v>
      </c>
      <c r="B33" s="938">
        <f>PGL_Supplies!R7/1000</f>
        <v>10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5" thickBot="1">
      <c r="A34" s="1131" t="s">
        <v>615</v>
      </c>
      <c r="B34" s="1156">
        <f>-B30+B31+B32+B33*0.5</f>
        <v>206.036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203.52350000000001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2.5125000000000002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5" thickBot="1">
      <c r="A39" s="1078" t="s">
        <v>2</v>
      </c>
      <c r="B39" s="1178">
        <f>B35+B36+B37</f>
        <v>206.036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7.25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75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SUN</v>
      </c>
      <c r="G1" s="1181">
        <f>Weather_Input!A5</f>
        <v>37122</v>
      </c>
      <c r="H1" s="572" t="s">
        <v>243</v>
      </c>
      <c r="I1" s="576"/>
    </row>
    <row r="2" spans="1:9" ht="20.25">
      <c r="A2" s="621" t="s">
        <v>9</v>
      </c>
      <c r="B2" s="765" t="s">
        <v>509</v>
      </c>
      <c r="C2" s="908">
        <v>65.2</v>
      </c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0.25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73</v>
      </c>
      <c r="C4" s="737">
        <f>Weather_Input!C5</f>
        <v>60</v>
      </c>
      <c r="D4" s="631"/>
      <c r="E4" s="632"/>
      <c r="F4" s="631"/>
      <c r="G4" s="632"/>
      <c r="H4" s="633"/>
      <c r="I4" s="634"/>
    </row>
    <row r="5" spans="1:9" ht="24" thickBot="1">
      <c r="A5" s="635" t="s">
        <v>133</v>
      </c>
      <c r="B5" s="636"/>
      <c r="C5" s="637">
        <f>NSG_Deliveries!C5/1000</f>
        <v>31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4" thickBot="1">
      <c r="A7" s="645" t="s">
        <v>83</v>
      </c>
      <c r="B7" s="636"/>
      <c r="C7" s="742">
        <f>C5-C9-C11-C12</f>
        <v>31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0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3.25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3.25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4" thickBot="1">
      <c r="A19" s="682" t="s">
        <v>396</v>
      </c>
      <c r="B19" s="683"/>
      <c r="C19" s="684">
        <f>C7+C12</f>
        <v>31</v>
      </c>
      <c r="D19" s="685"/>
      <c r="E19" s="686"/>
      <c r="F19" s="685"/>
      <c r="G19" s="685" t="s">
        <v>9</v>
      </c>
      <c r="H19" s="683"/>
      <c r="I19" s="687"/>
    </row>
    <row r="20" spans="1:9" ht="20.25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25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25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25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25">
      <c r="A24" s="688" t="s">
        <v>405</v>
      </c>
      <c r="B24" s="693"/>
      <c r="C24" s="690">
        <f>-NSG_Supplies!F7/1000</f>
        <v>-6.62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25">
      <c r="A25" s="688" t="s">
        <v>182</v>
      </c>
      <c r="B25" s="696"/>
      <c r="C25" s="690">
        <f>-NSG_Supplies!Q7/1000</f>
        <v>-24.38</v>
      </c>
      <c r="D25" s="697"/>
      <c r="E25" s="690">
        <f>-NSG_Supplies!Q7/1000</f>
        <v>-24.38</v>
      </c>
      <c r="F25" s="697"/>
      <c r="G25" s="690">
        <f>-NSG_Supplies!Q7/1000</f>
        <v>-24.38</v>
      </c>
      <c r="H25" s="696"/>
      <c r="I25" s="753">
        <f>-NSG_Supplies!Q7/1000</f>
        <v>-24.38</v>
      </c>
    </row>
    <row r="26" spans="1:9" ht="20.25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0.25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25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25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25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25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25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25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25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25">
      <c r="A40" s="688" t="s">
        <v>474</v>
      </c>
      <c r="B40" s="787">
        <f>NSG_Requirements!J7/1000</f>
        <v>7</v>
      </c>
      <c r="C40" s="697"/>
      <c r="D40" s="715"/>
      <c r="E40" s="698"/>
      <c r="F40" s="622"/>
      <c r="G40" s="694"/>
      <c r="H40" s="694"/>
      <c r="I40" s="713"/>
    </row>
    <row r="41" spans="1:9" ht="20.25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25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25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7</v>
      </c>
      <c r="C44" s="622"/>
      <c r="D44" s="725"/>
      <c r="E44" s="726"/>
      <c r="F44" s="622"/>
      <c r="G44" s="694"/>
      <c r="H44" s="694"/>
      <c r="I44" s="713"/>
    </row>
    <row r="45" spans="1:9" ht="21" thickBot="1">
      <c r="A45" s="720" t="s">
        <v>472</v>
      </c>
      <c r="B45" s="789">
        <f>B44+B41-B40</f>
        <v>0</v>
      </c>
      <c r="C45" s="728"/>
      <c r="D45" s="727"/>
      <c r="E45" s="729"/>
      <c r="F45" s="622"/>
      <c r="G45" s="694"/>
      <c r="H45" s="694"/>
      <c r="I45" s="713"/>
    </row>
    <row r="46" spans="1:9" ht="2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25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25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25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25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37122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73</v>
      </c>
      <c r="C5" s="257">
        <f>Weather_Input!C5</f>
        <v>60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184</v>
      </c>
      <c r="C8" s="265">
        <f>NSG_Deliveries!C5/1000</f>
        <v>31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125.69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3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-63.8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10.199999999999999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0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31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2.25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31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0.65</v>
      </c>
      <c r="C27" s="301">
        <f>NSG_Requirements!P7/1000</f>
        <v>0</v>
      </c>
      <c r="D27" s="301">
        <f>PGL_Requirements!Q7/1000</f>
        <v>0.65</v>
      </c>
      <c r="E27" s="301">
        <f>NSG_Requirements!P7/1000</f>
        <v>0</v>
      </c>
      <c r="F27" s="301">
        <f>PGL_Requirements!Q7/1000</f>
        <v>0.65</v>
      </c>
      <c r="G27" s="301">
        <f>NSG_Requirements!P7/1000</f>
        <v>0</v>
      </c>
      <c r="H27" s="302">
        <f>+B27</f>
        <v>0.65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-68.477999999999994</v>
      </c>
      <c r="C32" s="306">
        <f>-NSG_Supplies!Q7/1000</f>
        <v>-24.38</v>
      </c>
      <c r="D32" s="306">
        <f>B32</f>
        <v>-68.477999999999994</v>
      </c>
      <c r="E32" s="306">
        <f>C32</f>
        <v>-24.38</v>
      </c>
      <c r="F32" s="306">
        <f>B32</f>
        <v>-68.477999999999994</v>
      </c>
      <c r="G32" s="306">
        <f>C32</f>
        <v>-24.38</v>
      </c>
      <c r="H32" s="311">
        <f>B32</f>
        <v>-68.477999999999994</v>
      </c>
      <c r="I32" s="312">
        <f>C32</f>
        <v>-24.38</v>
      </c>
    </row>
    <row r="33" spans="1:9" ht="17.100000000000001" customHeight="1">
      <c r="A33" s="310" t="s">
        <v>361</v>
      </c>
      <c r="B33" s="306">
        <f>-PGL_Supplies!W7/1000</f>
        <v>0</v>
      </c>
      <c r="C33" s="306">
        <f>-NSG_Supplies!R7/1000</f>
        <v>-14.39</v>
      </c>
      <c r="D33" s="306">
        <f>B33</f>
        <v>0</v>
      </c>
      <c r="E33" s="306">
        <f>C33</f>
        <v>-14.39</v>
      </c>
      <c r="F33" s="306">
        <f>B33</f>
        <v>0</v>
      </c>
      <c r="G33" s="306">
        <f>C33</f>
        <v>-14.39</v>
      </c>
      <c r="H33" s="311">
        <f>B33</f>
        <v>0</v>
      </c>
      <c r="I33" s="312">
        <f>C33</f>
        <v>-14.39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14.4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0</v>
      </c>
      <c r="C36" s="306">
        <f>-NSG_Supplies!F7/1000</f>
        <v>-6.62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150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2.25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2.25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126.39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0.7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125.69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0.41799999999999998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86.2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0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150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5.0279999999999996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-63.8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SUN</v>
      </c>
      <c r="H73" s="397">
        <f>Weather_Input!A5</f>
        <v>37122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75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75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5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5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-573.61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86.2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10.199999999999999</v>
      </c>
      <c r="D103" s="603"/>
      <c r="E103" s="260"/>
      <c r="F103" s="585"/>
      <c r="G103" s="260"/>
      <c r="H103" s="585"/>
      <c r="I103" s="258"/>
    </row>
    <row r="104" spans="1:9" ht="15.75" thickBot="1">
      <c r="A104" s="283" t="s">
        <v>104</v>
      </c>
      <c r="B104" s="598" t="s">
        <v>9</v>
      </c>
      <c r="C104" s="606">
        <f>PGL_Supplies!B7/1000</f>
        <v>0</v>
      </c>
      <c r="D104" s="584"/>
      <c r="E104" s="260"/>
      <c r="F104" s="585"/>
      <c r="G104" s="260"/>
      <c r="H104" s="585"/>
      <c r="I104" s="258"/>
    </row>
    <row r="105" spans="1:9" ht="16.5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5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75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5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75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75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-0.41799999999999998</v>
      </c>
      <c r="C116" s="410">
        <f>-NSG_Supplies!V7/1000</f>
        <v>0</v>
      </c>
      <c r="D116" s="306">
        <f>-PGL_Supplies!Y7/1000</f>
        <v>-0.41799999999999998</v>
      </c>
      <c r="E116" s="306">
        <f>-NSG_Supplies!V7/1000</f>
        <v>0</v>
      </c>
      <c r="F116" s="306">
        <f>-PGL_Supplies!Y7/1000</f>
        <v>-0.41799999999999998</v>
      </c>
      <c r="G116" s="306">
        <f>-NSG_Supplies!V7/1000</f>
        <v>0</v>
      </c>
      <c r="H116" s="311">
        <f>-PGL_Supplies!Y7/1000</f>
        <v>-0.41799999999999998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75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75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75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0</v>
      </c>
      <c r="C123" s="306">
        <f>-NSG_Supplies!R7/1000</f>
        <v>-14.39</v>
      </c>
      <c r="D123" s="304"/>
      <c r="E123" s="304"/>
      <c r="F123" s="304"/>
      <c r="G123" s="304"/>
      <c r="H123" s="308"/>
      <c r="I123" s="309"/>
    </row>
    <row r="124" spans="1:9" ht="16.5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0.41799999999999998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14.4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0.41799999999999998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75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5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5.75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700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75" thickBot="1">
      <c r="A140" s="416" t="s">
        <v>361</v>
      </c>
      <c r="B140" s="315">
        <f>PGL_Supplies!U7/1000</f>
        <v>126.39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5" thickBot="1">
      <c r="A141" s="542" t="s">
        <v>411</v>
      </c>
      <c r="B141" s="544">
        <f>-B135+B136+B137-B138+B139+B140</f>
        <v>-573.61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5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150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75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75" thickBot="1">
      <c r="A146" s="416" t="s">
        <v>418</v>
      </c>
      <c r="B146" s="315">
        <f>PGL_Supplies!G7/1000</f>
        <v>1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5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75" thickBot="1">
      <c r="A148" s="416" t="s">
        <v>419</v>
      </c>
      <c r="B148" s="315">
        <f>PGL_Requirements!P7/1000</f>
        <v>2.25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5" thickBot="1">
      <c r="A149" s="501" t="s">
        <v>420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75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5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5.75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5.0279999999999996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75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75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75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5" thickBot="1">
      <c r="A159" s="416" t="s">
        <v>103</v>
      </c>
      <c r="B159" s="315">
        <f>PGL_Supplies!AC7/1000</f>
        <v>5.0279999999999996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75" thickBot="1">
      <c r="A160" s="416" t="s">
        <v>361</v>
      </c>
      <c r="B160" s="594">
        <f>PGL_Supplies!X7/1000</f>
        <v>86.2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5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5" thickBot="1">
      <c r="A162" s="390" t="s">
        <v>420</v>
      </c>
      <c r="B162" s="595">
        <f>B154+B156+B158+B159+B160-B153-B155-B157-B161</f>
        <v>86.2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.75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75">
      <c r="D11" s="192" t="s">
        <v>249</v>
      </c>
    </row>
    <row r="12" spans="1:10" ht="15.75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75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37123.176634027775</v>
      </c>
      <c r="F22" s="161" t="s">
        <v>256</v>
      </c>
      <c r="G22" s="186">
        <f ca="1">NOW()</f>
        <v>37123.176634027775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75" thickBot="1"/>
    <row r="26" spans="2:9" ht="15.75" thickBot="1">
      <c r="B26" s="204" t="s">
        <v>9</v>
      </c>
      <c r="C26" s="161" t="s">
        <v>260</v>
      </c>
    </row>
    <row r="27" spans="2:9" ht="15.75" thickBot="1">
      <c r="B27" s="204" t="s">
        <v>9</v>
      </c>
      <c r="C27" s="161" t="s">
        <v>261</v>
      </c>
    </row>
    <row r="28" spans="2:9" ht="15.75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75">
      <c r="B34" s="161" t="s">
        <v>263</v>
      </c>
      <c r="E34" s="185">
        <v>0</v>
      </c>
      <c r="F34" t="s">
        <v>264</v>
      </c>
    </row>
    <row r="36" spans="2:8" ht="15.75">
      <c r="B36" s="161" t="s">
        <v>265</v>
      </c>
      <c r="E36" s="185">
        <v>0</v>
      </c>
      <c r="F36" t="s">
        <v>264</v>
      </c>
    </row>
    <row r="38" spans="2:8" ht="15.75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75">
      <c r="E39" s="163">
        <f>+E38+1</f>
        <v>35917</v>
      </c>
      <c r="F39" s="185">
        <v>0</v>
      </c>
      <c r="G39" t="s">
        <v>264</v>
      </c>
    </row>
    <row r="40" spans="2:8" ht="15.75">
      <c r="E40" s="163">
        <f>+E39+1</f>
        <v>35918</v>
      </c>
      <c r="F40" s="185">
        <v>0</v>
      </c>
      <c r="G40" t="s">
        <v>264</v>
      </c>
    </row>
    <row r="41" spans="2:8" ht="15.75">
      <c r="E41" s="163">
        <f>+E40+1</f>
        <v>35919</v>
      </c>
      <c r="F41" s="185">
        <v>0</v>
      </c>
      <c r="G41" t="s">
        <v>264</v>
      </c>
    </row>
    <row r="42" spans="2:8" ht="15.75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Sunday</v>
      </c>
      <c r="B5" s="21">
        <f>Weather_Input!A5</f>
        <v>37122</v>
      </c>
      <c r="C5" s="15"/>
      <c r="D5" s="22" t="s">
        <v>274</v>
      </c>
      <c r="E5" s="23">
        <f>Weather_Input!B5</f>
        <v>73</v>
      </c>
      <c r="F5" s="24" t="s">
        <v>275</v>
      </c>
      <c r="G5" s="25">
        <f>Weather_Input!H5</f>
        <v>0</v>
      </c>
      <c r="H5" s="26" t="s">
        <v>276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161</v>
      </c>
      <c r="E6" s="23">
        <f>Weather_Input!C5</f>
        <v>60</v>
      </c>
      <c r="F6" s="24" t="s">
        <v>277</v>
      </c>
      <c r="G6" s="25">
        <f>Weather_Input!F5</f>
        <v>0</v>
      </c>
      <c r="H6" s="26" t="s">
        <v>278</v>
      </c>
      <c r="I6" s="27">
        <f ca="1">G6-(VLOOKUP(B5,DD_Normal_Data,CELL("Col",C7),FALSE))</f>
        <v>0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66.5</v>
      </c>
      <c r="F7" s="24" t="s">
        <v>280</v>
      </c>
      <c r="G7" s="25">
        <f>Weather_Input!G5</f>
        <v>0</v>
      </c>
      <c r="H7" s="26" t="s">
        <v>280</v>
      </c>
      <c r="I7" s="120">
        <f ca="1">G7-(VLOOKUP(B5,DD_Normal_Data,CELL("Col",D4),FALSE))</f>
        <v>0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PARTLY SUNNY.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Monday</v>
      </c>
      <c r="B10" s="21">
        <f>Weather_Input!A6</f>
        <v>37123</v>
      </c>
      <c r="C10" s="15"/>
      <c r="D10" s="150" t="s">
        <v>274</v>
      </c>
      <c r="E10" s="23">
        <f>Weather_Input!B6</f>
        <v>78</v>
      </c>
      <c r="F10" s="24" t="s">
        <v>275</v>
      </c>
      <c r="G10" s="25">
        <f>IF(E12&lt;65,65-(Weather_Input!B6+Weather_Input!C6)/2,0)</f>
        <v>0</v>
      </c>
      <c r="H10" s="26" t="s">
        <v>276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161</v>
      </c>
      <c r="E11" s="23">
        <f>Weather_Input!C6</f>
        <v>60</v>
      </c>
      <c r="F11" s="24" t="s">
        <v>277</v>
      </c>
      <c r="G11" s="25">
        <f>IF(DAY(B10)=1,G10,G6+G10)</f>
        <v>0</v>
      </c>
      <c r="H11" s="30" t="s">
        <v>278</v>
      </c>
      <c r="I11" s="27">
        <f ca="1">G11-(VLOOKUP(B10,DD_Normal_Data,CELL("Col",C12),FALSE))</f>
        <v>0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69</v>
      </c>
      <c r="F12" s="24" t="s">
        <v>280</v>
      </c>
      <c r="G12" s="25">
        <f>IF(AND(DAY(B10)=1,MONTH(B10)=8),G10,G7+G10)</f>
        <v>0</v>
      </c>
      <c r="H12" s="26" t="s">
        <v>280</v>
      </c>
      <c r="I12" s="27">
        <f ca="1">G12-(VLOOKUP(B10,DD_Normal_Data,CELL("Col",D9),FALSE))</f>
        <v>0</v>
      </c>
    </row>
    <row r="13" spans="1:109" ht="15">
      <c r="A13" s="18"/>
      <c r="B13" s="21"/>
      <c r="C13" s="15"/>
      <c r="D13" s="32" t="str">
        <f>IF(Weather_Input!I6=""," ",Weather_Input!I6)</f>
        <v xml:space="preserve">PARTLY CLOUDY.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Tuesday</v>
      </c>
      <c r="B15" s="21">
        <f>Weather_Input!A7</f>
        <v>37124</v>
      </c>
      <c r="C15" s="15"/>
      <c r="D15" s="22" t="s">
        <v>274</v>
      </c>
      <c r="E15" s="23">
        <f>Weather_Input!B7</f>
        <v>83</v>
      </c>
      <c r="F15" s="24" t="s">
        <v>275</v>
      </c>
      <c r="G15" s="25">
        <f>IF(E17&lt;65,65-(Weather_Input!B7+Weather_Input!C7)/2,0)</f>
        <v>0</v>
      </c>
      <c r="H15" s="26" t="s">
        <v>276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161</v>
      </c>
      <c r="E16" s="23">
        <f>Weather_Input!C7</f>
        <v>67</v>
      </c>
      <c r="F16" s="24" t="s">
        <v>277</v>
      </c>
      <c r="G16" s="25">
        <f>IF(DAY(B15)=1,G15,G11+G15)</f>
        <v>0</v>
      </c>
      <c r="H16" s="30" t="s">
        <v>278</v>
      </c>
      <c r="I16" s="27">
        <f ca="1">G16-(VLOOKUP(B15,DD_Normal_Data,CELL("Col",C17),FALSE))</f>
        <v>0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75</v>
      </c>
      <c r="F17" s="24" t="s">
        <v>280</v>
      </c>
      <c r="G17" s="25">
        <f>IF(AND(DAY(B15)=1,MONTH(B15)=8),G15,G12+G15)</f>
        <v>0</v>
      </c>
      <c r="H17" s="26" t="s">
        <v>280</v>
      </c>
      <c r="I17" s="27">
        <f ca="1">G17-(VLOOKUP(B15,DD_Normal_Data,CELL("Col",D14),FALSE))</f>
        <v>0</v>
      </c>
    </row>
    <row r="18" spans="1:109" ht="15">
      <c r="A18" s="18"/>
      <c r="B18" s="20"/>
      <c r="C18" s="15"/>
      <c r="D18" s="32" t="str">
        <f>IF(Weather_Input!I7=""," ",Weather_Input!I7)</f>
        <v>CHANCE OF SHOWERS AND T'STORMS.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Wednesday</v>
      </c>
      <c r="B20" s="21">
        <f>Weather_Input!A8</f>
        <v>37125</v>
      </c>
      <c r="C20" s="15"/>
      <c r="D20" s="22" t="s">
        <v>274</v>
      </c>
      <c r="E20" s="23">
        <f>Weather_Input!B8</f>
        <v>86</v>
      </c>
      <c r="F20" s="24" t="s">
        <v>275</v>
      </c>
      <c r="G20" s="25">
        <f>IF(E22&lt;65,65-(Weather_Input!B8+Weather_Input!C8)/2,0)</f>
        <v>0</v>
      </c>
      <c r="H20" s="26" t="s">
        <v>276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161</v>
      </c>
      <c r="E21" s="23">
        <f>Weather_Input!C8</f>
        <v>66</v>
      </c>
      <c r="F21" s="24" t="s">
        <v>277</v>
      </c>
      <c r="G21" s="25">
        <f>IF(DAY(B20)=1,G20,G16+G20)</f>
        <v>0</v>
      </c>
      <c r="H21" s="30" t="s">
        <v>278</v>
      </c>
      <c r="I21" s="27">
        <f ca="1">G21-(VLOOKUP(B20,DD_Normal_Data,CELL("Col",C22),FALSE))</f>
        <v>0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76</v>
      </c>
      <c r="F22" s="24" t="s">
        <v>280</v>
      </c>
      <c r="G22" s="25">
        <f>IF(AND(DAY(B20)=1,MONTH(B20)=8),G20,G17+G20)</f>
        <v>0</v>
      </c>
      <c r="H22" s="26" t="s">
        <v>280</v>
      </c>
      <c r="I22" s="27">
        <f ca="1">G22-(VLOOKUP(B20,DD_Normal_Data,CELL("Col",D19),FALSE))</f>
        <v>0</v>
      </c>
    </row>
    <row r="23" spans="1:109" ht="15">
      <c r="A23" s="18"/>
      <c r="B23" s="21"/>
      <c r="C23" s="15"/>
      <c r="D23" s="32" t="str">
        <f>IF(Weather_Input!I8=""," ",Weather_Input!I8)</f>
        <v>CHANCE OF SHOWERS AND T'STORMS.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Thursday</v>
      </c>
      <c r="B25" s="21">
        <f>Weather_Input!A9</f>
        <v>37126</v>
      </c>
      <c r="C25" s="15"/>
      <c r="D25" s="22" t="s">
        <v>274</v>
      </c>
      <c r="E25" s="23">
        <f>Weather_Input!B9</f>
        <v>87</v>
      </c>
      <c r="F25" s="24" t="s">
        <v>275</v>
      </c>
      <c r="G25" s="25">
        <f>IF(E27&lt;65,65-(Weather_Input!B9+Weather_Input!C9)/2,0)</f>
        <v>0</v>
      </c>
      <c r="H25" s="26" t="s">
        <v>276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161</v>
      </c>
      <c r="E26" s="23">
        <f>Weather_Input!C9</f>
        <v>68</v>
      </c>
      <c r="F26" s="24" t="s">
        <v>277</v>
      </c>
      <c r="G26" s="25">
        <f>IF(DAY(B25)=1,G25,G21+G25)</f>
        <v>0</v>
      </c>
      <c r="H26" s="30" t="s">
        <v>278</v>
      </c>
      <c r="I26" s="27">
        <f ca="1">G26-(VLOOKUP(B25,DD_Normal_Data,CELL("Col",C27),FALSE))</f>
        <v>0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77.5</v>
      </c>
      <c r="F27" s="24" t="s">
        <v>280</v>
      </c>
      <c r="G27" s="25">
        <f>IF(AND(DAY(B25)=1,MONTH(B25)=8),G25,G22+G25)</f>
        <v>0</v>
      </c>
      <c r="H27" s="26" t="s">
        <v>280</v>
      </c>
      <c r="I27" s="27">
        <f ca="1">G27-(VLOOKUP(B25,DD_Normal_Data,CELL("Col",D24),FALSE))</f>
        <v>0</v>
      </c>
    </row>
    <row r="28" spans="1:109" ht="15">
      <c r="A28" s="18"/>
      <c r="B28" s="20"/>
      <c r="C28" s="15"/>
      <c r="D28" s="32" t="str">
        <f>IF(Weather_Input!I9=""," ",Weather_Input!I9)</f>
        <v>CHANCE OF SHOWERS AND T'STORMS.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Friday</v>
      </c>
      <c r="B30" s="21">
        <f>Weather_Input!A10</f>
        <v>37127</v>
      </c>
      <c r="C30" s="15"/>
      <c r="D30" s="22" t="s">
        <v>274</v>
      </c>
      <c r="E30" s="23">
        <f>Weather_Input!B10</f>
        <v>87</v>
      </c>
      <c r="F30" s="24" t="s">
        <v>275</v>
      </c>
      <c r="G30" s="25">
        <f>IF(E32&lt;65,65-(Weather_Input!B10+Weather_Input!C10)/2,0)</f>
        <v>0</v>
      </c>
      <c r="H30" s="26" t="s">
        <v>276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161</v>
      </c>
      <c r="E31" s="23">
        <f>Weather_Input!C10</f>
        <v>68</v>
      </c>
      <c r="F31" s="24" t="s">
        <v>277</v>
      </c>
      <c r="G31" s="25">
        <f>IF(DAY(B30)=1,G30,G26+G30)</f>
        <v>0</v>
      </c>
      <c r="H31" s="30" t="s">
        <v>278</v>
      </c>
      <c r="I31" s="27">
        <f ca="1">G31-(VLOOKUP(B30,DD_Normal_Data,CELL("Col",C32),FALSE))</f>
        <v>-1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77.5</v>
      </c>
      <c r="F32" s="24" t="s">
        <v>280</v>
      </c>
      <c r="G32" s="25">
        <f>IF(AND(DAY(B30)=1,MONTH(B30)=8),G30,G27+G30)</f>
        <v>0</v>
      </c>
      <c r="H32" s="26" t="s">
        <v>280</v>
      </c>
      <c r="I32" s="27">
        <f ca="1">G32-(VLOOKUP(B30,DD_Normal_Data,CELL("Col",D29),FALSE))</f>
        <v>-1</v>
      </c>
    </row>
    <row r="33" spans="1:9" ht="15">
      <c r="A33" s="15"/>
      <c r="B33" s="34"/>
      <c r="C33" s="15"/>
      <c r="D33" s="32" t="str">
        <f>IF(Weather_Input!I10=""," ",Weather_Input!I10)</f>
        <v>CHANCE OF SHOWERS AND T'STORMS.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37122</v>
      </c>
      <c r="C36" s="89">
        <f>B10</f>
        <v>37123</v>
      </c>
      <c r="D36" s="89">
        <f>B15</f>
        <v>37124</v>
      </c>
      <c r="E36" s="89">
        <f xml:space="preserve">       B20</f>
        <v>37125</v>
      </c>
      <c r="F36" s="89">
        <f>B25</f>
        <v>37126</v>
      </c>
      <c r="G36" s="89">
        <f>B30</f>
        <v>37127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184</v>
      </c>
      <c r="C37" s="41">
        <f ca="1">(VLOOKUP(C36,PGL_Sendouts,(CELL("COL",PGL_Deliveries!C7))))/1000</f>
        <v>195</v>
      </c>
      <c r="D37" s="41">
        <f ca="1">(VLOOKUP(D36,PGL_Sendouts,(CELL("COL",PGL_Deliveries!C8))))/1000</f>
        <v>195</v>
      </c>
      <c r="E37" s="41">
        <f ca="1">(VLOOKUP(E36,PGL_Sendouts,(CELL("COL",PGL_Deliveries!C9))))/1000</f>
        <v>195</v>
      </c>
      <c r="F37" s="41">
        <f ca="1">(VLOOKUP(F36,PGL_Sendouts,(CELL("COL",PGL_Deliveries!C10))))/1000</f>
        <v>195</v>
      </c>
      <c r="G37" s="41">
        <f ca="1">(VLOOKUP(G36,PGL_Sendouts,(CELL("COL",PGL_Deliveries!C10))))/1000</f>
        <v>195</v>
      </c>
      <c r="H37" s="14"/>
      <c r="I37" s="15"/>
    </row>
    <row r="38" spans="1:9" ht="15">
      <c r="A38" s="15" t="s">
        <v>285</v>
      </c>
      <c r="B38" s="41">
        <f>PGL_6_Day_Report!D25</f>
        <v>370.15849999999995</v>
      </c>
      <c r="C38" s="41">
        <f>PGL_6_Day_Report!E25</f>
        <v>364.23349999999999</v>
      </c>
      <c r="D38" s="41">
        <f>PGL_6_Day_Report!F25</f>
        <v>353.346</v>
      </c>
      <c r="E38" s="41">
        <f>PGL_6_Day_Report!G25</f>
        <v>353.346</v>
      </c>
      <c r="F38" s="41">
        <f>PGL_6_Day_Report!H25</f>
        <v>353.346</v>
      </c>
      <c r="G38" s="41">
        <f>PGL_6_Day_Report!I25</f>
        <v>353.346</v>
      </c>
      <c r="H38" s="14"/>
      <c r="I38" s="15"/>
    </row>
    <row r="39" spans="1:9" ht="15">
      <c r="A39" s="42" t="s">
        <v>103</v>
      </c>
      <c r="B39" s="41">
        <f>SUM(PGL_Supplies!Y7:AD7)/1000</f>
        <v>272.06</v>
      </c>
      <c r="C39" s="41">
        <f>SUM(PGL_Supplies!Y8:AD8)/1000</f>
        <v>272.06</v>
      </c>
      <c r="D39" s="41">
        <f>SUM(PGL_Supplies!Y9:AD9)/1000</f>
        <v>272.06</v>
      </c>
      <c r="E39" s="41">
        <f>SUM(PGL_Supplies!Y10:AD10)/1000</f>
        <v>272.06</v>
      </c>
      <c r="F39" s="41">
        <f>SUM(PGL_Supplies!Y11:AD11)/1000</f>
        <v>272.06</v>
      </c>
      <c r="G39" s="41">
        <f>SUM(PGL_Supplies!Y12:AD12)/1000</f>
        <v>272.06</v>
      </c>
      <c r="H39" s="14"/>
      <c r="I39" s="15"/>
    </row>
    <row r="40" spans="1:9" ht="15">
      <c r="A40" s="42" t="s">
        <v>286</v>
      </c>
      <c r="B40" s="41" t="e">
        <f>(PGL_Supplies!M7+PGL_Supplies!#REF!+PGL_Supplies!N7+PGL_Supplies!P7+PGL_Supplies!Q7)/1000</f>
        <v>#REF!</v>
      </c>
      <c r="C40" s="41" t="e">
        <f>(PGL_Supplies!M8+PGL_Supplies!#REF!+PGL_Supplies!N8+PGL_Supplies!P8+PGL_Supplies!Q8)/1000</f>
        <v>#REF!</v>
      </c>
      <c r="D40" s="41" t="e">
        <f>(PGL_Supplies!M9+PGL_Supplies!#REF!+PGL_Supplies!N9+PGL_Supplies!P9+PGL_Supplies!Q9)/1000</f>
        <v>#REF!</v>
      </c>
      <c r="E40" s="41" t="e">
        <f>(PGL_Supplies!M10+PGL_Supplies!#REF!+PGL_Supplies!N10+PGL_Supplies!P10+PGL_Supplies!Q10)/1000</f>
        <v>#REF!</v>
      </c>
      <c r="F40" s="41" t="e">
        <f>(PGL_Supplies!M11+PGL_Supplies!#REF!+PGL_Supplies!N11+PGL_Supplies!P11+PGL_Supplies!Q11)/1000</f>
        <v>#REF!</v>
      </c>
      <c r="G40" s="41" t="e">
        <f>(PGL_Supplies!M12+PGL_Supplies!#REF!+PGL_Supplies!N12+PGL_Supplies!P12+PGL_Supplies!Q12)/1000</f>
        <v>#REF!</v>
      </c>
      <c r="H40" s="14"/>
      <c r="I40" s="15"/>
    </row>
    <row r="41" spans="1:9" ht="15">
      <c r="A41" s="45" t="s">
        <v>287</v>
      </c>
      <c r="B41" s="41">
        <f>SUM(PGL_Requirements!Q7:T7)/1000</f>
        <v>1.0680000000000001</v>
      </c>
      <c r="C41" s="41">
        <f>SUM(PGL_Requirements!Q7:T7)/1000</f>
        <v>1.0680000000000001</v>
      </c>
      <c r="D41" s="41">
        <f>SUM(PGL_Requirements!Q7:T7)/1000</f>
        <v>1.0680000000000001</v>
      </c>
      <c r="E41" s="41">
        <f>SUM(PGL_Requirements!Q7:T7)/1000</f>
        <v>1.0680000000000001</v>
      </c>
      <c r="F41" s="41">
        <f>SUM(PGL_Requirements!Q7:T7)/1000</f>
        <v>1.0680000000000001</v>
      </c>
      <c r="G41" s="41">
        <f>SUM(PGL_Requirements!Q7:T7)/1000</f>
        <v>1.0680000000000001</v>
      </c>
      <c r="H41" s="14"/>
      <c r="I41" s="15"/>
    </row>
    <row r="42" spans="1:9" ht="15">
      <c r="A42" s="15" t="s">
        <v>126</v>
      </c>
      <c r="B42" s="41">
        <f>PGL_Supplies!U7/1000</f>
        <v>126.39</v>
      </c>
      <c r="C42" s="41">
        <f>PGL_Supplies!U8/1000</f>
        <v>126.39</v>
      </c>
      <c r="D42" s="41">
        <f>PGL_Supplies!U9/1000</f>
        <v>126.39</v>
      </c>
      <c r="E42" s="41">
        <f>PGL_Supplies!U10/1000</f>
        <v>126.39</v>
      </c>
      <c r="F42" s="41">
        <f>PGL_Supplies!U11/1000</f>
        <v>126.39</v>
      </c>
      <c r="G42" s="41">
        <f>PGL_Supplies!U12/1000</f>
        <v>126.39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37122</v>
      </c>
      <c r="C44" s="89">
        <f t="shared" si="0"/>
        <v>37123</v>
      </c>
      <c r="D44" s="89">
        <f t="shared" si="0"/>
        <v>37124</v>
      </c>
      <c r="E44" s="89">
        <f t="shared" si="0"/>
        <v>37125</v>
      </c>
      <c r="F44" s="89">
        <f t="shared" si="0"/>
        <v>37126</v>
      </c>
      <c r="G44" s="89">
        <f t="shared" si="0"/>
        <v>37127</v>
      </c>
      <c r="H44" s="14"/>
      <c r="I44" s="15"/>
    </row>
    <row r="45" spans="1:9" ht="15">
      <c r="A45" s="15" t="s">
        <v>54</v>
      </c>
      <c r="B45" s="41">
        <f ca="1">NSG_6_Day_Report!D6</f>
        <v>31</v>
      </c>
      <c r="C45" s="41">
        <f ca="1">NSG_6_Day_Report!E6</f>
        <v>33</v>
      </c>
      <c r="D45" s="41">
        <f ca="1">NSG_6_Day_Report!F6</f>
        <v>33</v>
      </c>
      <c r="E45" s="41">
        <f ca="1">NSG_6_Day_Report!G6</f>
        <v>33</v>
      </c>
      <c r="F45" s="41">
        <f ca="1">NSG_6_Day_Report!H6</f>
        <v>33</v>
      </c>
      <c r="G45" s="41">
        <f ca="1">NSG_6_Day_Report!I6</f>
        <v>33</v>
      </c>
      <c r="H45" s="14"/>
      <c r="I45" s="15"/>
    </row>
    <row r="46" spans="1:9" ht="15">
      <c r="A46" s="42" t="s">
        <v>285</v>
      </c>
      <c r="B46" s="41">
        <f ca="1">NSG_6_Day_Report!D11</f>
        <v>38</v>
      </c>
      <c r="C46" s="41">
        <f ca="1">NSG_6_Day_Report!E11</f>
        <v>40</v>
      </c>
      <c r="D46" s="41">
        <f ca="1">NSG_6_Day_Report!F11</f>
        <v>40</v>
      </c>
      <c r="E46" s="41">
        <f ca="1">NSG_6_Day_Report!G11</f>
        <v>40</v>
      </c>
      <c r="F46" s="41">
        <f ca="1">NSG_6_Day_Report!H11</f>
        <v>40</v>
      </c>
      <c r="G46" s="41">
        <f ca="1">NSG_6_Day_Report!I11</f>
        <v>40</v>
      </c>
      <c r="H46" s="14"/>
      <c r="I46" s="15"/>
    </row>
    <row r="47" spans="1:9" ht="15">
      <c r="A47" s="42" t="s">
        <v>103</v>
      </c>
      <c r="B47" s="41">
        <f>SUM(NSG_Supplies!O7:Q7)/1000</f>
        <v>31.38</v>
      </c>
      <c r="C47" s="41">
        <f>SUM(NSG_Supplies!O8:Q8)/1000</f>
        <v>31.38</v>
      </c>
      <c r="D47" s="41">
        <f>SUM(NSG_Supplies!O9:Q9)/1000</f>
        <v>31.38</v>
      </c>
      <c r="E47" s="41">
        <f>SUM(NSG_Supplies!O10:Q10)/1000</f>
        <v>31.38</v>
      </c>
      <c r="F47" s="41">
        <f>SUM(NSG_Supplies!O11:Q11)/1000</f>
        <v>31.38</v>
      </c>
      <c r="G47" s="41">
        <f>SUM(NSG_Supplies!O12:Q12)/1000</f>
        <v>31.38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14.39</v>
      </c>
      <c r="C50" s="41">
        <f>NSG_Supplies!R8/1000</f>
        <v>14.39</v>
      </c>
      <c r="D50" s="41">
        <f>NSG_Supplies!R9/1000</f>
        <v>14.39</v>
      </c>
      <c r="E50" s="41">
        <f>NSG_Supplies!R10/1000</f>
        <v>14.39</v>
      </c>
      <c r="F50" s="41">
        <f>NSG_Supplies!R11/1000</f>
        <v>14.39</v>
      </c>
      <c r="G50" s="41">
        <f>NSG_Supplies!R12/1000</f>
        <v>14.39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37122</v>
      </c>
      <c r="C52" s="89">
        <f t="shared" si="1"/>
        <v>37123</v>
      </c>
      <c r="D52" s="89">
        <f t="shared" si="1"/>
        <v>37124</v>
      </c>
      <c r="E52" s="89">
        <f t="shared" si="1"/>
        <v>37125</v>
      </c>
      <c r="F52" s="89">
        <f t="shared" si="1"/>
        <v>37126</v>
      </c>
      <c r="G52" s="89">
        <f t="shared" si="1"/>
        <v>37127</v>
      </c>
      <c r="H52" s="14"/>
      <c r="I52" s="15"/>
    </row>
    <row r="53" spans="1:9" ht="15">
      <c r="A53" s="92" t="s">
        <v>289</v>
      </c>
      <c r="B53" s="41">
        <f>PGL_Requirements!O7/1000</f>
        <v>150</v>
      </c>
      <c r="C53" s="41">
        <f>PGL_Requirements!O8/1000</f>
        <v>150</v>
      </c>
      <c r="D53" s="41">
        <f>PGL_Requirements!O9/1000</f>
        <v>150</v>
      </c>
      <c r="E53" s="41">
        <f>PGL_Requirements!O10/1000</f>
        <v>150</v>
      </c>
      <c r="F53" s="41">
        <f>PGL_Requirements!O11/1000</f>
        <v>150</v>
      </c>
      <c r="G53" s="41">
        <f>PGL_Requirements!O12/1000</f>
        <v>150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43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26"/>
    </row>
    <row r="3" spans="1:8" ht="15.75" thickBot="1">
      <c r="A3" s="96" t="s">
        <v>295</v>
      </c>
    </row>
    <row r="4" spans="1:8">
      <c r="A4" s="97"/>
      <c r="B4" s="1027" t="str">
        <f>Six_Day_Summary!A10</f>
        <v>Monday</v>
      </c>
      <c r="C4" s="1028" t="str">
        <f>Six_Day_Summary!A15</f>
        <v>Tuesday</v>
      </c>
      <c r="D4" s="1028" t="str">
        <f>Six_Day_Summary!A20</f>
        <v>Wednesday</v>
      </c>
      <c r="E4" s="1028" t="str">
        <f>Six_Day_Summary!A25</f>
        <v>Thursday</v>
      </c>
      <c r="F4" s="1029" t="str">
        <f>Six_Day_Summary!A30</f>
        <v>Friday</v>
      </c>
      <c r="G4" s="98"/>
    </row>
    <row r="5" spans="1:8">
      <c r="A5" s="101" t="s">
        <v>296</v>
      </c>
      <c r="B5" s="1030">
        <f>Weather_Input!A6</f>
        <v>37123</v>
      </c>
      <c r="C5" s="1031">
        <f>Weather_Input!A7</f>
        <v>37124</v>
      </c>
      <c r="D5" s="1031">
        <f>Weather_Input!A8</f>
        <v>37125</v>
      </c>
      <c r="E5" s="1031">
        <f>Weather_Input!A9</f>
        <v>37126</v>
      </c>
      <c r="F5" s="1032">
        <f>Weather_Input!A10</f>
        <v>37127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68.477999999999994</v>
      </c>
      <c r="C6" s="1033">
        <f>PGL_Supplies!AB9/1000+PGL_Supplies!K9/1000-PGL_Requirements!N9/1000+C15-PGL_Requirements!S9/1000</f>
        <v>68.477999999999994</v>
      </c>
      <c r="D6" s="1033">
        <f>PGL_Supplies!AB10/1000+PGL_Supplies!K10/1000-PGL_Requirements!N10/1000+D15-PGL_Requirements!S10/1000</f>
        <v>68.477999999999994</v>
      </c>
      <c r="E6" s="1033">
        <f>PGL_Supplies!AB11/1000+PGL_Supplies!K11/1000-PGL_Requirements!N11/1000+E15-PGL_Requirements!S11/1000</f>
        <v>68.477999999999994</v>
      </c>
      <c r="F6" s="1034">
        <f>PGL_Supplies!AB12/1000+PGL_Supplies!K12/1000-PGL_Requirements!N12/1000+F15-PGL_Requirements!S12/1000</f>
        <v>68.477999999999994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75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5.75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Monday</v>
      </c>
      <c r="C21" s="1043" t="str">
        <f t="shared" si="0"/>
        <v>Tuesday</v>
      </c>
      <c r="D21" s="1043" t="str">
        <f t="shared" si="0"/>
        <v>Wednesday</v>
      </c>
      <c r="E21" s="1043" t="str">
        <f t="shared" si="0"/>
        <v>Thursday</v>
      </c>
      <c r="F21" s="1044" t="str">
        <f t="shared" si="0"/>
        <v>Friday</v>
      </c>
      <c r="G21" s="98"/>
    </row>
    <row r="22" spans="1:7">
      <c r="A22" s="105" t="s">
        <v>296</v>
      </c>
      <c r="B22" s="1045">
        <f t="shared" si="0"/>
        <v>37123</v>
      </c>
      <c r="C22" s="1045">
        <f t="shared" si="0"/>
        <v>37124</v>
      </c>
      <c r="D22" s="1045">
        <f t="shared" si="0"/>
        <v>37125</v>
      </c>
      <c r="E22" s="1045">
        <f t="shared" si="0"/>
        <v>37126</v>
      </c>
      <c r="F22" s="1046">
        <f t="shared" si="0"/>
        <v>37127</v>
      </c>
      <c r="G22" s="98"/>
    </row>
    <row r="23" spans="1:7">
      <c r="A23" s="98" t="s">
        <v>297</v>
      </c>
      <c r="B23" s="1039">
        <f>NSG_Supplies!Q8/1000+NSG_Supplies!F8/1000-NSG_Requirements!H8/1000</f>
        <v>24.38</v>
      </c>
      <c r="C23" s="1039">
        <f>NSG_Supplies!Q9/1000+NSG_Supplies!F9/1000-NSG_Requirements!H9/1000</f>
        <v>24.38</v>
      </c>
      <c r="D23" s="1039">
        <f>NSG_Supplies!Q10/1000+NSG_Supplies!F10/1000-NSG_Requirements!H10/1000</f>
        <v>24.38</v>
      </c>
      <c r="E23" s="1039">
        <f>NSG_Supplies!Q12/1000+NSG_Supplies!F11/1000-NSG_Requirements!H11/1000</f>
        <v>24.38</v>
      </c>
      <c r="F23" s="1034">
        <f>NSG_Supplies!Q12/1000+NSG_Supplies!F12/1000-NSG_Requirements!H12/1000</f>
        <v>24.38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75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38"/>
      <c r="B1" s="1227" t="s">
        <v>763</v>
      </c>
      <c r="C1" s="1228">
        <f>Weather_Input!A6</f>
        <v>37123</v>
      </c>
      <c r="D1" s="1229" t="s">
        <v>764</v>
      </c>
      <c r="E1" s="1230"/>
      <c r="F1" s="1231"/>
      <c r="G1" s="421"/>
      <c r="H1" s="421"/>
      <c r="I1" s="984"/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7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7</v>
      </c>
      <c r="E4" s="1237"/>
      <c r="F4" s="169" t="s">
        <v>768</v>
      </c>
      <c r="G4" s="60"/>
      <c r="H4" s="151">
        <f>PGL_Requirements!O8/1000</f>
        <v>150</v>
      </c>
      <c r="I4" s="173">
        <f>AVERAGE(H4/1.025)</f>
        <v>146.34146341463415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0</v>
      </c>
      <c r="D5" s="427"/>
      <c r="E5" s="1240">
        <f>AVERAGE(C5/24)</f>
        <v>0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6.25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5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198.136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86.2</v>
      </c>
      <c r="D11" s="764"/>
      <c r="E11" s="1248"/>
      <c r="F11" s="1249" t="s">
        <v>778</v>
      </c>
      <c r="G11" s="1250">
        <f>G8+G10</f>
        <v>203.136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86.2</v>
      </c>
      <c r="D14" s="427"/>
      <c r="E14" s="1240">
        <f>AVERAGE(C14/24)</f>
        <v>3.5916666666666668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0.41799999999999998</v>
      </c>
      <c r="D15" s="60"/>
      <c r="E15" s="158"/>
      <c r="F15" s="1252" t="s">
        <v>785</v>
      </c>
      <c r="G15" s="1250">
        <f>SUM(G11)-G16-G17-H13</f>
        <v>181.36099999999999</v>
      </c>
      <c r="H15" s="427" t="s">
        <v>9</v>
      </c>
      <c r="I15" s="1240">
        <f>AVERAGE(G15/24)</f>
        <v>7.5567083333333329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0.41799999999999998</v>
      </c>
      <c r="E16" s="158"/>
      <c r="F16" s="1252" t="s">
        <v>786</v>
      </c>
      <c r="G16" s="1239">
        <f>PGL_Requirements!G8/1000</f>
        <v>21.774999999999999</v>
      </c>
      <c r="H16" s="1239" t="s">
        <v>9</v>
      </c>
      <c r="I16" s="1240">
        <f>AVERAGE(G16/24)</f>
        <v>0.90729166666666661</v>
      </c>
    </row>
    <row r="17" spans="1:9" ht="15.75" customHeight="1" thickTop="1" thickBot="1">
      <c r="B17" s="1249" t="s">
        <v>778</v>
      </c>
      <c r="C17" s="1250">
        <f>SUM(C15:C16)-SUM(D15:D16)</f>
        <v>0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0</v>
      </c>
      <c r="D20" s="1260" t="s">
        <v>9</v>
      </c>
      <c r="E20" s="1240">
        <f>AVERAGE(C20/24)</f>
        <v>0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5.0279999999999996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5.0279999999999996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5.0279999999999996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0</v>
      </c>
      <c r="H25" s="421"/>
      <c r="I25" s="1262">
        <f>AVERAGE(G25/24)</f>
        <v>0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816</v>
      </c>
      <c r="C28" s="193" t="s">
        <v>817</v>
      </c>
      <c r="D28" s="193" t="s">
        <v>818</v>
      </c>
      <c r="E28" t="s">
        <v>819</v>
      </c>
      <c r="F28" s="103"/>
    </row>
    <row r="29" spans="1:9" ht="15.75" customHeight="1">
      <c r="B29" s="1" t="s">
        <v>820</v>
      </c>
      <c r="C29" s="193" t="s">
        <v>817</v>
      </c>
      <c r="D29" s="193" t="s">
        <v>818</v>
      </c>
      <c r="E29" t="s">
        <v>819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52" customWidth="1"/>
    <col min="2" max="2" width="8.109375" style="952" customWidth="1"/>
    <col min="3" max="3" width="7.88671875" style="952" customWidth="1"/>
    <col min="4" max="4" width="5.88671875" style="952" customWidth="1"/>
    <col min="5" max="5" width="4.44140625" style="952" customWidth="1"/>
    <col min="6" max="6" width="5.21875" style="952" customWidth="1"/>
    <col min="7" max="7" width="9" style="952" customWidth="1"/>
    <col min="8" max="11" width="8.88671875" style="952"/>
    <col min="12" max="12" width="14.88671875" style="952" customWidth="1"/>
    <col min="13" max="13" width="5.6640625" style="952" customWidth="1"/>
    <col min="14" max="16384" width="8.88671875" style="952"/>
  </cols>
  <sheetData>
    <row r="1" spans="1:22" ht="22.5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37123</v>
      </c>
      <c r="I1" s="887"/>
      <c r="J1" s="889"/>
      <c r="K1" s="889"/>
    </row>
    <row r="2" spans="1:22" ht="16.5" customHeight="1">
      <c r="A2" s="907" t="s">
        <v>606</v>
      </c>
      <c r="C2" s="953">
        <v>343</v>
      </c>
      <c r="F2" s="954">
        <v>344</v>
      </c>
      <c r="H2" s="889"/>
      <c r="I2" s="887" t="s">
        <v>608</v>
      </c>
      <c r="J2" s="909">
        <f>NSG_Supplies!P8/1000</f>
        <v>7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0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5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5" customHeight="1">
      <c r="A9" s="909">
        <f>PGL_Supplies!H8/1000</f>
        <v>3</v>
      </c>
      <c r="H9" s="909">
        <f>NSG_Supplies!Q8/1000+NSG_Supplies!F8/1000-NSG_Requirements!H8/1000</f>
        <v>24.38</v>
      </c>
      <c r="I9" s="958"/>
      <c r="K9" s="887" t="s">
        <v>610</v>
      </c>
      <c r="L9" s="909">
        <f>NSG_Deliveries!C6/1000</f>
        <v>33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5" customHeight="1">
      <c r="A11" s="909">
        <f>Billy_Sheet!C17</f>
        <v>0</v>
      </c>
      <c r="B11" s="958"/>
      <c r="H11" s="909">
        <f>NSG_Supplies!T8/1000</f>
        <v>0</v>
      </c>
      <c r="K11" s="890" t="s">
        <v>611</v>
      </c>
      <c r="L11" s="915">
        <f>SUM(K4+K17+K19+H11+H9-L9)</f>
        <v>-8.620000000000001</v>
      </c>
      <c r="N11" s="890"/>
      <c r="O11" s="915"/>
      <c r="U11" s="889"/>
      <c r="V11" s="903"/>
    </row>
    <row r="12" spans="1:22" ht="14.45" customHeight="1">
      <c r="A12" s="887" t="s">
        <v>658</v>
      </c>
      <c r="H12" s="909"/>
      <c r="U12" s="889"/>
      <c r="V12" s="909"/>
    </row>
    <row r="13" spans="1:22" ht="14.45" customHeight="1">
      <c r="A13" s="956">
        <f>PGL_Supplies!X8/1000</f>
        <v>86.2</v>
      </c>
      <c r="H13" s="909"/>
      <c r="U13" s="889"/>
      <c r="V13" s="909"/>
    </row>
    <row r="14" spans="1:22" ht="14.45" customHeight="1">
      <c r="H14" s="909"/>
      <c r="U14" s="889"/>
      <c r="V14" s="909"/>
    </row>
    <row r="15" spans="1:22" ht="15.6" customHeight="1">
      <c r="B15" s="952" t="s">
        <v>9</v>
      </c>
      <c r="C15" s="959">
        <v>345</v>
      </c>
      <c r="D15" s="952">
        <v>410</v>
      </c>
      <c r="F15" s="959">
        <v>345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400</v>
      </c>
      <c r="D18" s="961"/>
      <c r="E18" s="961"/>
      <c r="F18" s="954">
        <v>822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181.36099999999999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0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195</v>
      </c>
      <c r="L26" s="887" t="s">
        <v>610</v>
      </c>
      <c r="M26" s="909">
        <f>NSG_Deliveries!C6/1000</f>
        <v>33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99.785999999999973</v>
      </c>
      <c r="L28" s="890" t="s">
        <v>650</v>
      </c>
      <c r="M28" s="915">
        <f>SUM(J2+K17+K19+H11+H9-M26)</f>
        <v>-1.620000000000001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37122</v>
      </c>
      <c r="G29" s="909">
        <f>PGL_Requirements!G7/1000</f>
        <v>5.0250000000000004</v>
      </c>
      <c r="H29" s="888"/>
      <c r="J29" s="890" t="s">
        <v>614</v>
      </c>
      <c r="K29" s="909">
        <f>PGL_Supplies!AB8/1000+PGL_Supplies!K8/1000-PGL_Requirements!N8/1000</f>
        <v>68.477999999999994</v>
      </c>
    </row>
    <row r="30" spans="1:17" ht="10.5" customHeight="1">
      <c r="A30" s="892"/>
      <c r="B30" s="909"/>
      <c r="C30" s="890"/>
      <c r="D30" s="909"/>
      <c r="F30" s="1006">
        <f>PGL_Requirements!A8</f>
        <v>37123</v>
      </c>
      <c r="G30" s="909">
        <f>PGL_Requirements!G8/1000</f>
        <v>21.774999999999999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-26.736000000000047</v>
      </c>
    </row>
    <row r="32" spans="1:17">
      <c r="A32" s="909">
        <f>PGL_Supplies!G8/1000</f>
        <v>1</v>
      </c>
      <c r="G32" s="909">
        <f>PGL_Requirements!O8/1000</f>
        <v>150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420</v>
      </c>
      <c r="F38" s="959">
        <v>753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271.56099999999998</v>
      </c>
      <c r="B40" s="903"/>
      <c r="C40" s="902"/>
      <c r="D40" s="903"/>
      <c r="E40" s="903"/>
      <c r="F40" s="969"/>
      <c r="G40" s="969">
        <f>SUM(G30:G35)</f>
        <v>171.77500000000001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99.785999999999973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344.5</v>
      </c>
      <c r="E45" s="974"/>
      <c r="F45" s="975">
        <v>6.7000000000000004E-2</v>
      </c>
      <c r="G45" s="976">
        <f>(C45-D45)*F45</f>
        <v>4.3885000000000005</v>
      </c>
      <c r="H45" s="976">
        <f>(D45-B45)*F45</f>
        <v>6.3315000000000001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344</v>
      </c>
      <c r="E47" s="974"/>
      <c r="F47" s="975">
        <v>0.14099999999999999</v>
      </c>
      <c r="G47" s="976">
        <f>(C47-D47)*F47</f>
        <v>9.3059999999999992</v>
      </c>
      <c r="H47" s="976">
        <f>(D47-B47)*F47</f>
        <v>13.254</v>
      </c>
      <c r="I47" s="909"/>
    </row>
    <row r="48" spans="1:11">
      <c r="A48" s="889" t="s">
        <v>593</v>
      </c>
      <c r="B48" s="978">
        <v>285</v>
      </c>
      <c r="C48" s="972">
        <v>750</v>
      </c>
      <c r="D48" s="973">
        <f>SUM(C18+C38)/2</f>
        <v>410</v>
      </c>
      <c r="E48" s="974"/>
      <c r="F48" s="975">
        <v>0.161</v>
      </c>
      <c r="G48" s="976">
        <f>(C48-D48)*F48</f>
        <v>54.74</v>
      </c>
      <c r="H48" s="976">
        <f>(D48-B48)*F48</f>
        <v>20.125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68.4345</v>
      </c>
      <c r="H49" s="976">
        <f>SUM(H45:H48)</f>
        <v>39.710499999999996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37122</v>
      </c>
      <c r="B5" s="11">
        <v>73</v>
      </c>
      <c r="C5" s="49">
        <v>60</v>
      </c>
      <c r="D5" s="49">
        <v>13</v>
      </c>
      <c r="E5" s="11" t="s">
        <v>815</v>
      </c>
      <c r="F5" s="11">
        <v>0</v>
      </c>
      <c r="G5" s="11">
        <v>0</v>
      </c>
      <c r="H5" s="11">
        <v>0</v>
      </c>
      <c r="I5" s="867" t="s">
        <v>821</v>
      </c>
      <c r="J5" s="867" t="s">
        <v>9</v>
      </c>
      <c r="K5" s="11">
        <v>3</v>
      </c>
      <c r="L5" s="11">
        <v>1</v>
      </c>
      <c r="N5" s="15" t="str">
        <f>I5&amp;" "&amp;I5</f>
        <v xml:space="preserve">PARTLY SUNNY.  PARTLY SUNNY. </v>
      </c>
      <c r="AE5" s="15">
        <v>1</v>
      </c>
      <c r="AH5" s="15" t="s">
        <v>32</v>
      </c>
    </row>
    <row r="6" spans="1:34" ht="16.5" customHeight="1">
      <c r="A6" s="86">
        <f>A5+1</f>
        <v>37123</v>
      </c>
      <c r="B6" s="11">
        <v>78</v>
      </c>
      <c r="C6" s="49">
        <v>60</v>
      </c>
      <c r="D6" s="49">
        <v>8</v>
      </c>
      <c r="E6" s="11" t="s">
        <v>9</v>
      </c>
      <c r="F6" s="11" t="s">
        <v>9</v>
      </c>
      <c r="G6" s="11"/>
      <c r="H6" s="11" t="s">
        <v>9</v>
      </c>
      <c r="I6" s="867" t="s">
        <v>822</v>
      </c>
      <c r="J6" s="867" t="s">
        <v>9</v>
      </c>
      <c r="K6" s="11">
        <v>1</v>
      </c>
      <c r="L6" s="11" t="s">
        <v>558</v>
      </c>
      <c r="N6" s="15" t="str">
        <f>I6&amp;" "&amp;J6</f>
        <v xml:space="preserve">PARTLY CLOUDY.   </v>
      </c>
      <c r="AE6" s="15">
        <v>1</v>
      </c>
      <c r="AH6" s="15" t="s">
        <v>33</v>
      </c>
    </row>
    <row r="7" spans="1:34" ht="16.5" customHeight="1">
      <c r="A7" s="86">
        <f>A6+1</f>
        <v>37124</v>
      </c>
      <c r="B7" s="11">
        <v>83</v>
      </c>
      <c r="C7" s="49">
        <v>67</v>
      </c>
      <c r="D7" s="49">
        <v>12</v>
      </c>
      <c r="E7" s="11" t="s">
        <v>9</v>
      </c>
      <c r="F7" s="11" t="s">
        <v>9</v>
      </c>
      <c r="G7" s="11"/>
      <c r="H7" s="11" t="s">
        <v>9</v>
      </c>
      <c r="I7" s="867" t="s">
        <v>823</v>
      </c>
      <c r="J7" s="867" t="s">
        <v>9</v>
      </c>
      <c r="K7" s="11">
        <v>5</v>
      </c>
      <c r="L7" s="11" t="s">
        <v>20</v>
      </c>
      <c r="N7" s="15" t="str">
        <f>I7&amp;" "&amp;J7</f>
        <v xml:space="preserve">CHANCE OF SHOWERS AND T'STORMS.  </v>
      </c>
    </row>
    <row r="8" spans="1:34" ht="16.5" customHeight="1">
      <c r="A8" s="86">
        <f>A7+1</f>
        <v>37125</v>
      </c>
      <c r="B8" s="11">
        <v>86</v>
      </c>
      <c r="C8" s="49">
        <v>66</v>
      </c>
      <c r="D8" s="49">
        <v>10</v>
      </c>
      <c r="E8" s="11" t="s">
        <v>9</v>
      </c>
      <c r="F8" s="11" t="s">
        <v>9</v>
      </c>
      <c r="G8" s="11"/>
      <c r="H8" s="11" t="s">
        <v>9</v>
      </c>
      <c r="I8" s="867" t="s">
        <v>823</v>
      </c>
      <c r="J8" s="867" t="s">
        <v>9</v>
      </c>
      <c r="K8" s="11">
        <v>3</v>
      </c>
      <c r="L8" s="11"/>
      <c r="N8" s="15" t="str">
        <f>I8&amp;" "&amp;J8</f>
        <v xml:space="preserve">CHANCE OF SHOWERS AND T'STORMS.  </v>
      </c>
    </row>
    <row r="9" spans="1:34" ht="16.5" customHeight="1">
      <c r="A9" s="86">
        <f>A8+1</f>
        <v>37126</v>
      </c>
      <c r="B9" s="11">
        <v>87</v>
      </c>
      <c r="C9" s="49">
        <v>68</v>
      </c>
      <c r="D9" s="49">
        <v>12</v>
      </c>
      <c r="E9" s="11" t="s">
        <v>9</v>
      </c>
      <c r="F9" s="11" t="s">
        <v>9</v>
      </c>
      <c r="G9" s="11"/>
      <c r="H9" s="11" t="s">
        <v>9</v>
      </c>
      <c r="I9" s="867" t="s">
        <v>823</v>
      </c>
      <c r="J9" s="867" t="s">
        <v>9</v>
      </c>
      <c r="K9" s="11">
        <v>3</v>
      </c>
      <c r="L9" s="11">
        <v>0</v>
      </c>
      <c r="M9" s="87"/>
      <c r="N9" s="15" t="str">
        <f>I9&amp;" "&amp;J9</f>
        <v xml:space="preserve">CHANCE OF SHOWERS AND T'STORMS.  </v>
      </c>
    </row>
    <row r="10" spans="1:34" ht="16.5" customHeight="1">
      <c r="A10" s="86">
        <f>A9+1</f>
        <v>37127</v>
      </c>
      <c r="B10" s="11">
        <v>87</v>
      </c>
      <c r="C10" s="49">
        <v>68</v>
      </c>
      <c r="D10" s="49">
        <v>12</v>
      </c>
      <c r="E10" s="11" t="s">
        <v>9</v>
      </c>
      <c r="F10" s="11" t="s">
        <v>9</v>
      </c>
      <c r="G10" s="11"/>
      <c r="H10" s="11" t="s">
        <v>9</v>
      </c>
      <c r="I10" s="867" t="s">
        <v>823</v>
      </c>
      <c r="J10" s="867" t="s">
        <v>9</v>
      </c>
      <c r="K10" s="11">
        <v>5</v>
      </c>
      <c r="L10" s="11" t="s">
        <v>382</v>
      </c>
      <c r="N10" s="15" t="str">
        <f>I10&amp;" "&amp;J10</f>
        <v xml:space="preserve">CHANCE OF SHOWERS AND T'STORMS.  </v>
      </c>
    </row>
    <row r="11" spans="1:34" ht="16.5" customHeight="1">
      <c r="G11"/>
    </row>
    <row r="12" spans="1:34" ht="15.75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518</v>
      </c>
      <c r="B2" s="181">
        <f>PGL_Deliveries!V5/1000</f>
        <v>5.0830000000000002</v>
      </c>
      <c r="C2" s="60"/>
      <c r="D2" s="118" t="s">
        <v>309</v>
      </c>
      <c r="E2" s="417">
        <f>Weather_Input!A5</f>
        <v>37122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75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0</v>
      </c>
      <c r="C5" s="63"/>
      <c r="F5" s="179"/>
      <c r="H5"/>
      <c r="I5"/>
      <c r="J5"/>
      <c r="K5"/>
      <c r="L5"/>
      <c r="M5"/>
    </row>
    <row r="6" spans="1:13" ht="15.75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5" thickBot="1">
      <c r="A7" s="176" t="s">
        <v>524</v>
      </c>
      <c r="B7" s="220">
        <f>SUM(B5:B6)</f>
        <v>0</v>
      </c>
      <c r="C7" s="166"/>
      <c r="D7" s="59" t="s">
        <v>520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86.251999999999995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0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0</v>
      </c>
      <c r="C11" s="63"/>
      <c r="D11" s="115" t="s">
        <v>196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0</v>
      </c>
      <c r="C12" s="63"/>
      <c r="D12" s="115" t="s">
        <v>198</v>
      </c>
      <c r="E12" s="151">
        <f>PGL_Deliveries!T5/1000</f>
        <v>4.5529999999999999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0.53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204.78299999999999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0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-148.94200000000001</v>
      </c>
      <c r="C16" s="63"/>
      <c r="D16" s="115" t="s">
        <v>205</v>
      </c>
      <c r="E16" s="151">
        <f>PGL_Deliveries!H5/1000</f>
        <v>0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11.436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0</v>
      </c>
      <c r="C18" s="63" t="s">
        <v>9</v>
      </c>
      <c r="D18" s="115" t="s">
        <v>208</v>
      </c>
      <c r="E18" s="151">
        <f>PGL_Deliveries!L5/1000</f>
        <v>0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0</v>
      </c>
      <c r="F19" s="168"/>
      <c r="H19"/>
      <c r="I19"/>
      <c r="J19"/>
      <c r="K19"/>
      <c r="L19"/>
      <c r="M19"/>
    </row>
    <row r="20" spans="1:13" ht="15.75" thickBot="1">
      <c r="A20" s="169" t="s">
        <v>586</v>
      </c>
      <c r="B20" s="60"/>
      <c r="C20" s="151">
        <f>PGL_Deliveries!BG5/1000</f>
        <v>4.3159999999999998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5" thickBot="1">
      <c r="A21" s="1267" t="s">
        <v>529</v>
      </c>
      <c r="B21" s="866">
        <f>SUM(B8:B20)-C17-C19-C20</f>
        <v>126.34099999999995</v>
      </c>
      <c r="C21" s="1268"/>
      <c r="D21" s="175" t="s">
        <v>530</v>
      </c>
      <c r="E21" s="174">
        <f>SUM(E7:E20)</f>
        <v>5.0830000000000002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86.2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75" thickBot="1">
      <c r="A23" s="169" t="s">
        <v>659</v>
      </c>
      <c r="B23" s="151">
        <f>PGL_Supplies!W7/1000</f>
        <v>0</v>
      </c>
      <c r="C23" s="63"/>
      <c r="D23" s="115" t="s">
        <v>174</v>
      </c>
      <c r="E23" s="151">
        <f>PGL_Deliveries!AY5/1000+B44</f>
        <v>2.2306500000000002</v>
      </c>
      <c r="F23" s="168"/>
      <c r="H23"/>
      <c r="I23"/>
      <c r="J23"/>
      <c r="K23"/>
      <c r="L23"/>
      <c r="M23"/>
    </row>
    <row r="24" spans="1:13" ht="16.5" thickBot="1">
      <c r="A24" s="169" t="s">
        <v>662</v>
      </c>
      <c r="B24" s="60"/>
      <c r="C24" s="218">
        <f>PGL_Requirements!I7/1000</f>
        <v>0.7</v>
      </c>
      <c r="D24" s="1269" t="s">
        <v>531</v>
      </c>
      <c r="E24" s="220">
        <f>SUM(E21:E23)</f>
        <v>7.3136500000000009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85.5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0.41799999999999998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0.41799999999999998</v>
      </c>
      <c r="D27" s="242" t="s">
        <v>538</v>
      </c>
      <c r="E27" s="60" t="s">
        <v>9</v>
      </c>
      <c r="F27" s="173">
        <f>PGL_Deliveries!AS5/1000</f>
        <v>25.396999999999998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68.477999999999994</v>
      </c>
      <c r="F30" s="168"/>
      <c r="H30"/>
      <c r="I30"/>
      <c r="J30"/>
      <c r="K30"/>
      <c r="L30"/>
      <c r="M30"/>
    </row>
    <row r="31" spans="1:13" ht="15.75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5" thickBot="1">
      <c r="A32" s="169" t="s">
        <v>536</v>
      </c>
      <c r="B32" s="985">
        <f>PGL_Supplies!AC7/1000</f>
        <v>5.0279999999999996</v>
      </c>
      <c r="C32" s="63"/>
      <c r="D32" s="1271" t="s">
        <v>209</v>
      </c>
      <c r="E32" s="220">
        <f>SUM(E25:E31)-SUM(F26:F31)-E29</f>
        <v>43.080999999999996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75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0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198.136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218">
        <f>PGL_Requirements!O7/1000</f>
        <v>150</v>
      </c>
      <c r="D39" s="60" t="s">
        <v>491</v>
      </c>
      <c r="E39" s="151"/>
      <c r="F39" s="173">
        <f>(PGL_Requirements!$AE$7+PGL_Requirements!$AF$7+PGL_Requirements!$AG$7+PGL_Requirements!$AH$7)/1000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10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0.41799999999999998</v>
      </c>
      <c r="C42" s="63"/>
      <c r="D42" s="72" t="s">
        <v>744</v>
      </c>
      <c r="E42" s="60"/>
      <c r="F42" s="173">
        <f>PGL_Deliveries!BG5/1000</f>
        <v>4.3159999999999998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0</v>
      </c>
      <c r="H43"/>
      <c r="I43"/>
      <c r="J43"/>
      <c r="K43"/>
      <c r="L43"/>
      <c r="M43"/>
    </row>
    <row r="44" spans="1:13" ht="15.75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73</v>
      </c>
      <c r="F45" s="1116"/>
    </row>
    <row r="46" spans="1:13" ht="15">
      <c r="A46" s="169" t="s">
        <v>548</v>
      </c>
      <c r="B46" s="151">
        <f>PGL_Deliveries!AY5/1000</f>
        <v>2.2306500000000002</v>
      </c>
      <c r="C46" s="63"/>
      <c r="D46" s="169" t="s">
        <v>550</v>
      </c>
      <c r="E46" s="230">
        <f>Weather_Input!C5</f>
        <v>60</v>
      </c>
      <c r="F46" s="158"/>
    </row>
    <row r="47" spans="1:13" ht="15">
      <c r="A47" s="172" t="s">
        <v>655</v>
      </c>
      <c r="B47" s="67"/>
      <c r="C47" s="1202">
        <f>PGL_Requirements!Q7/1000</f>
        <v>0.65</v>
      </c>
      <c r="D47" s="170" t="s">
        <v>551</v>
      </c>
      <c r="E47" s="60" t="str">
        <f>Weather_Input!E5</f>
        <v>N/A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13</v>
      </c>
      <c r="F48" s="158"/>
    </row>
    <row r="49" spans="1:6" ht="15">
      <c r="A49" s="169" t="s">
        <v>683</v>
      </c>
      <c r="B49" s="151">
        <f>PGL_Deliveries!AL5/1000</f>
        <v>0</v>
      </c>
      <c r="C49" s="158"/>
      <c r="D49" s="169" t="s">
        <v>553</v>
      </c>
      <c r="E49" s="151">
        <f>PGL_Deliveries!AO5/1000</f>
        <v>1.01</v>
      </c>
      <c r="F49" s="158"/>
    </row>
    <row r="50" spans="1:6" ht="15.75" outlineLevel="2" thickBot="1">
      <c r="A50" s="167" t="s">
        <v>555</v>
      </c>
      <c r="B50" s="205">
        <f>PGL_Deliveries!AM5/1000</f>
        <v>0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22" t="s">
        <v>4</v>
      </c>
      <c r="B3" s="235">
        <f>NSG_Deliveries!H5/1000</f>
        <v>0</v>
      </c>
      <c r="C3" s="117"/>
      <c r="D3" s="222" t="s">
        <v>309</v>
      </c>
      <c r="E3" s="420">
        <f>Weather_Input!A5</f>
        <v>37122</v>
      </c>
      <c r="F3" s="117"/>
      <c r="G3"/>
      <c r="J3"/>
      <c r="K3"/>
    </row>
    <row r="4" spans="1:11" ht="15.75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0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0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7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7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24.38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5.9029999999999996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30.282999999999998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1" max="1" width="0.6640625" customWidth="1"/>
    <col min="2" max="2" width="1.33203125" style="772" customWidth="1"/>
    <col min="3" max="3" width="22.6640625" customWidth="1"/>
    <col min="4" max="4" width="0.77734375" customWidth="1"/>
    <col min="5" max="5" width="21.44140625" customWidth="1"/>
    <col min="6" max="6" width="1.109375" customWidth="1"/>
    <col min="7" max="7" width="23.8867187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206.036</v>
      </c>
      <c r="E5" s="1263">
        <f>SUM(PGL_Nine_to_Nine!F24)*2</f>
        <v>5.0250000000000004</v>
      </c>
      <c r="G5" s="1263">
        <f>SUM(C5-E5)</f>
        <v>201.011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335</v>
      </c>
      <c r="B1" s="51">
        <f>Weather_Input!A5</f>
        <v>37122</v>
      </c>
      <c r="C1" s="4"/>
    </row>
    <row r="2" spans="1:19">
      <c r="A2" s="109" t="s">
        <v>336</v>
      </c>
      <c r="B2" s="4"/>
      <c r="C2" s="4"/>
    </row>
    <row r="3" spans="1:19" ht="15.75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37121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91228</v>
      </c>
      <c r="O6" s="199">
        <v>0</v>
      </c>
      <c r="P6" s="199">
        <v>54505343</v>
      </c>
      <c r="Q6" s="199">
        <v>15045098</v>
      </c>
      <c r="R6" s="199">
        <v>39460245</v>
      </c>
      <c r="S6" s="199">
        <v>0</v>
      </c>
    </row>
    <row r="7" spans="1:19">
      <c r="A7" s="4">
        <f>B1</f>
        <v>37122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91228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54596571</v>
      </c>
      <c r="Q7">
        <f>IF(O7&gt;0,Q6+O7,Q6)</f>
        <v>15045098</v>
      </c>
      <c r="R7">
        <f>IF(P7&gt;Q7,P7-Q7,0)</f>
        <v>39551473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9" width="7.88671875" customWidth="1"/>
    <col min="20" max="21" width="9.5546875" customWidth="1"/>
    <col min="22" max="36" width="7.88671875" customWidth="1"/>
    <col min="42" max="42" width="4.77734375" customWidth="1"/>
    <col min="43" max="52" width="7.88671875" customWidth="1"/>
    <col min="53" max="53" width="4.77734375" customWidth="1"/>
    <col min="58" max="58" width="4.77734375" customWidth="1"/>
    <col min="61" max="61" width="4.7773437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37122</v>
      </c>
      <c r="B5" s="1">
        <f>(Weather_Input!B5+Weather_Input!C5)/2</f>
        <v>66.5</v>
      </c>
      <c r="C5" s="868">
        <v>184000</v>
      </c>
      <c r="D5" s="869">
        <v>0</v>
      </c>
      <c r="E5" s="869">
        <v>0</v>
      </c>
      <c r="F5" s="869">
        <v>0</v>
      </c>
      <c r="G5" s="869">
        <v>0</v>
      </c>
      <c r="H5" s="869">
        <v>0</v>
      </c>
      <c r="I5" s="869">
        <v>0</v>
      </c>
      <c r="J5" s="869">
        <v>0</v>
      </c>
      <c r="K5" s="869">
        <v>0</v>
      </c>
      <c r="L5" s="869">
        <v>0</v>
      </c>
      <c r="M5" s="869">
        <v>0</v>
      </c>
      <c r="N5" s="869">
        <v>0</v>
      </c>
      <c r="O5" s="869">
        <v>0</v>
      </c>
      <c r="P5" s="869">
        <v>0</v>
      </c>
      <c r="Q5" s="869">
        <v>0</v>
      </c>
      <c r="R5" s="869">
        <v>0</v>
      </c>
      <c r="S5" s="869">
        <v>530</v>
      </c>
      <c r="T5" s="874">
        <v>4553</v>
      </c>
      <c r="U5" s="1047">
        <v>0</v>
      </c>
      <c r="V5" s="868">
        <f>SUM(D5:T5)-U5</f>
        <v>5083</v>
      </c>
      <c r="W5" s="868">
        <v>86252</v>
      </c>
      <c r="X5" s="11">
        <v>0</v>
      </c>
      <c r="Y5" s="11">
        <v>0</v>
      </c>
      <c r="Z5" s="11">
        <v>0</v>
      </c>
      <c r="AA5" s="11">
        <v>204783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">
        <v>1010</v>
      </c>
      <c r="AP5" s="1"/>
      <c r="AQ5" s="1">
        <v>11436</v>
      </c>
      <c r="AR5" s="1">
        <v>0</v>
      </c>
      <c r="AS5" s="1">
        <v>25397</v>
      </c>
      <c r="AT5" s="1">
        <v>0</v>
      </c>
      <c r="AU5" s="1">
        <v>0</v>
      </c>
      <c r="AV5" s="1">
        <v>418</v>
      </c>
      <c r="AW5" s="1">
        <v>148710</v>
      </c>
      <c r="AX5" s="1">
        <v>650</v>
      </c>
      <c r="AY5" s="610">
        <f>AW5*0.015</f>
        <v>2230.65</v>
      </c>
      <c r="AZ5" s="1">
        <v>0</v>
      </c>
      <c r="BA5" s="1"/>
      <c r="BB5" s="1">
        <v>0</v>
      </c>
      <c r="BC5" s="1">
        <v>0</v>
      </c>
      <c r="BD5" s="1">
        <v>0</v>
      </c>
      <c r="BE5" s="1">
        <v>0</v>
      </c>
      <c r="BF5" s="1"/>
      <c r="BG5" s="1">
        <v>4316</v>
      </c>
      <c r="BH5" s="1">
        <v>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37123</v>
      </c>
      <c r="B6" s="886">
        <f>(Weather_Input!B6+Weather_Input!C6)/2</f>
        <v>69</v>
      </c>
      <c r="C6" s="868">
        <v>195000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37124</v>
      </c>
      <c r="B7" s="886">
        <f>(Weather_Input!B7+Weather_Input!C7)/2</f>
        <v>75</v>
      </c>
      <c r="C7" s="868">
        <v>195000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37125</v>
      </c>
      <c r="B8" s="886">
        <f>(Weather_Input!B8+Weather_Input!C8)/2</f>
        <v>76</v>
      </c>
      <c r="C8" s="868">
        <v>195000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37126</v>
      </c>
      <c r="B9" s="886">
        <f>(Weather_Input!B9+Weather_Input!C9)/2</f>
        <v>77.5</v>
      </c>
      <c r="C9" s="868">
        <v>195000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37127</v>
      </c>
      <c r="B10" s="886">
        <f>(Weather_Input!B10+Weather_Input!C10)/2</f>
        <v>77.5</v>
      </c>
      <c r="C10" s="868">
        <v>195000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C6" sqref="C6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37122</v>
      </c>
      <c r="B5" s="1">
        <f>(Weather_Input!B5+Weather_Input!C5)/2</f>
        <v>66.5</v>
      </c>
      <c r="C5" s="868">
        <v>31000</v>
      </c>
      <c r="D5" s="868">
        <v>0</v>
      </c>
      <c r="E5" s="868">
        <v>0</v>
      </c>
      <c r="F5" s="868">
        <v>0</v>
      </c>
      <c r="G5" s="868">
        <v>0</v>
      </c>
      <c r="H5" s="876">
        <f>SUM(D5:G5)</f>
        <v>0</v>
      </c>
      <c r="I5" s="1">
        <v>1002</v>
      </c>
      <c r="J5" s="1" t="s">
        <v>9</v>
      </c>
      <c r="K5" s="1">
        <v>0</v>
      </c>
      <c r="L5" s="1">
        <v>5903</v>
      </c>
      <c r="M5" s="1">
        <v>7000</v>
      </c>
      <c r="N5" s="1">
        <v>0</v>
      </c>
    </row>
    <row r="6" spans="1:14">
      <c r="A6" s="12">
        <f>A5+1</f>
        <v>37123</v>
      </c>
      <c r="B6" s="886">
        <f>(Weather_Input!B6+Weather_Input!C6)/2</f>
        <v>69</v>
      </c>
      <c r="C6" s="868">
        <v>33000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37124</v>
      </c>
      <c r="B7" s="886">
        <f>(Weather_Input!B7+Weather_Input!C7)/2</f>
        <v>75</v>
      </c>
      <c r="C7" s="868">
        <v>33000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37125</v>
      </c>
      <c r="B8" s="886">
        <f>(Weather_Input!B8+Weather_Input!C8)/2</f>
        <v>76</v>
      </c>
      <c r="C8" s="868">
        <v>33000</v>
      </c>
      <c r="D8" s="871" t="s">
        <v>9</v>
      </c>
      <c r="E8" s="871"/>
      <c r="F8" s="871"/>
      <c r="G8" s="871"/>
      <c r="H8" s="15"/>
    </row>
    <row r="9" spans="1:14">
      <c r="A9" s="12">
        <f>A8+1</f>
        <v>37126</v>
      </c>
      <c r="B9" s="886">
        <f>(Weather_Input!B9+Weather_Input!C9)/2</f>
        <v>77.5</v>
      </c>
      <c r="C9" s="868">
        <v>33000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37127</v>
      </c>
      <c r="B10" s="886">
        <f>(Weather_Input!B10+Weather_Input!C10)/2</f>
        <v>77.5</v>
      </c>
      <c r="C10" s="868">
        <v>33000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8" s="1" customFormat="1" ht="12.75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  <c r="AH5" s="3" t="s">
        <v>92</v>
      </c>
    </row>
    <row r="6" spans="1:88" s="1" customFormat="1" ht="12.75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  <c r="AH6" s="54" t="s">
        <v>384</v>
      </c>
    </row>
    <row r="7" spans="1:88" s="1" customFormat="1" ht="12.75">
      <c r="A7" s="798">
        <f>Weather_Input!A5</f>
        <v>37122</v>
      </c>
      <c r="B7" s="877">
        <v>0</v>
      </c>
      <c r="C7" s="608">
        <v>0</v>
      </c>
      <c r="D7" s="608">
        <v>0</v>
      </c>
      <c r="E7" s="877">
        <v>5028</v>
      </c>
      <c r="F7" s="877">
        <v>10200</v>
      </c>
      <c r="G7" s="879">
        <v>5025</v>
      </c>
      <c r="H7" s="607">
        <v>0</v>
      </c>
      <c r="I7" s="607">
        <v>700</v>
      </c>
      <c r="J7" s="608">
        <v>0</v>
      </c>
      <c r="K7" s="607">
        <v>0</v>
      </c>
      <c r="L7" s="608">
        <v>0</v>
      </c>
      <c r="M7" s="608">
        <v>0</v>
      </c>
      <c r="N7" s="609">
        <v>14400</v>
      </c>
      <c r="O7" s="608">
        <v>150000</v>
      </c>
      <c r="P7" s="610">
        <f t="shared" ref="P7:P12" si="0">O7*0.015</f>
        <v>2250</v>
      </c>
      <c r="Q7" s="608">
        <v>650</v>
      </c>
      <c r="R7" s="608">
        <v>0</v>
      </c>
      <c r="S7" s="608">
        <v>0</v>
      </c>
      <c r="T7" s="607">
        <v>418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607">
        <v>0</v>
      </c>
      <c r="AI7" s="798">
        <f t="shared" ref="AI7:AI12" si="1">AI6+1</f>
        <v>1</v>
      </c>
    </row>
    <row r="8" spans="1:88" s="1" customFormat="1" ht="12.75">
      <c r="A8" s="798">
        <f>A7+1</f>
        <v>37123</v>
      </c>
      <c r="B8" s="877">
        <v>0</v>
      </c>
      <c r="C8" s="608">
        <v>0</v>
      </c>
      <c r="D8" s="608">
        <v>0</v>
      </c>
      <c r="E8" s="877">
        <v>5028</v>
      </c>
      <c r="F8" s="877">
        <v>0</v>
      </c>
      <c r="G8" s="879">
        <v>21775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0</v>
      </c>
      <c r="O8" s="608">
        <v>150000</v>
      </c>
      <c r="P8" s="610">
        <f t="shared" si="0"/>
        <v>2250</v>
      </c>
      <c r="Q8" s="608">
        <v>650</v>
      </c>
      <c r="R8" s="608">
        <v>0</v>
      </c>
      <c r="S8" s="608">
        <v>0</v>
      </c>
      <c r="T8" s="607">
        <v>418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607">
        <v>0</v>
      </c>
      <c r="AI8" s="798">
        <f t="shared" si="1"/>
        <v>2</v>
      </c>
      <c r="AJ8" s="607"/>
      <c r="AK8" s="607"/>
      <c r="AL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  <c r="BB8" s="607"/>
    </row>
    <row r="9" spans="1:88" s="1" customFormat="1" ht="12.75">
      <c r="A9" s="798">
        <f>A8+1</f>
        <v>37124</v>
      </c>
      <c r="B9" s="877">
        <v>0</v>
      </c>
      <c r="C9" s="608">
        <v>0</v>
      </c>
      <c r="D9" s="608">
        <v>0</v>
      </c>
      <c r="E9" s="877">
        <v>5028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0</v>
      </c>
      <c r="O9" s="608">
        <v>150000</v>
      </c>
      <c r="P9" s="610">
        <f t="shared" si="0"/>
        <v>2250</v>
      </c>
      <c r="Q9" s="608">
        <v>650</v>
      </c>
      <c r="R9" s="608">
        <v>0</v>
      </c>
      <c r="S9" s="608">
        <v>0</v>
      </c>
      <c r="T9" s="607">
        <v>418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607">
        <v>0</v>
      </c>
      <c r="AI9" s="798">
        <f t="shared" si="1"/>
        <v>3</v>
      </c>
      <c r="AM9" s="607"/>
    </row>
    <row r="10" spans="1:88" s="1" customFormat="1" ht="12.75">
      <c r="A10" s="798">
        <f>A9+1</f>
        <v>37125</v>
      </c>
      <c r="B10" s="877">
        <v>0</v>
      </c>
      <c r="C10" s="608">
        <v>0</v>
      </c>
      <c r="D10" s="608">
        <v>0</v>
      </c>
      <c r="E10" s="877">
        <v>5028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0</v>
      </c>
      <c r="O10" s="608">
        <v>150000</v>
      </c>
      <c r="P10" s="610">
        <f t="shared" si="0"/>
        <v>2250</v>
      </c>
      <c r="Q10" s="608">
        <v>650</v>
      </c>
      <c r="R10" s="608">
        <v>0</v>
      </c>
      <c r="S10" s="608">
        <v>0</v>
      </c>
      <c r="T10" s="607">
        <v>418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607">
        <v>0</v>
      </c>
      <c r="AI10" s="798">
        <f t="shared" si="1"/>
        <v>4</v>
      </c>
    </row>
    <row r="11" spans="1:88" s="1" customFormat="1" ht="12.75">
      <c r="A11" s="798">
        <f>A10+1</f>
        <v>37126</v>
      </c>
      <c r="B11" s="877">
        <v>0</v>
      </c>
      <c r="C11" s="608">
        <v>0</v>
      </c>
      <c r="D11" s="608">
        <v>0</v>
      </c>
      <c r="E11" s="877">
        <v>5028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0</v>
      </c>
      <c r="O11" s="608">
        <v>150000</v>
      </c>
      <c r="P11" s="610">
        <f t="shared" si="0"/>
        <v>2250</v>
      </c>
      <c r="Q11" s="608">
        <v>650</v>
      </c>
      <c r="R11" s="608">
        <v>0</v>
      </c>
      <c r="S11" s="608">
        <v>0</v>
      </c>
      <c r="T11" s="607">
        <v>418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607">
        <v>0</v>
      </c>
      <c r="AI11" s="798">
        <f t="shared" si="1"/>
        <v>5</v>
      </c>
    </row>
    <row r="12" spans="1:88" s="1" customFormat="1" ht="12.75">
      <c r="A12" s="798">
        <f>A11+1</f>
        <v>37127</v>
      </c>
      <c r="B12" s="877">
        <v>0</v>
      </c>
      <c r="C12" s="608">
        <v>0</v>
      </c>
      <c r="D12" s="608">
        <v>0</v>
      </c>
      <c r="E12" s="877">
        <v>5028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0</v>
      </c>
      <c r="O12" s="608">
        <v>150000</v>
      </c>
      <c r="P12" s="610">
        <f t="shared" si="0"/>
        <v>2250</v>
      </c>
      <c r="Q12" s="608">
        <v>650</v>
      </c>
      <c r="R12" s="608">
        <v>0</v>
      </c>
      <c r="S12" s="608">
        <v>0</v>
      </c>
      <c r="T12" s="607">
        <v>418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607">
        <v>0</v>
      </c>
      <c r="AI12" s="798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77734375" defaultRowHeight="12.75"/>
  <cols>
    <col min="1" max="14" width="8.77734375" style="1" customWidth="1"/>
    <col min="15" max="15" width="9.5546875" style="1" customWidth="1"/>
    <col min="16" max="17" width="8.77734375" style="1" customWidth="1"/>
    <col min="18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37122</v>
      </c>
      <c r="B7" s="610">
        <v>0</v>
      </c>
      <c r="C7" s="610">
        <v>0</v>
      </c>
      <c r="D7" s="610">
        <v>2900</v>
      </c>
      <c r="E7" s="610">
        <v>0</v>
      </c>
      <c r="F7" s="877">
        <v>0</v>
      </c>
      <c r="G7" s="608">
        <v>1000</v>
      </c>
      <c r="H7" s="608">
        <v>3000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5">
        <v>10000</v>
      </c>
      <c r="S7" s="1266">
        <v>5000</v>
      </c>
      <c r="T7" s="608">
        <v>0</v>
      </c>
      <c r="U7" s="609">
        <v>126390</v>
      </c>
      <c r="V7" s="609">
        <v>0</v>
      </c>
      <c r="W7" s="607">
        <v>0</v>
      </c>
      <c r="X7" s="880">
        <v>86200</v>
      </c>
      <c r="Y7" s="609">
        <v>418</v>
      </c>
      <c r="Z7" s="1">
        <v>0</v>
      </c>
      <c r="AA7" s="607">
        <v>198136</v>
      </c>
      <c r="AB7" s="607">
        <v>68478</v>
      </c>
      <c r="AC7" s="607">
        <v>5028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37123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3000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5">
        <v>10000</v>
      </c>
      <c r="S8" s="1266">
        <v>5000</v>
      </c>
      <c r="T8" s="608">
        <v>0</v>
      </c>
      <c r="U8" s="609">
        <v>126390</v>
      </c>
      <c r="V8" s="609">
        <v>0</v>
      </c>
      <c r="W8" s="607">
        <v>0</v>
      </c>
      <c r="X8" s="880">
        <v>86200</v>
      </c>
      <c r="Y8" s="609">
        <v>418</v>
      </c>
      <c r="Z8" s="1">
        <v>0</v>
      </c>
      <c r="AA8" s="607">
        <v>198136</v>
      </c>
      <c r="AB8" s="607">
        <v>68478</v>
      </c>
      <c r="AC8" s="607">
        <v>5028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37124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3000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0</v>
      </c>
      <c r="S9" s="1266">
        <v>0</v>
      </c>
      <c r="T9" s="608">
        <v>0</v>
      </c>
      <c r="U9" s="609">
        <v>126390</v>
      </c>
      <c r="V9" s="609">
        <v>0</v>
      </c>
      <c r="W9" s="607">
        <v>0</v>
      </c>
      <c r="X9" s="880">
        <v>86200</v>
      </c>
      <c r="Y9" s="609">
        <v>418</v>
      </c>
      <c r="Z9" s="1">
        <v>0</v>
      </c>
      <c r="AA9" s="607">
        <v>198136</v>
      </c>
      <c r="AB9" s="607">
        <v>68478</v>
      </c>
      <c r="AC9" s="607">
        <v>5028</v>
      </c>
      <c r="AD9" s="880">
        <v>0</v>
      </c>
      <c r="AE9" s="798">
        <f t="shared" si="0"/>
        <v>3</v>
      </c>
    </row>
    <row r="10" spans="1:36">
      <c r="A10" s="798">
        <v>0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3000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0</v>
      </c>
      <c r="S10" s="1266">
        <v>0</v>
      </c>
      <c r="T10" s="608">
        <v>0</v>
      </c>
      <c r="U10" s="609">
        <v>126390</v>
      </c>
      <c r="V10" s="609">
        <v>0</v>
      </c>
      <c r="W10" s="607">
        <v>0</v>
      </c>
      <c r="X10" s="880">
        <v>86200</v>
      </c>
      <c r="Y10" s="609">
        <v>418</v>
      </c>
      <c r="Z10" s="1">
        <v>0</v>
      </c>
      <c r="AA10" s="607">
        <v>198136</v>
      </c>
      <c r="AB10" s="607">
        <v>68478</v>
      </c>
      <c r="AC10" s="607">
        <v>5028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1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3000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0</v>
      </c>
      <c r="S11" s="1266">
        <v>0</v>
      </c>
      <c r="T11" s="608">
        <v>0</v>
      </c>
      <c r="U11" s="609">
        <v>126390</v>
      </c>
      <c r="V11" s="609">
        <v>0</v>
      </c>
      <c r="W11" s="607">
        <v>0</v>
      </c>
      <c r="X11" s="880">
        <v>86200</v>
      </c>
      <c r="Y11" s="609">
        <v>418</v>
      </c>
      <c r="Z11" s="1">
        <v>0</v>
      </c>
      <c r="AA11" s="607">
        <v>198136</v>
      </c>
      <c r="AB11" s="607">
        <v>68478</v>
      </c>
      <c r="AC11" s="607">
        <v>5028</v>
      </c>
      <c r="AD11" s="880">
        <v>0</v>
      </c>
      <c r="AE11" s="798">
        <f t="shared" si="0"/>
        <v>5</v>
      </c>
    </row>
    <row r="12" spans="1:36">
      <c r="A12" s="798">
        <f>A11+1</f>
        <v>2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3000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126390</v>
      </c>
      <c r="V12" s="609">
        <v>0</v>
      </c>
      <c r="W12" s="607">
        <v>0</v>
      </c>
      <c r="X12" s="880">
        <v>86200</v>
      </c>
      <c r="Y12" s="609">
        <v>418</v>
      </c>
      <c r="Z12" s="1">
        <v>0</v>
      </c>
      <c r="AA12" s="607">
        <v>198136</v>
      </c>
      <c r="AB12" s="607">
        <v>68478</v>
      </c>
      <c r="AC12" s="607">
        <v>5028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2.75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2.75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2.75">
      <c r="A7" s="799">
        <f>Weather_Input!A5</f>
        <v>37122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7000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37122</v>
      </c>
      <c r="AG7" s="607"/>
      <c r="AH7" s="607"/>
      <c r="AI7" s="607"/>
      <c r="AJ7" s="607"/>
      <c r="AK7" s="607"/>
    </row>
    <row r="8" spans="1:128" s="1" customFormat="1" ht="12.75">
      <c r="A8" s="799">
        <f>Weather_Input!A6</f>
        <v>37123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7000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37123</v>
      </c>
      <c r="AG8" s="607"/>
      <c r="AH8" s="607"/>
      <c r="AI8" s="607"/>
      <c r="AJ8" s="607"/>
      <c r="AK8" s="607"/>
    </row>
    <row r="9" spans="1:128" s="1" customFormat="1" ht="12.75">
      <c r="A9" s="798">
        <f>A8+1</f>
        <v>37124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7000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37124</v>
      </c>
      <c r="AG9" s="607"/>
      <c r="AH9" s="607"/>
      <c r="AI9" s="607"/>
      <c r="AJ9" s="607"/>
      <c r="AK9" s="607"/>
    </row>
    <row r="10" spans="1:128" s="1" customFormat="1" ht="12.75">
      <c r="A10" s="798">
        <f>A9+1</f>
        <v>37125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7000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37125</v>
      </c>
      <c r="AG10" s="607"/>
      <c r="AH10" s="607"/>
      <c r="AI10" s="607"/>
      <c r="AJ10" s="607"/>
      <c r="AK10" s="607"/>
    </row>
    <row r="11" spans="1:128" s="1" customFormat="1" ht="12.75">
      <c r="A11" s="798">
        <f>A10+1</f>
        <v>37126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7000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37126</v>
      </c>
      <c r="AG11" s="607"/>
      <c r="AH11" s="607"/>
      <c r="AI11" s="607"/>
      <c r="AJ11" s="607"/>
      <c r="AK11" s="607"/>
    </row>
    <row r="12" spans="1:128" s="1" customFormat="1" ht="12.75">
      <c r="A12" s="798">
        <f>A11+1</f>
        <v>37127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7000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37127</v>
      </c>
      <c r="AG12" s="607"/>
      <c r="AH12" s="607"/>
      <c r="AI12" s="607"/>
      <c r="AJ12" s="607"/>
      <c r="AK12" s="607"/>
    </row>
    <row r="13" spans="1:128" s="1" customFormat="1" ht="12.75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2.75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77734375" defaultRowHeight="12.75"/>
  <cols>
    <col min="1" max="16384" width="8.7773437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37122</v>
      </c>
      <c r="B7" s="610">
        <v>0</v>
      </c>
      <c r="C7" s="611">
        <v>0</v>
      </c>
      <c r="D7" s="610">
        <v>0</v>
      </c>
      <c r="E7" s="610">
        <v>0</v>
      </c>
      <c r="F7" s="610">
        <v>6620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7000</v>
      </c>
      <c r="Q7" s="610">
        <v>24380</v>
      </c>
      <c r="R7" s="610">
        <v>14390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37123</v>
      </c>
      <c r="B8" s="610">
        <v>0</v>
      </c>
      <c r="C8" s="611">
        <v>0</v>
      </c>
      <c r="D8" s="610">
        <v>0</v>
      </c>
      <c r="E8" s="610">
        <v>0</v>
      </c>
      <c r="F8" s="610">
        <v>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7000</v>
      </c>
      <c r="Q8" s="610">
        <v>24380</v>
      </c>
      <c r="R8" s="610">
        <v>14390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37124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7000</v>
      </c>
      <c r="Q9" s="610">
        <v>24380</v>
      </c>
      <c r="R9" s="610">
        <v>14390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37125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7000</v>
      </c>
      <c r="Q10" s="610">
        <v>24380</v>
      </c>
      <c r="R10" s="610">
        <v>14390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37126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7000</v>
      </c>
      <c r="Q11" s="610">
        <v>24380</v>
      </c>
      <c r="R11" s="610">
        <v>14390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37127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7000</v>
      </c>
      <c r="Q12" s="610">
        <v>24380</v>
      </c>
      <c r="R12" s="610">
        <v>14390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SUN</v>
      </c>
      <c r="I1" s="803">
        <f>D4</f>
        <v>37122</v>
      </c>
    </row>
    <row r="2" spans="1:256" ht="18.95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95" customHeight="1" thickBot="1">
      <c r="A3" s="807"/>
      <c r="B3" s="805"/>
      <c r="C3" s="805"/>
      <c r="D3" s="808" t="str">
        <f t="shared" ref="D3:I3" si="0">CHOOSE(WEEKDAY(D4),"SUN","MON","TUE","WED","THU","FRI","SAT")</f>
        <v>SUN</v>
      </c>
      <c r="E3" s="808" t="str">
        <f t="shared" si="0"/>
        <v>MON</v>
      </c>
      <c r="F3" s="808" t="str">
        <f t="shared" si="0"/>
        <v>TUE</v>
      </c>
      <c r="G3" s="808" t="str">
        <f t="shared" si="0"/>
        <v>WED</v>
      </c>
      <c r="H3" s="808" t="str">
        <f t="shared" si="0"/>
        <v>THU</v>
      </c>
      <c r="I3" s="809" t="str">
        <f t="shared" si="0"/>
        <v>FRI</v>
      </c>
    </row>
    <row r="4" spans="1:256" ht="18.95" customHeight="1" thickBot="1">
      <c r="A4" s="810"/>
      <c r="B4" s="811"/>
      <c r="C4" s="811"/>
      <c r="D4" s="449">
        <f>Weather_Input!A5</f>
        <v>37122</v>
      </c>
      <c r="E4" s="449">
        <f>Weather_Input!A6</f>
        <v>37123</v>
      </c>
      <c r="F4" s="449">
        <f>Weather_Input!A7</f>
        <v>37124</v>
      </c>
      <c r="G4" s="449">
        <f>Weather_Input!A8</f>
        <v>37125</v>
      </c>
      <c r="H4" s="449">
        <f>Weather_Input!A9</f>
        <v>37126</v>
      </c>
      <c r="I4" s="450">
        <f>Weather_Input!A10</f>
        <v>37127</v>
      </c>
    </row>
    <row r="5" spans="1:256" ht="18.95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73/60/67</v>
      </c>
      <c r="E5" s="451" t="str">
        <f>TEXT(Weather_Input!B6,"0")&amp;"/"&amp;TEXT(Weather_Input!C6,"0") &amp; "/" &amp; TEXT((Weather_Input!B6+Weather_Input!C6)/2,"0")</f>
        <v>78/60/69</v>
      </c>
      <c r="F5" s="451" t="str">
        <f>TEXT(Weather_Input!B7,"0")&amp;"/"&amp;TEXT(Weather_Input!C7,"0") &amp; "/" &amp; TEXT((Weather_Input!B7+Weather_Input!C7)/2,"0")</f>
        <v>83/67/75</v>
      </c>
      <c r="G5" s="451" t="str">
        <f>TEXT(Weather_Input!B8,"0")&amp;"/"&amp;TEXT(Weather_Input!C8,"0") &amp; "/" &amp; TEXT((Weather_Input!B8+Weather_Input!C8)/2,"0")</f>
        <v>86/66/76</v>
      </c>
      <c r="H5" s="451" t="str">
        <f>TEXT(Weather_Input!B9,"0")&amp;"/"&amp;TEXT(Weather_Input!C9,"0") &amp; "/" &amp; TEXT((Weather_Input!B9+Weather_Input!C9)/2,"0")</f>
        <v>87/68/78</v>
      </c>
      <c r="I5" s="452" t="str">
        <f>TEXT(Weather_Input!B10,"0")&amp;"/"&amp;TEXT(Weather_Input!C10,"0") &amp; "/" &amp; TEXT((Weather_Input!B10+Weather_Input!C10)/2,"0")</f>
        <v>87/68/78</v>
      </c>
    </row>
    <row r="6" spans="1:256" ht="18.95" customHeight="1">
      <c r="A6" s="817" t="s">
        <v>133</v>
      </c>
      <c r="B6" s="805"/>
      <c r="C6" s="805"/>
      <c r="D6" s="451">
        <f>PGL_Deliveries!C5/1000</f>
        <v>184</v>
      </c>
      <c r="E6" s="451">
        <f>PGL_Deliveries!C6/1000</f>
        <v>195</v>
      </c>
      <c r="F6" s="451">
        <f>PGL_Deliveries!C7/1000</f>
        <v>195</v>
      </c>
      <c r="G6" s="451">
        <f>PGL_Deliveries!C8/1000</f>
        <v>195</v>
      </c>
      <c r="H6" s="451">
        <f>PGL_Deliveries!C9/1000</f>
        <v>195</v>
      </c>
      <c r="I6" s="452">
        <f>PGL_Deliveries!C10/1000</f>
        <v>195</v>
      </c>
    </row>
    <row r="7" spans="1:256" ht="18.95" customHeight="1">
      <c r="A7" s="817" t="s">
        <v>515</v>
      </c>
      <c r="B7" s="805" t="s">
        <v>9</v>
      </c>
      <c r="C7" s="805"/>
      <c r="D7" s="451">
        <f>PGL_Requirements!G7/1000*0.5</f>
        <v>2.5125000000000002</v>
      </c>
      <c r="E7" s="451">
        <f>PGL_Requirements!G8/1000*0.5</f>
        <v>10.887499999999999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95" customHeight="1">
      <c r="A8" s="817" t="s">
        <v>727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95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95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95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150</v>
      </c>
      <c r="E11" s="451">
        <f>PGL_Requirements!O8/1000</f>
        <v>150</v>
      </c>
      <c r="F11" s="451">
        <f>PGL_Requirements!O9/1000</f>
        <v>150</v>
      </c>
      <c r="G11" s="451">
        <f>PGL_Requirements!O10/1000</f>
        <v>150</v>
      </c>
      <c r="H11" s="451">
        <f>PGL_Requirements!O11/1000</f>
        <v>150</v>
      </c>
      <c r="I11" s="452">
        <f>PGL_Requirements!O12/1000</f>
        <v>150</v>
      </c>
    </row>
    <row r="12" spans="1:256" ht="18.95" customHeight="1">
      <c r="A12" s="814"/>
      <c r="B12" s="805"/>
      <c r="C12" s="805" t="s">
        <v>96</v>
      </c>
      <c r="D12" s="451">
        <f>PGL_Requirements!P7/1000</f>
        <v>2.25</v>
      </c>
      <c r="E12" s="451">
        <f>PGL_Requirements!P8/1000</f>
        <v>2.25</v>
      </c>
      <c r="F12" s="451">
        <f>PGL_Requirements!P9/1000</f>
        <v>2.25</v>
      </c>
      <c r="G12" s="451">
        <f>PGL_Requirements!P10/1000</f>
        <v>2.25</v>
      </c>
      <c r="H12" s="451">
        <f>PGL_Requirements!P11/1000</f>
        <v>2.25</v>
      </c>
      <c r="I12" s="452">
        <f>PGL_Requirements!P12/1000</f>
        <v>2.25</v>
      </c>
    </row>
    <row r="13" spans="1:256" ht="18.95" customHeight="1">
      <c r="A13" s="814"/>
      <c r="C13" s="805" t="s">
        <v>651</v>
      </c>
      <c r="D13" s="451">
        <f>PGL_Requirements!Q7/1000</f>
        <v>0.65</v>
      </c>
      <c r="E13" s="451">
        <f>PGL_Requirements!Q8/1000</f>
        <v>0.65</v>
      </c>
      <c r="F13" s="451">
        <f>PGL_Requirements!Q9/1000</f>
        <v>0.65</v>
      </c>
      <c r="G13" s="451">
        <f>PGL_Requirements!Q10/1000</f>
        <v>0.65</v>
      </c>
      <c r="H13" s="451">
        <f>PGL_Requirements!Q11/1000</f>
        <v>0.65</v>
      </c>
      <c r="I13" s="452">
        <f>PGL_Requirements!Q12/1000</f>
        <v>0.65</v>
      </c>
    </row>
    <row r="14" spans="1:256" ht="18.95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95" customHeight="1">
      <c r="A15" s="814"/>
      <c r="B15" s="805" t="s">
        <v>136</v>
      </c>
      <c r="C15" s="805" t="s">
        <v>730</v>
      </c>
      <c r="D15" s="451">
        <f>PGL_Requirements!T7/1000</f>
        <v>0.41799999999999998</v>
      </c>
      <c r="E15" s="451">
        <f>PGL_Requirements!T8/1000</f>
        <v>0.41799999999999998</v>
      </c>
      <c r="F15" s="451">
        <f>PGL_Requirements!T9/1000</f>
        <v>0.41799999999999998</v>
      </c>
      <c r="G15" s="451">
        <f>PGL_Requirements!T10/1000</f>
        <v>0.41799999999999998</v>
      </c>
      <c r="H15" s="451">
        <f>PGL_Requirements!T11/1000</f>
        <v>0.41799999999999998</v>
      </c>
      <c r="I15" s="452">
        <f>PGL_Requirements!T12/1000</f>
        <v>0.41799999999999998</v>
      </c>
    </row>
    <row r="16" spans="1:256" ht="18.95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95" customHeight="1">
      <c r="A17" s="814"/>
      <c r="B17" s="805" t="s">
        <v>134</v>
      </c>
      <c r="C17" s="805" t="s">
        <v>86</v>
      </c>
      <c r="D17" s="451">
        <f>PGL_Requirements!N7/1000</f>
        <v>14.4</v>
      </c>
      <c r="E17" s="451">
        <f>PGL_Requirements!N8/1000</f>
        <v>0</v>
      </c>
      <c r="F17" s="451">
        <f>PGL_Requirements!N9/1000</f>
        <v>0</v>
      </c>
      <c r="G17" s="451">
        <f>PGL_Requirements!N10/1000</f>
        <v>0</v>
      </c>
      <c r="H17" s="451">
        <f>PGL_Requirements!N11/1000</f>
        <v>0</v>
      </c>
      <c r="I17" s="452">
        <f>PGL_Requirements!N12/1000</f>
        <v>0</v>
      </c>
    </row>
    <row r="18" spans="1:10" ht="18.95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95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95" customHeight="1">
      <c r="A20" s="817" t="s">
        <v>140</v>
      </c>
      <c r="B20" s="805"/>
      <c r="C20" s="805"/>
      <c r="D20" s="451">
        <f>PGL_Requirements!F7/1000</f>
        <v>10.199999999999999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95" customHeight="1">
      <c r="A21" s="814" t="s">
        <v>141</v>
      </c>
      <c r="B21" s="805" t="s">
        <v>666</v>
      </c>
      <c r="C21" s="805"/>
      <c r="D21" s="451">
        <f>PGL_Requirements!I7/1000</f>
        <v>0.7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95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95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95" customHeight="1">
      <c r="A24" s="814"/>
      <c r="B24" s="805" t="s">
        <v>91</v>
      </c>
      <c r="C24" s="805"/>
      <c r="D24" s="453">
        <f>PGL_Requirements!E7/1000</f>
        <v>5.0279999999999996</v>
      </c>
      <c r="E24" s="453">
        <f>PGL_Requirements!E8/1000</f>
        <v>5.0279999999999996</v>
      </c>
      <c r="F24" s="453">
        <f>PGL_Requirements!E9/1000</f>
        <v>5.0279999999999996</v>
      </c>
      <c r="G24" s="453">
        <f>PGL_Requirements!E10/1000</f>
        <v>5.0279999999999996</v>
      </c>
      <c r="H24" s="453">
        <f>PGL_Requirements!E11/1000</f>
        <v>5.0279999999999996</v>
      </c>
      <c r="I24" s="454">
        <f>PGL_Requirements!E12/1000</f>
        <v>5.0279999999999996</v>
      </c>
    </row>
    <row r="25" spans="1:10" ht="18.95" customHeight="1" thickBot="1">
      <c r="A25" s="822" t="s">
        <v>142</v>
      </c>
      <c r="B25" s="823"/>
      <c r="C25" s="823"/>
      <c r="D25" s="455">
        <f t="shared" ref="D25:I25" si="1">SUM(D6:D24)</f>
        <v>370.15849999999995</v>
      </c>
      <c r="E25" s="455">
        <f t="shared" si="1"/>
        <v>364.23349999999999</v>
      </c>
      <c r="F25" s="455">
        <f t="shared" si="1"/>
        <v>353.346</v>
      </c>
      <c r="G25" s="455">
        <f t="shared" si="1"/>
        <v>353.346</v>
      </c>
      <c r="H25" s="455">
        <f t="shared" si="1"/>
        <v>353.346</v>
      </c>
      <c r="I25" s="1060">
        <f t="shared" si="1"/>
        <v>353.346</v>
      </c>
    </row>
    <row r="26" spans="1:10" ht="18.95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95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95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95" customHeight="1">
      <c r="A29" s="814"/>
      <c r="B29" s="805"/>
      <c r="C29" s="805" t="s">
        <v>89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95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95" customHeight="1">
      <c r="A31" s="814"/>
      <c r="B31" s="805" t="s">
        <v>136</v>
      </c>
      <c r="C31" s="805" t="s">
        <v>730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95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95" customHeight="1">
      <c r="A33" s="814"/>
      <c r="B33" s="805" t="s">
        <v>134</v>
      </c>
      <c r="C33" s="805" t="s">
        <v>86</v>
      </c>
      <c r="D33" s="451">
        <f>PGL_Supplies!K7/1000</f>
        <v>0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95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95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95" customHeight="1">
      <c r="A36" s="817" t="s">
        <v>729</v>
      </c>
      <c r="B36" s="805" t="s">
        <v>384</v>
      </c>
      <c r="C36" s="805"/>
      <c r="D36" s="451">
        <f>PGL_Supplies!S7/1000</f>
        <v>5</v>
      </c>
      <c r="E36" s="451">
        <f>PGL_Supplies!S8/1000</f>
        <v>5</v>
      </c>
      <c r="F36" s="451">
        <f>PGL_Supplies!S9/1000</f>
        <v>0</v>
      </c>
      <c r="G36" s="451">
        <f>PGL_Supplies!S10/1000</f>
        <v>0</v>
      </c>
      <c r="H36" s="451">
        <f>PGL_Supplies!S11/1000</f>
        <v>0</v>
      </c>
      <c r="I36" s="452">
        <f>PGL_Supplies!S12/1000</f>
        <v>0</v>
      </c>
    </row>
    <row r="37" spans="1:10" ht="18.95" customHeight="1">
      <c r="A37" s="831" t="s">
        <v>673</v>
      </c>
      <c r="B37" s="805" t="s">
        <v>657</v>
      </c>
      <c r="C37" s="805"/>
      <c r="D37" s="451">
        <f>PGL_Supplies!X7/1000</f>
        <v>86.2</v>
      </c>
      <c r="E37" s="451">
        <f>PGL_Supplies!X8/1000</f>
        <v>86.2</v>
      </c>
      <c r="F37" s="451">
        <f>PGL_Supplies!X9/1000</f>
        <v>86.2</v>
      </c>
      <c r="G37" s="451">
        <f>PGL_Supplies!X10/1000</f>
        <v>86.2</v>
      </c>
      <c r="H37" s="451">
        <f>PGL_Supplies!X11/1000</f>
        <v>86.2</v>
      </c>
      <c r="I37" s="452">
        <f>PGL_Supplies!X12/1000</f>
        <v>86.2</v>
      </c>
    </row>
    <row r="38" spans="1:10" ht="18.95" customHeight="1">
      <c r="A38" s="817"/>
      <c r="B38" s="805" t="s">
        <v>136</v>
      </c>
      <c r="C38" s="818"/>
      <c r="D38" s="451">
        <f>PGL_Supplies!Y7/1000</f>
        <v>0.41799999999999998</v>
      </c>
      <c r="E38" s="451">
        <f>PGL_Supplies!Y8/1000</f>
        <v>0.41799999999999998</v>
      </c>
      <c r="F38" s="451">
        <f>PGL_Supplies!Y9/1000</f>
        <v>0.41799999999999998</v>
      </c>
      <c r="G38" s="451">
        <f>PGL_Supplies!Y10/1000</f>
        <v>0.41799999999999998</v>
      </c>
      <c r="H38" s="451">
        <f>PGL_Supplies!Y11/1000</f>
        <v>0.41799999999999998</v>
      </c>
      <c r="I38" s="452">
        <f>PGL_Supplies!Y12/1000</f>
        <v>0.41799999999999998</v>
      </c>
    </row>
    <row r="39" spans="1:10" ht="18.95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95" customHeight="1">
      <c r="A40" s="817"/>
      <c r="B40" s="805" t="s">
        <v>384</v>
      </c>
      <c r="C40" s="818"/>
      <c r="D40" s="451">
        <f>PGL_Supplies!AA7/1000</f>
        <v>198.136</v>
      </c>
      <c r="E40" s="451">
        <f>PGL_Supplies!AA8/1000</f>
        <v>198.136</v>
      </c>
      <c r="F40" s="451">
        <f>PGL_Supplies!AA9/1000</f>
        <v>198.136</v>
      </c>
      <c r="G40" s="451">
        <f>PGL_Supplies!AA10/1000</f>
        <v>198.136</v>
      </c>
      <c r="H40" s="451">
        <f>PGL_Supplies!AA11/1000</f>
        <v>198.136</v>
      </c>
      <c r="I40" s="452">
        <f>PGL_Supplies!AA12/1000</f>
        <v>198.136</v>
      </c>
    </row>
    <row r="41" spans="1:10" ht="18.95" customHeight="1">
      <c r="A41" s="817"/>
      <c r="B41" s="805" t="s">
        <v>134</v>
      </c>
      <c r="C41" s="805"/>
      <c r="D41" s="451">
        <f>PGL_Supplies!AB7/1000</f>
        <v>68.477999999999994</v>
      </c>
      <c r="E41" s="451">
        <f>PGL_Supplies!AB8/1000</f>
        <v>68.477999999999994</v>
      </c>
      <c r="F41" s="451">
        <f>PGL_Supplies!AB9/1000</f>
        <v>68.477999999999994</v>
      </c>
      <c r="G41" s="451">
        <f>PGL_Supplies!AB10/1000</f>
        <v>68.477999999999994</v>
      </c>
      <c r="H41" s="451">
        <f>PGL_Supplies!AB11/1000</f>
        <v>68.477999999999994</v>
      </c>
      <c r="I41" s="452">
        <f>PGL_Supplies!AB12/1000</f>
        <v>68.477999999999994</v>
      </c>
    </row>
    <row r="42" spans="1:10" ht="18.95" customHeight="1">
      <c r="A42" s="817"/>
      <c r="B42" s="805" t="s">
        <v>135</v>
      </c>
      <c r="C42" s="805"/>
      <c r="D42" s="451">
        <f>PGL_Supplies!AC7/1000</f>
        <v>5.0279999999999996</v>
      </c>
      <c r="E42" s="451">
        <f>PGL_Supplies!AC8/1000</f>
        <v>5.0279999999999996</v>
      </c>
      <c r="F42" s="451">
        <f>PGL_Supplies!AC9/1000</f>
        <v>5.0279999999999996</v>
      </c>
      <c r="G42" s="451">
        <f>PGL_Supplies!AC10/1000</f>
        <v>5.0279999999999996</v>
      </c>
      <c r="H42" s="451">
        <f>PGL_Supplies!AC11/1000</f>
        <v>5.0279999999999996</v>
      </c>
      <c r="I42" s="452">
        <f>PGL_Supplies!AC12/1000</f>
        <v>5.0279999999999996</v>
      </c>
    </row>
    <row r="43" spans="1:10" ht="18.95" customHeight="1">
      <c r="A43" s="831"/>
      <c r="B43" s="805" t="s">
        <v>146</v>
      </c>
      <c r="C43" s="805"/>
      <c r="D43" s="451">
        <f>PGL_Supplies!H7/1000</f>
        <v>3</v>
      </c>
      <c r="E43" s="451">
        <f>PGL_Supplies!H8/1000</f>
        <v>3</v>
      </c>
      <c r="F43" s="451">
        <f>PGL_Supplies!H9/1000</f>
        <v>3</v>
      </c>
      <c r="G43" s="451">
        <f>PGL_Supplies!H10/1000</f>
        <v>3</v>
      </c>
      <c r="H43" s="451">
        <f>PGL_Supplies!H11/1000</f>
        <v>3</v>
      </c>
      <c r="I43" s="452">
        <f>PGL_Supplies!H12/1000</f>
        <v>3</v>
      </c>
      <c r="J43" s="111" t="s">
        <v>9</v>
      </c>
    </row>
    <row r="44" spans="1:10" ht="18.95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95" customHeight="1">
      <c r="A45" s="817" t="s">
        <v>684</v>
      </c>
      <c r="B45" s="805"/>
      <c r="C45" s="805"/>
      <c r="D45" s="451">
        <f>PGL_Supplies!B7/1000</f>
        <v>0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95" customHeight="1">
      <c r="A46" s="814" t="s">
        <v>665</v>
      </c>
      <c r="B46" s="805" t="s">
        <v>657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95" customHeight="1">
      <c r="A47" s="814"/>
      <c r="B47" s="819" t="s">
        <v>139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95" customHeight="1">
      <c r="A48" s="814"/>
      <c r="B48" s="805" t="s">
        <v>384</v>
      </c>
      <c r="C48" s="805"/>
      <c r="D48" s="451">
        <f>PGL_Supplies!D7/1000</f>
        <v>2.9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95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95" customHeight="1" thickBot="1">
      <c r="A50" s="834" t="s">
        <v>148</v>
      </c>
      <c r="B50" s="835"/>
      <c r="C50" s="835"/>
      <c r="D50" s="461">
        <f t="shared" ref="D50:I50" si="2">SUM(D28:D49)</f>
        <v>370.16</v>
      </c>
      <c r="E50" s="461">
        <f t="shared" si="2"/>
        <v>367.26000000000005</v>
      </c>
      <c r="F50" s="461">
        <f t="shared" si="2"/>
        <v>362.26000000000005</v>
      </c>
      <c r="G50" s="461">
        <f t="shared" si="2"/>
        <v>362.26000000000005</v>
      </c>
      <c r="H50" s="461">
        <f t="shared" si="2"/>
        <v>362.26000000000005</v>
      </c>
      <c r="I50" s="1062">
        <f t="shared" si="2"/>
        <v>362.26000000000005</v>
      </c>
    </row>
    <row r="51" spans="1:9" ht="18.95" customHeight="1">
      <c r="A51" s="836" t="s">
        <v>149</v>
      </c>
      <c r="B51" s="837"/>
      <c r="C51" s="837"/>
      <c r="D51" s="462">
        <f t="shared" ref="D51:I51" si="3">IF(D50-D25&lt;0,0,D50-D25)</f>
        <v>1.5000000000782165E-3</v>
      </c>
      <c r="E51" s="462">
        <f t="shared" si="3"/>
        <v>3.0265000000000555</v>
      </c>
      <c r="F51" s="462">
        <f t="shared" si="3"/>
        <v>8.9140000000000441</v>
      </c>
      <c r="G51" s="462">
        <f t="shared" si="3"/>
        <v>8.9140000000000441</v>
      </c>
      <c r="H51" s="462">
        <f t="shared" si="3"/>
        <v>8.9140000000000441</v>
      </c>
      <c r="I51" s="1063">
        <f t="shared" si="3"/>
        <v>8.9140000000000441</v>
      </c>
    </row>
    <row r="52" spans="1:9" ht="18.95" customHeight="1" thickBot="1">
      <c r="A52" s="838" t="s">
        <v>150</v>
      </c>
      <c r="B52" s="823"/>
      <c r="C52" s="839"/>
      <c r="D52" s="463">
        <f t="shared" ref="D52:I52" si="4">IF(D25-D50&lt;0,0,D25-D50)</f>
        <v>0</v>
      </c>
      <c r="E52" s="463">
        <f t="shared" si="4"/>
        <v>0</v>
      </c>
      <c r="F52" s="463">
        <f t="shared" si="4"/>
        <v>0</v>
      </c>
      <c r="G52" s="463">
        <f t="shared" si="4"/>
        <v>0</v>
      </c>
      <c r="H52" s="463">
        <f t="shared" si="4"/>
        <v>0</v>
      </c>
      <c r="I52" s="1064">
        <f t="shared" si="4"/>
        <v>0</v>
      </c>
    </row>
    <row r="53" spans="1:9" ht="18.95" customHeight="1" thickTop="1" thickBot="1">
      <c r="A53" s="1051" t="s">
        <v>675</v>
      </c>
      <c r="B53" s="1052"/>
      <c r="C53" s="1052"/>
      <c r="D53" s="1053">
        <f>PGL_Supplies!U7/1000</f>
        <v>126.39</v>
      </c>
      <c r="E53" s="1053">
        <f>PGL_Supplies!U8/1000</f>
        <v>126.39</v>
      </c>
      <c r="F53" s="1053">
        <f>PGL_Supplies!U9/1000</f>
        <v>126.39</v>
      </c>
      <c r="G53" s="1053">
        <f>PGL_Supplies!U10/1000</f>
        <v>126.39</v>
      </c>
      <c r="H53" s="1053">
        <f>PGL_Supplies!U11/1000</f>
        <v>126.39</v>
      </c>
      <c r="I53" s="1054">
        <f>PGL_Supplies!U12/1000</f>
        <v>126.39</v>
      </c>
    </row>
    <row r="54" spans="1:9" ht="18.95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2001-08-20T09:14:21Z</cp:lastPrinted>
  <dcterms:created xsi:type="dcterms:W3CDTF">1997-07-16T16:14:22Z</dcterms:created>
  <dcterms:modified xsi:type="dcterms:W3CDTF">2023-09-10T17:01:23Z</dcterms:modified>
</cp:coreProperties>
</file>