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4FFA55-863E-49C1-BA39-D4FB482AE64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<sst xmlns="http://schemas.openxmlformats.org/spreadsheetml/2006/main" count="2073" uniqueCount="814">
  <si>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</si>
  <si>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</si>
  <si>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</si>
  <si>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</si>
  <si>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</si>
  <si>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</si>
  <si>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</si>
  <si>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</si>
  <si>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</si>
  <si>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</si>
  <si>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</si>
  <si>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</si>
  <si>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</si>
  <si>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</si>
  <si>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</si>
  <si>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</si>
  <si>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</si>
  <si>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</si>
  <si>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</si>
  <si>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</si>
  <si>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</si>
  <si>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</si>
  <si>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</si>
  <si>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</si>
  <si>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</si>
  <si>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</si>
  <si>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</si>
  <si>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</si>
  <si>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</si>
  <si>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</si>
  <si>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</si>
  <si>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</si>
  <si>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</si>
  <si>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</si>
  <si>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</si>
  <si>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</si>
  <si>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</si>
  <si>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</si>
  <si>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</si>
  <si>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</si>
  <si>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</si>
  <si>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</si>
  <si>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</si>
  <si>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</si>
  <si>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</si>
  <si>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</si>
  <si>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</si>
  <si>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</si>
  <si>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</si>
  <si>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</si>
  <si>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</si>
  <si>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</si>
  <si>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</si>
  <si>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</si>
  <si>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</si>
  <si>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</si>
  <si>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</si>
  <si>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</si>
  <si>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</si>
  <si>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</si>
  <si>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</si>
  <si>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</si>
  <si>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</si>
  <si>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</si>
  <si>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</si>
  <si>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</si>
  <si>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</si>
  <si>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</si>
  <si>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</si>
  <si>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</si>
  <si>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</si>
  <si>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</si>
  <si>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</si>
  <si>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</si>
  <si>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</si>
  <si>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</si>
  <si>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</si>
  <si>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</si>
  <si>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</si>
  <si>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</si>
  <si>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</si>
  <si>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</si>
  <si>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</si>
  <si>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</si>
  <si>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</si>
  <si>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</si>
  <si>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</si>
  <si>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</si>
  <si>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</si>
  <si>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</si>
  <si>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</si>
  <si>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</si>
  <si>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</si>
  <si>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</si>
  <si>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</si>
  <si>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</si>
  <si>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</si>
  <si>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</si>
  <si>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</si>
  <si>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</si>
  <si>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</si>
  <si>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</si>
  <si>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</si>
  <si>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</si>
  <si>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</si>
  <si>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</si>
  <si>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</si>
  <si>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</si>
  <si>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</si>
  <si>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</si>
  <si>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</si>
  <si>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</si>
  <si>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</si>
  <si>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</si>
  <si>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</si>
  <si>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</si>
  <si>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</si>
  <si>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</si>
  <si>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</si>
  <si>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</si>
  <si>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</si>
  <si>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</si>
  <si>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</si>
  <si>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</si>
  <si>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</si>
  <si>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</si>
  <si>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</si>
  <si>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</si>
  <si>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</si>
  <si>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</si>
  <si>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</si>
  <si>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</si>
  <si>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</si>
  <si>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</si>
  <si>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</si>
  <si>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</si>
  <si>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</si>
  <si>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</si>
  <si>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</si>
  <si>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</si>
  <si>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</si>
  <si>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</si>
  <si>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</si>
  <si>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</si>
  <si>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</si>
  <si>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</si>
  <si>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</si>
  <si>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</si>
  <si>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</si>
  <si>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</si>
  <si>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</si>
  <si>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</si>
  <si>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</si>
  <si>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</si>
  <si>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</si>
  <si>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</si>
  <si>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</si>
  <si>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</si>
  <si>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</si>
  <si>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</si>
  <si>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</si>
  <si>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</si>
  <si>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</si>
  <si>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</si>
  <si>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</si>
  <si>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</si>
  <si>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</si>
  <si>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</si>
  <si>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</si>
  <si>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</si>
  <si>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</si>
  <si>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</si>
  <si>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</si>
  <si>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</si>
  <si>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</si>
  <si>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</si>
  <si>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</si>
  <si>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</si>
  <si>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</si>
  <si>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</si>
  <si>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</si>
  <si>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</si>
  <si>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</si>
  <si>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</si>
  <si>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</si>
  <si>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</si>
  <si>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</si>
  <si>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</si>
  <si>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</si>
  <si>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</si>
  <si>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</si>
  <si>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</si>
  <si>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</si>
  <si>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</si>
  <si>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</si>
  <si>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</si>
  <si>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</si>
  <si>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</si>
  <si>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</si>
  <si>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</si>
  <si>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</si>
  <si>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</si>
  <si>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</si>
  <si>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</si>
  <si>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</si>
  <si>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</si>
  <si>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</si>
  <si>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</si>
  <si>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</si>
  <si>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</si>
  <si>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</si>
  <si>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</si>
  <si>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</si>
  <si>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</si>
  <si>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</si>
  <si>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</si>
  <si>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</si>
  <si>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</si>
  <si>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</si>
  <si>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</si>
  <si>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</si>
  <si>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</si>
  <si>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</si>
  <si>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</si>
  <si>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</si>
  <si>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</si>
  <si>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</si>
  <si>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</si>
  <si>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</si>
  <si>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</si>
  <si>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</si>
  <si>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</si>
  <si>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</si>
  <si>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</si>
  <si>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</si>
  <si>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</si>
  <si>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</si>
  <si>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</si>
  <si>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</si>
  <si>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</si>
  <si>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</si>
  <si>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</si>
  <si>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</si>
  <si>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</si>
  <si>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</si>
  <si>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</si>
  <si>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</si>
  <si>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</si>
  <si>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</si>
  <si>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</si>
  <si>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</si>
  <si>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</si>
  <si>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</si>
  <si>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</si>
  <si>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</si>
  <si>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</si>
  <si>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</si>
  <si>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</si>
  <si>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</si>
  <si>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</si>
  <si>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</si>
  <si>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</si>
  <si>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</si>
  <si>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</si>
  <si>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</si>
  <si>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</si>
  <si>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</si>
  <si>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</si>
  <si>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</si>
  <si>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</si>
  <si>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</si>
  <si>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</si>
  <si>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</si>
  <si>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</si>
  <si>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</si>
  <si>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</si>
  <si>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</si>
  <si>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</si>
  <si>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</si>
  <si>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</si>
  <si>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</si>
  <si>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</si>
  <si>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</si>
  <si>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</si>
  <si>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</si>
  <si>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</si>
  <si>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</si>
  <si>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</si>
  <si>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</si>
  <si>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</si>
  <si>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</si>
  <si>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</si>
  <si>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</si>
  <si>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</si>
  <si>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</si>
  <si>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</si>
  <si>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</si>
  <si>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</si>
  <si>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</si>
  <si>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</si>
  <si>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</si>
  <si>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</si>
  <si>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</si>
  <si>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</si>
  <si>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</si>
  <si>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</si>
  <si>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</si>
  <si>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</si>
  <si>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</si>
  <si>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</si>
  <si>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</si>
  <si>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</si>
  <si>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</si>
  <si>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</si>
  <si>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</si>
  <si>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</si>
  <si>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</si>
  <si>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</si>
  <si>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</si>
  <si>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</si>
  <si>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</si>
  <si>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</si>
  <si>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</si>
  <si>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</si>
  <si>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</si>
  <si>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</si>
  <si>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</si>
  <si>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</si>
  <si>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</si>
  <si>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</si>
  <si>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</si>
  <si>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</si>
  <si>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</si>
  <si>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</si>
  <si>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</si>
  <si>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</si>
  <si>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</si>
  <si>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</si>
  <si>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</si>
  <si>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</si>
  <si>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</si>
  <si>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</si>
  <si>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</si>
  <si>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</si>
  <si>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</si>
  <si>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</si>
  <si>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</si>
  <si>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</si>
  <si>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</si>
  <si>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</si>
  <si>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</si>
  <si>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</si>
  <si>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</si>
  <si>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</si>
  <si>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</si>
  <si>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</si>
  <si>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</si>
  <si>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</si>
  <si>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</si>
  <si>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</si>
  <si>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</si>
  <si>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</si>
  <si>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</si>
  <si>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</si>
  <si>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</si>
  <si>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</si>
  <si>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</si>
  <si>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</si>
  <si>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</si>
  <si>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</si>
  <si>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</si>
  <si>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</si>
  <si>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</si>
  <si>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</si>
  <si>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</si>
  <si>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</si>
  <si>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</si>
  <si>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</si>
  <si>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</si>
  <si>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</si>
  <si>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</si>
  <si>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</si>
  <si>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</si>
  <si>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</si>
  <si>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</si>
  <si>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</si>
  <si>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</si>
  <si>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</si>
  <si>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</si>
  <si>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</si>
  <si>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</si>
  <si>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</si>
  <si>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</si>
  <si>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</si>
  <si>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</si>
  <si>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</si>
  <si>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</si>
  <si>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</si>
  <si>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</si>
  <si>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</si>
  <si>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</si>
  <si>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</si>
  <si>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</si>
  <si>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</si>
  <si>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</si>
  <si>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</si>
  <si>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</si>
  <si>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</si>
  <si>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</si>
  <si>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</si>
  <si>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</si>
  <si>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</si>
  <si>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</si>
  <si>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</si>
  <si>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</si>
  <si>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</si>
  <si>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</si>
  <si>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</si>
  <si>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</si>
  <si>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</si>
  <si>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</si>
  <si>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</si>
  <si>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</si>
  <si>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</si>
  <si>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</si>
  <si>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</si>
  <si>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</si>
  <si>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</si>
  <si>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</si>
  <si>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</si>
  <si>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</si>
  <si>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</si>
  <si>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</si>
  <si>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</si>
  <si>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</si>
  <si>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</si>
  <si>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</si>
  <si>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</si>
  <si>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</si>
  <si>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</si>
  <si>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</si>
  <si>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</si>
  <si>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</si>
  <si>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</si>
  <si>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</si>
  <si>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</si>
  <si>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</si>
  <si>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</si>
  <si>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</si>
  <si>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</si>
  <si>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</si>
  <si>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</si>
  <si>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</si>
  <si>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</si>
  <si>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</si>
  <si>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</si>
  <si>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</si>
  <si>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</si>
  <si>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</si>
  <si>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</si>
  <si>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</si>
  <si>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</si>
  <si>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</si>
  <si>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</si>
  <si>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</si>
  <si>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</si>
  <si>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</si>
  <si>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</si>
  <si>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</si>
  <si>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</si>
  <si>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</si>
  <si>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</si>
  <si>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</si>
  <si>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</si>
  <si>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</si>
  <si>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</si>
  <si>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</si>
  <si>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</si>
  <si>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</si>
  <si>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</si>
  <si>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</si>
  <si>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</si>
  <si>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</si>
  <si>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</si>
  <si>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</si>
  <si>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</si>
  <si>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</si>
  <si>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</si>
  <si>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</si>
  <si>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</si>
  <si>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</si>
  <si>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</si>
  <si>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</si>
  <si>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</si>
  <si>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</si>
  <si>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</si>
  <si>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</si>
  <si>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</si>
  <si>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</si>
  <si>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</si>
  <si>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</si>
  <si>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</si>
  <si>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</si>
  <si>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</si>
  <si>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</si>
  <si>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</si>
  <si>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</si>
  <si>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</si>
  <si>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</si>
  <si>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</si>
  <si>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</si>
  <si>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</si>
  <si>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</si>
  <si>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</si>
  <si>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</si>
  <si>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</si>
  <si>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</si>
  <si>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</si>
  <si>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</si>
  <si>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</si>
  <si>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</si>
  <si>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</si>
  <si>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</si>
  <si>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</si>
  <si>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</si>
  <si>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</si>
  <si>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</si>
  <si>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</si>
  <si>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</si>
  <si>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</si>
  <si>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</si>
  <si>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</si>
  <si>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</si>
  <si>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</si>
  <si>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</si>
  <si>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</si>
  <si>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</si>
  <si>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</si>
  <si>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</si>
  <si>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</si>
  <si>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</si>
  <si>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</si>
  <si>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</si>
  <si>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</si>
  <si>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</si>
  <si>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</si>
  <si>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</si>
  <si>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</si>
  <si>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</si>
  <si>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</si>
  <si>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</si>
  <si>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</si>
  <si>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</si>
  <si>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</si>
  <si>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</si>
  <si>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</si>
  <si>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</si>
  <si>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</si>
  <si>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</si>
  <si>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</si>
  <si>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</si>
  <si>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</si>
  <si>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</si>
  <si>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</si>
  <si>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</si>
  <si>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</si>
  <si>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</si>
  <si>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</si>
  <si>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</si>
  <si>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</si>
  <si>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</si>
  <si>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</si>
  <si>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</si>
  <si>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</si>
  <si>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</si>
  <si>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</si>
  <si>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</si>
  <si>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</si>
  <si>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</si>
  <si>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</si>
  <si>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</si>
  <si>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</si>
  <si>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</si>
  <si>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</si>
  <si>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</si>
  <si>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</si>
  <si>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</si>
  <si>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</si>
  <si>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</si>
  <si>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</si>
  <si>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</si>
  <si>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</si>
  <si>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</si>
  <si>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</si>
  <si>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</si>
  <si>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</si>
  <si>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</si>
  <si>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</si>
  <si>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</si>
  <si>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</si>
  <si>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</si>
  <si>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</si>
  <si>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</si>
  <si>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</si>
  <si>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</si>
  <si>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</si>
  <si>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</si>
  <si>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</si>
  <si>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</si>
  <si>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</si>
  <si>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</si>
  <si>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</si>
  <si>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</si>
  <si>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</si>
  <si>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</si>
  <si>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</si>
  <si>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</si>
  <si>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</si>
  <si>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</si>
  <si>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</si>
  <si>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</si>
  <si>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</si>
  <si>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</si>
  <si>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</si>
  <si>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</si>
  <si>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</si>
  <si>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</si>
  <si>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</si>
  <si>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</si>
  <si>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</si>
  <si>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</si>
  <si>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</si>
  <si>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</si>
  <si>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</si>
  <si>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</si>
  <si>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</si>
  <si>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</si>
  <si>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</si>
  <si>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</si>
  <si>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</si>
  <si>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</si>
  <si>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</si>
  <si>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</si>
  <si>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</si>
  <si>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</si>
  <si>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</si>
  <si>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</si>
  <si>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</si>
  <si>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</si>
  <si>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</si>
  <si>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</si>
  <si>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</si>
  <si>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</si>
  <si>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</si>
  <si>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</si>
  <si>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</si>
  <si>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</si>
  <si>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</si>
  <si>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</si>
  <si>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</si>
  <si>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</si>
  <si>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</si>
  <si>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</si>
  <si>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</si>
  <si>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</si>
  <si>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</si>
  <si>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</si>
  <si>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</si>
  <si>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</si>
  <si>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</si>
  <si>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</si>
  <si>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</si>
  <si>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</si>
  <si>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</si>
  <si>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</si>
  <si>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</si>
  <si>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</si>
  <si>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</si>
  <si>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</si>
  <si>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</si>
  <si>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</si>
  <si>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</si>
  <si>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</si>
  <si>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</si>
  <si>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</si>
  <si>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</si>
  <si>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</si>
  <si>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</si>
  <si>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</si>
  <si>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</si>
  <si>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</si>
  <si>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</si>
  <si>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</si>
  <si>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</si>
  <si>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</si>
  <si>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</si>
  <si>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</si>
  <si>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</si>
  <si>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</si>
  <si>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</si>
  <si>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</si>
  <si>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</si>
  <si>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</si>
  <si>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</si>
  <si>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</si>
  <si>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</si>
  <si>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</si>
  <si>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</si>
  <si>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</si>
  <si>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</si>
  <si>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</si>
  <si>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</si>
  <si>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</si>
  <si>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</si>
  <si>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</si>
  <si>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</si>
  <si>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</si>
  <si>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</si>
  <si>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</si>
  <si>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</si>
  <si>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</si>
  <si>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</si>
  <si>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</si>
  <si>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</si>
  <si>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</si>
  <si>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</si>
  <si>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</si>
  <si>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</si>
  <si>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</si>
  <si>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</si>
  <si>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</si>
  <si>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</si>
  <si>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</si>
  <si>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</si>
  <si>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</si>
  <si>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</si>
  <si>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</si>
  <si>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</si>
  <si>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</si>
  <si>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</si>
  <si>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</si>
  <si>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</si>
  <si>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</si>
  <si>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</si>
  <si>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</si>
  <si>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</si>
  <si>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</si>
  <si>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</si>
  <si>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</si>
  <si>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</si>
  <si>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</si>
  <si>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</si>
  <si>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</si>
  <si>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</si>
  <si>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</si>
  <si>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</si>
  <si>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</si>
  <si>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</si>
  <si>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</si>
  <si>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</si>
  <si>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</si>
  <si>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</si>
  <si>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</si>
  <si>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</si>
  <si>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</si>
  <si>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</si>
  <si>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</si>
  <si>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</si>
  <si>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</si>
  <si>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</si>
  <si>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</si>
  <si>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</si>
  <si>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</si>
  <si>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</si>
  <si>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</si>
  <si>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</si>
  <si>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</si>
  <si>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</si>
  <si>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</si>
  <si>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</si>
  <si>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</si>
  <si>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</si>
  <si>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</si>
  <si>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</si>
  <si>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</si>
  <si>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</si>
  <si>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</si>
  <si>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</si>
  <si>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</si>
  <si>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</si>
  <si>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</si>
  <si>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</si>
  <si>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</si>
  <si>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</si>
  <si>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</si>
  <si>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</si>
  <si>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</si>
  <si>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</si>
  <si>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</si>
  <si>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</si>
  <si>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</si>
  <si>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</si>
  <si>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</si>
  <si>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</si>
  <si>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</si>
  <si>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>Wisvest</t>
  </si>
  <si>
    <t xml:space="preserve">  MOSTLY CLOUDY</t>
  </si>
  <si>
    <t xml:space="preserve">  TODAY - BREEZY WITH SEVERAL HOURS OF SUN</t>
  </si>
  <si>
    <t xml:space="preserve">  TONIGHT - MAINLY CLEAR AND PLEASANT</t>
  </si>
  <si>
    <t xml:space="preserve">  PLEASANT WITH PERIODS OF CLOUDS AND SUNSHINE.</t>
  </si>
  <si>
    <t xml:space="preserve">  INTERVALS OF CLOUDS AND SUNSHINE, BECOMING BREEZY WITH A THUNDER-</t>
  </si>
  <si>
    <t xml:space="preserve">  STORM POSSIBLE LATER ON.</t>
  </si>
  <si>
    <t xml:space="preserve">  MAINLY CLOUDY WITH A CHANCE OF THUNDERSTORM; STICKY</t>
  </si>
  <si>
    <t xml:space="preserve">  WARM AND STEAMY WITH CLOUDS AND SUNSHINE.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</si>
</sst>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8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strike/>
      <sz val="12"/>
      <color indexed="5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0" fontId="34" fillId="0" borderId="183" xfId="0" applyFont="1" applyFill="1" applyBorder="1" applyAlignment="1">
      <alignment horizontal="left"/>
    </xf>
    <xf numFmtId="0" fontId="6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11AA762-FE6B-8590-1A08-052C1DC40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715EF72-621E-5DDE-2D18-C89183B14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BD46843-E533-F9A6-3854-CF29108CA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A823FF4-7AAD-4353-F5BF-C78A5A256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094804D-C69E-4079-D652-F8D8E3F3D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C3A62C0-6192-5329-2838-CF2D95DA1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46AB531-B6E2-3499-C790-14869DCE6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2B78660-1811-C5FD-1E77-A53BE6403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D8A2A8B-36DE-06CF-795B-459CFDF70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3ADF2A4-DBFA-E93B-21B6-396003DDB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075DB5F-8120-6213-6AB8-B0477EA43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65AE965-B578-26AA-CB0A-2A419EF37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BC87335-40EE-61A1-9AAE-C98555C42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5A8DBE4-C92D-0803-0D46-D38B28709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E99A8D0-D670-6E33-37ED-FE3B9F180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A2077295-39D7-DE92-19EF-260EA285C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BC96D67-54B6-304C-0908-558716FA3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D22CC20-BF7C-8104-46CE-2B640F25E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474BA9D9-FF55-656B-9755-88065A3D1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75193A5E-E391-0B3F-FBBF-7CBF40E6E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9EC60CA3-E879-0A36-B2D6-A9A6F546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B6473516-3A1D-2DB7-007F-27B74E002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24B0019D-6988-736E-BC87-81F447C31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B7B7B65-2256-5025-4906-94995598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71CA9EE0-3236-B6D2-04AA-A713924F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8DF0D0F-088E-625B-8172-3EAB5C81E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DEAF14E2-5DB5-0DF7-AB70-F290A438D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9D41154-DDAE-0C21-3E8E-96789F2A2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1F074600-D553-C857-C0B9-706FF5AB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852A17B5-DCBB-C177-24D5-99E1F4628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7E60C33-B796-64A8-E483-66586366A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2F9D6CB3-E6A7-4FB9-8B65-8DBC979D3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9227BF87-92CE-42DA-6B3F-501C82DAE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B2AFAFAF-2CCF-9F08-BF80-5C59D318B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7BB8FE4-8A54-7EC2-35C5-20D00798A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E62DF271-AB86-0CF7-E336-73AB0346B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0F967E9E-E718-7B6C-F6CA-2E9433C83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92D8112F-4AF9-F290-2071-981E4DA89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91A57DF1-098D-C398-E8F7-A5CF43E42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9EB3E0A9-88CF-F45A-90E0-C077821E4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20A2D6C-8369-D4E9-B0C1-5653BD59C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3BD3EBD2-FF34-C90D-5B8F-C0594636A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B033C125-CEE9-9D39-C4C9-A3379ADCA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B8917D4C-238C-9CB2-AC86-E28AE5B3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751" name="Day_1">
          <a:extLst>
            <a:ext uri="{FF2B5EF4-FFF2-40B4-BE49-F238E27FC236}">
              <a16:creationId xmlns:a16="http://schemas.microsoft.com/office/drawing/2014/main" id="{A39AC785-A503-15FA-4A3C-7EF1EB72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752" name="Day_2">
          <a:extLst>
            <a:ext uri="{FF2B5EF4-FFF2-40B4-BE49-F238E27FC236}">
              <a16:creationId xmlns:a16="http://schemas.microsoft.com/office/drawing/2014/main" id="{68D38C5D-D489-068B-283B-BB79E5DFE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753" name="Day_3">
          <a:extLst>
            <a:ext uri="{FF2B5EF4-FFF2-40B4-BE49-F238E27FC236}">
              <a16:creationId xmlns:a16="http://schemas.microsoft.com/office/drawing/2014/main" id="{6F9D6D20-0A38-3ECD-44F5-A64A0378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754" name="Day_4">
          <a:extLst>
            <a:ext uri="{FF2B5EF4-FFF2-40B4-BE49-F238E27FC236}">
              <a16:creationId xmlns:a16="http://schemas.microsoft.com/office/drawing/2014/main" id="{5ED7527D-39A6-1291-04F0-DC1E90B5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755" name="Day_5">
          <a:extLst>
            <a:ext uri="{FF2B5EF4-FFF2-40B4-BE49-F238E27FC236}">
              <a16:creationId xmlns:a16="http://schemas.microsoft.com/office/drawing/2014/main" id="{5C83AB5E-EA29-09B8-CB47-06069D2AD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756" name="Day_6">
          <a:extLst>
            <a:ext uri="{FF2B5EF4-FFF2-40B4-BE49-F238E27FC236}">
              <a16:creationId xmlns:a16="http://schemas.microsoft.com/office/drawing/2014/main" id="{F8BE6FAE-8DF2-EBDF-087E-018A2B68F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032EB8D7-6400-CCEA-6113-657574A364C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2C9D8835-DC81-84FA-A6DD-6E06F2504764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232FAD3-1929-615F-F797-18AB5F9A8B22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7A07BACC-DFB4-C5D0-2EDA-943596C95A71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1A7763B-CC97-9668-CCD1-8A89A8B483B9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04C16F0-A763-3E1E-A3D7-00AC1180AD5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DC194FD-1EB2-2378-0A86-F635601C11E3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C39F14C-45E5-9D03-0A12-D700B02843E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504B2D16-C944-9507-9A6D-4F3F89DF270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262EB5A-B860-4088-8A8D-10D58084535E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EB4D8F2-2985-F7D4-149A-2FB98C9BA045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E6A73487-B47C-388C-0EB1-1CB55436A99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6D174D2A-F08D-03EE-C297-2EA6222212D1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C20E244D-A941-C09C-D073-5395BC9DEFCF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15AFD135-8D27-4D92-2712-0206809F802E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28ECD33F-4C26-59F1-CE67-D32C69E08A0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EC0325D-8FFF-4762-EA4B-FEDB15569625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06EBC6C-E080-3C42-5B97-4BEAFA9A869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1EC62BB-F24E-09C9-DEC4-5B954A9FDE2B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64CFF03-721C-A1C8-832D-B5B1916511E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D1604E0D-DE7B-B7E9-FEC8-236A56E9EDC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AB85DEB-8048-8E65-B2DF-D945095F98FA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CC06F06-42D8-70F3-10F4-9D9C049DCFF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797BAE75-063A-5C37-54C8-8ED2C55C0091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A3F38FC1-6E33-E0A1-7424-A9ADB602B36E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A4056EB0-B27C-F7FE-5597-FD787DFA9FBB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A7AEC3D3-DD86-6DA1-0048-4AB8BFFE931C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1B4136AE-071E-ECB4-2D17-6C97BF2E7D54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15C74FB6-F55C-985C-4E0B-5F3C9D49A4D7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0CE5278-3A81-CE0C-9C06-0028745D213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939B6B6-D464-A57C-5ACB-011704BB0220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4A216FDB-B6C9-7620-BCD4-92BD05C22D85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2C758A39-961D-937F-9EC7-13FCAF0E319C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28BAC3EF-3549-21F4-F6C2-0B9DC0D9C0E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4A98FE8-3842-5005-3F67-3D9FEDEAE062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AF3D0433-C7CC-16EB-590F-B4B7D3A9F15B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89688263-5B67-2794-804F-7A167721410B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4340FA61-AC2E-13E0-4DF6-AC9C9FBE57B0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8B56836B-72D2-B90E-92EB-875C038EFA5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B1281675-630C-9691-0944-68964C254DB2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A9ED4E28-9449-FC5A-C206-8C07B55C582B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AA93648A-8321-560F-1A1C-1E34D1D0CBE4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7595A9D-9E80-15D5-5F67-E9CAEE2A6CD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68A44F2E-7F51-CD15-1B54-BADAE463A234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548D71F8-3307-4A26-F86A-21230DD11FE2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3D9D5FB-554D-99F5-57BA-BC15C230D12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F8F6E705-83ED-6136-7C6D-394240F4D8E9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964F614B-07E1-21D2-4776-01EDBADB2AEA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1513BF4-DDC6-4AA6-3CAC-434818407928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AE3BD14-B60E-6C2A-A047-6D3E52ADEC67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8321022F-B819-F1D1-DB9D-FA4FA9710938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8CB0CE0F-ECC7-BBC5-20AE-206852B158BD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A58C635-D5CF-D39A-2B25-EFE6A2710D79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BFA2B02-A799-2E96-567B-E1617C20FE33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5092940-B0E4-BD06-D00B-0DAFEF20010C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64CBDF9-EF76-018A-2692-C3F66BEE7F7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690CBAA2-2CF9-79E3-6E4B-0DB418DD2C6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7B6CD9F9-292D-23DD-1235-81AE6DAB080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6764BDC-6155-A73F-2A3A-DB57EF799B5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133A671-78A1-E18C-7FC0-FCBF44831BF9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5E34ACF0-B957-67CA-9898-8016BF9ACDF4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1767759E-84B4-D0FE-9B3F-64A9BE71ADDB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B26D5F8-49E1-343A-334F-8537033A22C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3DE1A7B9-DDC5-B28E-E967-E1C700ECF456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88F91E49-1638-A347-7293-EF8D30A0425B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E367992E-E833-0DF9-246C-2E3687E4689F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9F03A77-A1A4-A257-23C3-F9134CA11F39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AB10211A-036C-6ECA-33EF-85F2DDE30E9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FC4FCEA-D43B-1DAB-AAFA-B4BC4793FD3B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BA6934A-87E7-75D3-9ACB-74EA676F85E6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5FDDC387-4B67-024F-08B4-9C83F3766FC4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1A7C5DB3-8879-38B1-3F89-379EF64B1137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FAE3779-4BB0-F051-7D66-40BA70B4448D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306E953F-1584-7F70-665F-FC4DB5603867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AA72E1B9-338D-8826-AD6B-702CFB0B8B7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735D7BAD-C7F2-E4C2-A872-2B15B67A9003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5258973-50E8-92B5-8FF3-3D753D4CE464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0FE4F4DB-689F-E1B7-F020-17A86CAD3588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004B4E6-CA3C-B798-0817-4A5222C4D2E8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23B7E90-9A9C-3C14-B4F9-94CDEBDA9D08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4FB2DA32-52B7-79B7-6387-305B72EE362A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54378871-BED3-D0E0-3570-649D276D35E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F8AEE419-C917-5292-39EC-D1111689BD17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1F633231-55DE-412A-C7E8-6D85A38E4A8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B9FB4DD9-2880-B632-C7D4-80C963281ADC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9DA3D4D-9B26-E18B-5E27-F4BF97CD82A4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1C0EA4F-BAFB-F046-B3EB-DD4CD7198356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5561905-4991-68B2-F1A8-5A348C3DA0B9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D7BF96F-95A9-6466-EDF6-FF298E6426F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480A3B6C-D321-4902-705B-352796B9D715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EA0D7052-5CF0-6B56-B3B9-D92AACC8B293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F1375D30-1A9A-7403-9C03-927AAD0E48A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4168E04-FCB1-3C8A-C0E6-F91E531FD3C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20A88DC1-1F26-C006-16BF-5C5FD3C25B9E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C2E4A57E-277C-3BD5-D6B7-F0338F7D2ADB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746BB3B2-01AF-CCD0-4E47-8F52E46D85EA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AB5AE060-D725-DFBC-8716-3752D666DBA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266E198-0B56-6ECD-9849-694F0B584B34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6A0C6596-DD9D-0696-D978-59DFFA77901C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5CDFCEA0-1D94-7896-0304-566513200399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61424EE4-C63E-D9A4-F6AD-EFDD5B9AA365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3016CBB-9C7F-99C2-B0D8-C34814A67A1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13AD3095-951A-7F9B-2C27-75E87F58D73D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CA3DC2DA-A8B2-F2B7-7D48-48C0A1344EB3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FB80085F-DE07-EE4F-F4E3-6A0FDD3AB687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6603C15C-1921-AE5D-4C39-33B4ABBB98D4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8C8EFC8-A41B-9279-3CA7-050EF04BDA3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522A736-F0F6-D226-297D-3A0FEFE3F0E8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310BE7C6-E8BD-2DE5-1BF9-49F0BBCEA7D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77794AF-BCA2-6587-F812-97188D70683C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8719C9C0-36B8-6A3B-206E-D140402A23F0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5C8F7B6-DC5A-B0F3-7B7B-A0B318883207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768C6CB7-6BEF-6D7D-89E7-F0BD51DE7C79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0D9472B-7A96-5EE1-F978-C2A278114539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1DBF0C0-9B15-7922-C7A6-B8D12BA8488A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BB56F932-C98F-570C-BDEB-20F5B22C2F8A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902F1DFC-09E9-C1EB-383F-2D040BA587BD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53FD4F30-3A07-79E7-56B4-03D88C4BCD8F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F91AD7B-669B-2484-90C7-F269332AFEC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C83ADF4-AB8C-1B7F-2FE4-1918892AFD39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014DC032-8267-0FF1-E37D-257BBD58F75B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674756A2-9755-2F50-C173-E4DD485DF0CD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D03FCD37-B63B-76D1-0C38-6604413DD6A6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A20B374-F50A-9D1D-F4D7-EB9B4B59BAF0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86DDD37A-7536-9E47-DFB4-49410679AB2E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92591219-5AA1-5B49-78BA-204E7686391B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BED2444-2724-C616-297A-7F3A7B9BFF20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1D4F8AD0-F54E-D49A-BCFE-9CD7CE9269A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C711CFE4-8CD9-9519-EC6B-4D8921A0FF7E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2973D83-496F-C4BF-1991-76FAFDC86D74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F10" sqref="F10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272"/>
      <c r="B1" s="798"/>
    </row>
    <row r="2" spans="1:88">
      <c r="A2" s="1040" t="s">
        <v>9</v>
      </c>
      <c r="B2" t="s">
        <v>9</v>
      </c>
    </row>
    <row r="3" spans="1:88" ht="15.75" thickBot="1">
      <c r="A3" s="111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37097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37097</v>
      </c>
      <c r="E4" s="833">
        <f>Weather_Input!A6</f>
        <v>37098</v>
      </c>
      <c r="F4" s="833">
        <f>Weather_Input!A7</f>
        <v>37099</v>
      </c>
      <c r="G4" s="833">
        <f>Weather_Input!A8</f>
        <v>37100</v>
      </c>
      <c r="H4" s="833">
        <f>Weather_Input!A9</f>
        <v>37101</v>
      </c>
      <c r="I4" s="834">
        <f>Weather_Input!A10</f>
        <v>37102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74/68/71</v>
      </c>
      <c r="E5" s="866" t="str">
        <f>TEXT(Weather_Input!B6,"0")&amp;"/"&amp;TEXT(Weather_Input!C6,"0") &amp; "/" &amp; TEXT((Weather_Input!B6+Weather_Input!C6)/2,"0")</f>
        <v>74/58/66</v>
      </c>
      <c r="F5" s="866" t="str">
        <f>TEXT(Weather_Input!B7,"0")&amp;"/"&amp;TEXT(Weather_Input!C7,"0") &amp; "/" &amp; TEXT((Weather_Input!B7+Weather_Input!C7)/2,"0")</f>
        <v>77/60/69</v>
      </c>
      <c r="G5" s="866" t="str">
        <f>TEXT(Weather_Input!B8,"0")&amp;"/"&amp;TEXT(Weather_Input!C8,"0") &amp; "/" &amp; TEXT((Weather_Input!B8+Weather_Input!C8)/2,"0")</f>
        <v>80/65/73</v>
      </c>
      <c r="H5" s="866" t="str">
        <f>TEXT(Weather_Input!B9,"0")&amp;"/"&amp;TEXT(Weather_Input!C9,"0") &amp; "/" &amp; TEXT((Weather_Input!B9+Weather_Input!C9)/2,"0")</f>
        <v>87/69/78</v>
      </c>
      <c r="I5" s="867" t="str">
        <f>TEXT(Weather_Input!B10,"0")&amp;"/"&amp;TEXT(Weather_Input!C10,"0") &amp; "/" &amp; TEXT((Weather_Input!B10+Weather_Input!C10)/2,"0")</f>
        <v>89/70/80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35</v>
      </c>
      <c r="E6" s="836">
        <f ca="1">VLOOKUP(E4,NSG_Sendouts,CELL("Col",NSG_Deliveries!C6),FALSE)/1000</f>
        <v>35</v>
      </c>
      <c r="F6" s="836">
        <f ca="1">VLOOKUP(F4,NSG_Sendouts,CELL("Col",NSG_Deliveries!C7),FALSE)/1000</f>
        <v>32</v>
      </c>
      <c r="G6" s="836">
        <f ca="1">VLOOKUP(G4,NSG_Sendouts,CELL("Col",NSG_Deliveries!C8),FALSE)/1000</f>
        <v>29</v>
      </c>
      <c r="H6" s="836">
        <f ca="1">VLOOKUP(H4,NSG_Sendouts,CELL("Col",NSG_Deliveries!C9),FALSE)/1000</f>
        <v>30</v>
      </c>
      <c r="I6" s="841">
        <f ca="1">VLOOKUP(I4,NSG_Sendouts,CELL("Col",NSG_Deliveries!C10),FALSE)/1000</f>
        <v>33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7</v>
      </c>
      <c r="E8" s="836">
        <f>NSG_Requirements!J8/1000</f>
        <v>7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42</v>
      </c>
      <c r="E11" s="845">
        <f t="shared" ca="1" si="1"/>
        <v>42</v>
      </c>
      <c r="F11" s="845">
        <f t="shared" ca="1" si="1"/>
        <v>32</v>
      </c>
      <c r="G11" s="845">
        <f t="shared" ca="1" si="1"/>
        <v>29</v>
      </c>
      <c r="H11" s="845">
        <f t="shared" ca="1" si="1"/>
        <v>30</v>
      </c>
      <c r="I11" s="846">
        <f t="shared" ca="1" si="1"/>
        <v>33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786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787</v>
      </c>
      <c r="D17" s="836">
        <f>NSG_Supplies!F7/1000</f>
        <v>8.2629999999999999</v>
      </c>
      <c r="E17" s="836">
        <f>NSG_Supplies!F8/1000</f>
        <v>8.59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26.411000000000001</v>
      </c>
      <c r="E19" s="836">
        <f>NSG_Supplies!Q8/1000</f>
        <v>26.411000000000001</v>
      </c>
      <c r="F19" s="836">
        <f>NSG_Supplies!Q9/1000</f>
        <v>26.411000000000001</v>
      </c>
      <c r="G19" s="836">
        <f>NSG_Supplies!Q10/1000</f>
        <v>26.411000000000001</v>
      </c>
      <c r="H19" s="836">
        <f>NSG_Supplies!Q11/1000</f>
        <v>26.411000000000001</v>
      </c>
      <c r="I19" s="837">
        <f>NSG_Supplies!Q12/1000</f>
        <v>26.411000000000001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7</v>
      </c>
      <c r="E20" s="836">
        <f>NSG_Supplies!P8/1000</f>
        <v>7</v>
      </c>
      <c r="F20" s="836">
        <f>NSG_Supplies!P9/1000</f>
        <v>7</v>
      </c>
      <c r="G20" s="836">
        <f>NSG_Supplies!P10/1000</f>
        <v>7</v>
      </c>
      <c r="H20" s="836">
        <f>NSG_Supplies!P11/1000</f>
        <v>7</v>
      </c>
      <c r="I20" s="837">
        <f>NSG_Supplies!P12/1000</f>
        <v>7</v>
      </c>
      <c r="J20" s="110"/>
    </row>
    <row r="21" spans="1:13" ht="24.95" customHeight="1" thickBot="1">
      <c r="A21" s="1240" t="s">
        <v>149</v>
      </c>
      <c r="B21" s="1241"/>
      <c r="C21" s="1241"/>
      <c r="D21" s="1242">
        <f t="shared" ref="D21:I21" si="2">SUM(D14:D20)</f>
        <v>41.673999999999999</v>
      </c>
      <c r="E21" s="1242">
        <f t="shared" si="2"/>
        <v>42.001000000000005</v>
      </c>
      <c r="F21" s="1242">
        <f t="shared" si="2"/>
        <v>33.411000000000001</v>
      </c>
      <c r="G21" s="1242">
        <f t="shared" si="2"/>
        <v>33.411000000000001</v>
      </c>
      <c r="H21" s="1242">
        <f t="shared" si="2"/>
        <v>33.411000000000001</v>
      </c>
      <c r="I21" s="1243">
        <f t="shared" si="2"/>
        <v>33.411000000000001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1.0000000000047748E-3</v>
      </c>
      <c r="F22" s="877">
        <f t="shared" ca="1" si="3"/>
        <v>1.4110000000000014</v>
      </c>
      <c r="G22" s="877">
        <f t="shared" ca="1" si="3"/>
        <v>4.4110000000000014</v>
      </c>
      <c r="H22" s="877">
        <f t="shared" ca="1" si="3"/>
        <v>3.4110000000000014</v>
      </c>
      <c r="I22" s="878">
        <f t="shared" ca="1" si="3"/>
        <v>0.41100000000000136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0.32600000000000051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15.077999999999999</v>
      </c>
      <c r="E24" s="1097">
        <f>NSG_Supplies!R8/1000</f>
        <v>15.077999999999999</v>
      </c>
      <c r="F24" s="1097">
        <f>NSG_Supplies!R9/1000</f>
        <v>15.077999999999999</v>
      </c>
      <c r="G24" s="1097">
        <f>NSG_Supplies!R10/1000</f>
        <v>15.077999999999999</v>
      </c>
      <c r="H24" s="1097">
        <f>NSG_Supplies!R11/1000</f>
        <v>15.077999999999999</v>
      </c>
      <c r="I24" s="1098">
        <f>NSG_Supplies!R12/1000</f>
        <v>15.077999999999999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11.3</v>
      </c>
      <c r="E26" s="884">
        <f>Weather_Input!D6</f>
        <v>10</v>
      </c>
      <c r="F26" s="884">
        <f>Weather_Input!D7</f>
        <v>8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39" t="s">
        <v>9</v>
      </c>
      <c r="B1" s="1136" t="s">
        <v>9</v>
      </c>
      <c r="C1" s="1137" t="s">
        <v>695</v>
      </c>
      <c r="D1" s="1138"/>
      <c r="E1" s="1139" t="s">
        <v>9</v>
      </c>
      <c r="F1" s="1140" t="s">
        <v>741</v>
      </c>
      <c r="G1" s="1141" t="s">
        <v>9</v>
      </c>
      <c r="H1" s="1142"/>
      <c r="I1" s="1184" t="s">
        <v>9</v>
      </c>
      <c r="J1" s="583"/>
      <c r="K1" s="583"/>
      <c r="L1" s="584" t="s">
        <v>159</v>
      </c>
      <c r="M1" s="1215">
        <f>Weather_Input!A5</f>
        <v>37097</v>
      </c>
      <c r="N1" s="1216" t="str">
        <f>CHOOSE(WEEKDAY(M1),"SUN","MON","TUE","WED","THU","FRI","SAT")</f>
        <v>WED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7"/>
      <c r="G2" s="558" t="s">
        <v>9</v>
      </c>
      <c r="H2" s="1131" t="s">
        <v>9</v>
      </c>
      <c r="I2" s="254" t="s">
        <v>509</v>
      </c>
      <c r="J2" s="1157" t="s">
        <v>387</v>
      </c>
      <c r="K2" s="1161" t="s">
        <v>162</v>
      </c>
      <c r="L2" s="1162" t="s">
        <v>21</v>
      </c>
      <c r="M2" s="1161" t="s">
        <v>162</v>
      </c>
      <c r="N2" s="1157" t="s">
        <v>21</v>
      </c>
      <c r="O2" s="1163" t="s">
        <v>162</v>
      </c>
      <c r="Q2" s="1271"/>
    </row>
    <row r="3" spans="1:17" ht="15.75">
      <c r="A3" s="420" t="s">
        <v>736</v>
      </c>
      <c r="B3" s="1176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22.858000000000001</v>
      </c>
      <c r="G3" s="383" t="s">
        <v>9</v>
      </c>
      <c r="H3" s="1131" t="s">
        <v>9</v>
      </c>
      <c r="I3" s="1185" t="s">
        <v>9</v>
      </c>
      <c r="J3" s="944">
        <f>Weather_Input!B5</f>
        <v>74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7">
        <v>0</v>
      </c>
      <c r="C4" s="119"/>
      <c r="D4" s="970"/>
      <c r="E4" s="532" t="s">
        <v>454</v>
      </c>
      <c r="F4" s="1210">
        <v>0</v>
      </c>
      <c r="G4" s="521" t="s">
        <v>9</v>
      </c>
      <c r="H4" s="1235"/>
      <c r="I4" t="s">
        <v>770</v>
      </c>
      <c r="J4" s="1044" t="s">
        <v>9</v>
      </c>
      <c r="K4" s="1257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95.39</v>
      </c>
      <c r="C5" s="1047" t="s">
        <v>9</v>
      </c>
      <c r="D5" s="344"/>
      <c r="E5" s="1195" t="s">
        <v>430</v>
      </c>
      <c r="F5" s="964">
        <f>F3+F4</f>
        <v>22.858000000000001</v>
      </c>
      <c r="G5" s="561" t="s">
        <v>9</v>
      </c>
      <c r="H5" s="1224" t="s">
        <v>9</v>
      </c>
      <c r="I5" s="1186" t="s">
        <v>397</v>
      </c>
      <c r="J5" s="1087" t="s">
        <v>9</v>
      </c>
      <c r="K5" s="1258">
        <f>PGL_Deliveries!C5/1000</f>
        <v>200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95.39</v>
      </c>
      <c r="C6" s="1051" t="s">
        <v>9</v>
      </c>
      <c r="D6" s="526"/>
      <c r="E6" s="631" t="s">
        <v>9</v>
      </c>
      <c r="F6" s="968" t="s">
        <v>35</v>
      </c>
      <c r="G6" s="969"/>
      <c r="H6" s="1132"/>
      <c r="I6" s="119" t="s">
        <v>717</v>
      </c>
      <c r="J6" s="1088"/>
      <c r="K6" s="1259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5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5"/>
      <c r="I8" s="1035" t="s">
        <v>734</v>
      </c>
      <c r="J8" s="288" t="s">
        <v>9</v>
      </c>
      <c r="K8" s="1260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21</v>
      </c>
      <c r="G9" s="319"/>
      <c r="H9" s="1125"/>
      <c r="I9" s="119" t="s">
        <v>695</v>
      </c>
      <c r="J9" s="1044"/>
      <c r="K9" s="1261">
        <f>+B6</f>
        <v>95.39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759</v>
      </c>
      <c r="F10" s="972">
        <f>PGL_Supplies!AC7/1000</f>
        <v>4</v>
      </c>
      <c r="G10" s="522"/>
      <c r="H10" s="1126"/>
      <c r="I10" s="1187" t="s">
        <v>754</v>
      </c>
      <c r="J10" s="277" t="s">
        <v>9</v>
      </c>
      <c r="K10" s="1260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25</v>
      </c>
      <c r="G11" s="964" t="s">
        <v>9</v>
      </c>
      <c r="H11" s="527"/>
      <c r="I11" s="1187" t="s">
        <v>58</v>
      </c>
      <c r="J11" s="277" t="s">
        <v>9</v>
      </c>
      <c r="K11" s="1260">
        <f>B19</f>
        <v>-76.833000000000013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79" t="s">
        <v>9</v>
      </c>
      <c r="F12" s="1178" t="s">
        <v>771</v>
      </c>
      <c r="G12" s="354"/>
      <c r="H12" s="1130"/>
      <c r="I12" s="1187" t="s">
        <v>755</v>
      </c>
      <c r="J12" s="277" t="s">
        <v>9</v>
      </c>
      <c r="K12" s="1260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107.06</v>
      </c>
      <c r="C13" s="308"/>
      <c r="D13" s="544"/>
      <c r="E13" s="576" t="s">
        <v>462</v>
      </c>
      <c r="F13" s="1117" t="s">
        <v>9</v>
      </c>
      <c r="G13" s="569" t="s">
        <v>9</v>
      </c>
      <c r="H13" s="1133" t="s">
        <v>9</v>
      </c>
      <c r="I13" s="1187" t="s">
        <v>756</v>
      </c>
      <c r="J13" s="281" t="s">
        <v>9</v>
      </c>
      <c r="K13" s="1260">
        <f>B34</f>
        <v>177.03100000000001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4"/>
      <c r="I14" s="1187" t="s">
        <v>400</v>
      </c>
      <c r="J14" s="277" t="s">
        <v>9</v>
      </c>
      <c r="K14" s="1262">
        <f>F5</f>
        <v>22.858000000000001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5"/>
      <c r="E15" s="1181" t="s">
        <v>654</v>
      </c>
      <c r="F15" s="971"/>
      <c r="G15" s="1088"/>
      <c r="H15" s="1148"/>
      <c r="I15" s="1187" t="s">
        <v>757</v>
      </c>
      <c r="J15" s="277" t="s">
        <v>158</v>
      </c>
      <c r="K15" s="1260">
        <f>F11</f>
        <v>25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0.627</v>
      </c>
      <c r="C16" s="308"/>
      <c r="D16" s="1125"/>
      <c r="E16" s="1182" t="s">
        <v>9</v>
      </c>
      <c r="F16" s="1143" t="s">
        <v>455</v>
      </c>
      <c r="G16" s="1225"/>
      <c r="H16" s="1183"/>
      <c r="I16" s="1187" t="s">
        <v>534</v>
      </c>
      <c r="J16" s="277" t="s">
        <v>158</v>
      </c>
      <c r="K16" s="1262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0.4</v>
      </c>
      <c r="C17" s="308"/>
      <c r="D17" s="1125"/>
      <c r="E17" s="537" t="s">
        <v>456</v>
      </c>
      <c r="F17" s="557">
        <f>+PGL_Supplies!J7/1000</f>
        <v>0</v>
      </c>
      <c r="G17" s="1208" t="s">
        <v>9</v>
      </c>
      <c r="H17" s="1135" t="s">
        <v>9</v>
      </c>
      <c r="I17" s="1180" t="s">
        <v>535</v>
      </c>
      <c r="J17" s="302" t="s">
        <v>9</v>
      </c>
      <c r="K17" s="1263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1.6058999999999999</v>
      </c>
      <c r="C18" s="344"/>
      <c r="D18" s="1126"/>
      <c r="E18" s="631" t="s">
        <v>9</v>
      </c>
      <c r="F18" s="1143" t="s">
        <v>742</v>
      </c>
      <c r="G18" s="969"/>
      <c r="H18" s="1132"/>
      <c r="I18" t="s">
        <v>769</v>
      </c>
      <c r="J18" s="1044"/>
      <c r="K18" s="1264">
        <f>-F19</f>
        <v>-13.56</v>
      </c>
      <c r="L18" s="1044"/>
      <c r="M18" s="221"/>
      <c r="N18" s="1044"/>
      <c r="O18" s="799"/>
    </row>
    <row r="19" spans="1:15" ht="16.5" thickBot="1">
      <c r="A19" s="513" t="s">
        <v>430</v>
      </c>
      <c r="B19" s="1206">
        <f>-B13+B14+B16-B17-B15+B20+B21</f>
        <v>-76.833000000000013</v>
      </c>
      <c r="C19" s="515"/>
      <c r="D19" s="527"/>
      <c r="E19" s="1144" t="s">
        <v>743</v>
      </c>
      <c r="F19" s="1209">
        <f>PGL_Requirements!J7/1000</f>
        <v>13.56</v>
      </c>
      <c r="G19" s="1033" t="s">
        <v>9</v>
      </c>
      <c r="H19" s="1145" t="s">
        <v>9</v>
      </c>
      <c r="I19" t="s">
        <v>536</v>
      </c>
      <c r="J19" s="1212"/>
      <c r="K19" s="1265">
        <f>-F24</f>
        <v>-57.790500000000002</v>
      </c>
      <c r="L19" s="1212"/>
      <c r="M19" s="157"/>
      <c r="N19" s="1212"/>
      <c r="O19" s="1211"/>
    </row>
    <row r="20" spans="1:15" ht="16.5" thickBot="1">
      <c r="A20" s="327" t="s">
        <v>204</v>
      </c>
      <c r="B20" s="319">
        <v>30</v>
      </c>
      <c r="C20" s="518"/>
      <c r="D20" s="1127"/>
      <c r="E20" s="119"/>
      <c r="F20" s="119"/>
      <c r="G20" s="119"/>
      <c r="H20" s="1156"/>
      <c r="I20" s="1188" t="s">
        <v>654</v>
      </c>
      <c r="J20" s="612" t="s">
        <v>9</v>
      </c>
      <c r="K20" s="1266">
        <f>SUM(K8:K19)</f>
        <v>172.09549999999999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1">
        <v>0</v>
      </c>
      <c r="C21" s="545"/>
      <c r="D21" s="1128"/>
      <c r="E21" s="1146" t="s">
        <v>744</v>
      </c>
      <c r="F21" s="1177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2" t="s">
        <v>735</v>
      </c>
      <c r="B22" s="1109">
        <f>SUM(B4)</f>
        <v>0</v>
      </c>
      <c r="C22" s="1123"/>
      <c r="D22" s="1124"/>
      <c r="E22" s="1146" t="s">
        <v>745</v>
      </c>
      <c r="F22" s="1177">
        <v>0</v>
      </c>
      <c r="G22" s="1045"/>
      <c r="H22" s="431"/>
      <c r="I22" s="1187" t="s">
        <v>592</v>
      </c>
      <c r="J22" s="277" t="s">
        <v>9</v>
      </c>
      <c r="K22" s="1267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6" t="s">
        <v>67</v>
      </c>
      <c r="D23" s="1132"/>
      <c r="E23" s="1147" t="s">
        <v>746</v>
      </c>
      <c r="F23" s="1197">
        <v>0</v>
      </c>
      <c r="G23" s="971"/>
      <c r="H23" s="1148"/>
      <c r="I23" s="1187" t="s">
        <v>403</v>
      </c>
      <c r="J23" s="277" t="s">
        <v>9</v>
      </c>
      <c r="K23" s="1260">
        <f>K5+K6-K20</f>
        <v>27.904500000000013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5"/>
      <c r="E24" s="546" t="s">
        <v>747</v>
      </c>
      <c r="F24" s="1209">
        <f>PGL_Requirements!G7/1000*0.5</f>
        <v>57.790500000000002</v>
      </c>
      <c r="G24" s="1033"/>
      <c r="H24" s="1016"/>
      <c r="I24" s="1189" t="s">
        <v>404</v>
      </c>
      <c r="J24" s="277" t="s">
        <v>9</v>
      </c>
      <c r="K24" s="1260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5"/>
      <c r="D25" s="1125"/>
      <c r="E25" s="1149" t="s">
        <v>748</v>
      </c>
      <c r="F25" s="1198"/>
      <c r="G25" s="1150"/>
      <c r="H25" s="1151"/>
      <c r="I25" s="1187" t="s">
        <v>405</v>
      </c>
      <c r="J25" s="950" t="s">
        <v>9</v>
      </c>
      <c r="K25" s="1268">
        <f>SUM(B18+B20+B21)</f>
        <v>31.605899999999998</v>
      </c>
      <c r="L25" s="951"/>
      <c r="M25" s="1223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5"/>
      <c r="E26" s="119"/>
      <c r="F26" s="1062"/>
      <c r="G26" s="119"/>
      <c r="H26" s="158"/>
      <c r="I26" s="1190" t="s">
        <v>406</v>
      </c>
      <c r="J26" s="953" t="s">
        <v>9</v>
      </c>
      <c r="K26" s="1269">
        <f>SUM(K23:K25)</f>
        <v>59.510400000000011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5"/>
      <c r="E27" s="1144" t="s">
        <v>749</v>
      </c>
      <c r="F27" s="1196"/>
      <c r="G27" s="1033"/>
      <c r="H27" s="1145"/>
      <c r="I27" s="1191" t="s">
        <v>686</v>
      </c>
      <c r="J27" s="956"/>
      <c r="K27" s="1267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7" t="s">
        <v>414</v>
      </c>
      <c r="J28" s="960"/>
      <c r="K28" s="1263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1" t="s">
        <v>399</v>
      </c>
      <c r="C29" s="354"/>
      <c r="D29" s="355"/>
      <c r="E29" s="1152" t="s">
        <v>447</v>
      </c>
      <c r="F29" s="1197"/>
      <c r="G29" s="971"/>
      <c r="H29" s="1153"/>
      <c r="I29" s="1187" t="s">
        <v>415</v>
      </c>
      <c r="J29" s="961"/>
      <c r="K29" s="1270">
        <f>-PGL_Supplies!K7/1000</f>
        <v>-56.948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5" t="s">
        <v>750</v>
      </c>
      <c r="F30" s="1177"/>
      <c r="G30" s="1045"/>
      <c r="H30" s="1129"/>
      <c r="I30" s="1192" t="s">
        <v>183</v>
      </c>
      <c r="J30" s="1158"/>
      <c r="K30" s="1259">
        <f>-PGL_Supplies!AB7/1000</f>
        <v>-54.636000000000003</v>
      </c>
      <c r="L30" s="1159"/>
      <c r="M30" s="1061">
        <f>-PGL_Supplies!AB7/1000</f>
        <v>-54.636000000000003</v>
      </c>
      <c r="N30" s="1160"/>
      <c r="O30" s="1220">
        <f>-PGL_Supplies!AB7/1000</f>
        <v>-54.636000000000003</v>
      </c>
    </row>
    <row r="31" spans="1:15" ht="16.5" thickBot="1">
      <c r="A31" s="365" t="s">
        <v>459</v>
      </c>
      <c r="B31" s="966">
        <f>PGL_Supplies!D7/1000</f>
        <v>31</v>
      </c>
      <c r="C31" s="966" t="s">
        <v>9</v>
      </c>
      <c r="D31" s="967" t="s">
        <v>9</v>
      </c>
      <c r="E31" s="157" t="s">
        <v>751</v>
      </c>
      <c r="F31" s="1199"/>
      <c r="G31" s="1043"/>
      <c r="H31" s="1154"/>
      <c r="I31" s="324" t="s">
        <v>188</v>
      </c>
      <c r="J31" s="323"/>
      <c r="K31" s="1166"/>
      <c r="L31" s="1167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116.03100000000001</v>
      </c>
      <c r="C32" s="966" t="s">
        <v>9</v>
      </c>
      <c r="D32" s="967" t="s">
        <v>9</v>
      </c>
      <c r="E32" s="546" t="s">
        <v>752</v>
      </c>
      <c r="F32" s="1200"/>
      <c r="G32" s="425"/>
      <c r="H32" s="1016"/>
      <c r="I32" s="1191" t="s">
        <v>438</v>
      </c>
      <c r="J32" s="518"/>
      <c r="K32" s="1227"/>
      <c r="L32" s="1207" t="s">
        <v>758</v>
      </c>
      <c r="M32" s="119"/>
      <c r="N32" s="1234"/>
      <c r="O32" s="1232"/>
    </row>
    <row r="33" spans="1:15" ht="15.75" thickBot="1">
      <c r="A33" s="1116" t="s">
        <v>587</v>
      </c>
      <c r="B33" s="966">
        <f>PGL_Supplies!S7/1000</f>
        <v>60</v>
      </c>
      <c r="C33" s="966" t="s">
        <v>9</v>
      </c>
      <c r="D33" s="970"/>
      <c r="E33" s="119"/>
      <c r="F33" s="119"/>
      <c r="G33" s="119"/>
      <c r="H33" s="158"/>
      <c r="I33" s="1193" t="s">
        <v>439</v>
      </c>
      <c r="J33" s="1231"/>
      <c r="K33" s="1228"/>
      <c r="L33" s="1168" t="s">
        <v>447</v>
      </c>
      <c r="M33" s="1046"/>
      <c r="N33" s="1044"/>
      <c r="O33" s="799"/>
    </row>
    <row r="34" spans="1:15" ht="16.5" thickBot="1">
      <c r="A34" s="1171" t="s">
        <v>650</v>
      </c>
      <c r="B34" s="1196">
        <f>-B30+B31+B32+B33*0.5</f>
        <v>177.03100000000001</v>
      </c>
      <c r="C34" s="1033"/>
      <c r="D34" s="1018" t="s">
        <v>9</v>
      </c>
      <c r="E34" s="1018" t="s">
        <v>9</v>
      </c>
      <c r="F34" s="119"/>
      <c r="G34" s="119"/>
      <c r="H34" s="158"/>
      <c r="I34" s="1194" t="s">
        <v>440</v>
      </c>
      <c r="J34" s="544"/>
      <c r="K34" s="1229"/>
      <c r="L34" s="1168" t="s">
        <v>448</v>
      </c>
      <c r="M34" s="1046"/>
      <c r="N34" s="1044"/>
      <c r="O34" s="799"/>
    </row>
    <row r="35" spans="1:15">
      <c r="A35" s="1111" t="s">
        <v>766</v>
      </c>
      <c r="B35" s="1021"/>
      <c r="C35" s="1021"/>
      <c r="D35" s="1019" t="s">
        <v>9</v>
      </c>
      <c r="E35" s="1019" t="s">
        <v>9</v>
      </c>
      <c r="F35" s="119"/>
      <c r="G35" s="119"/>
      <c r="H35" s="158"/>
      <c r="I35" s="1194" t="s">
        <v>441</v>
      </c>
      <c r="J35" s="544"/>
      <c r="K35" s="1228"/>
      <c r="L35" s="1169" t="s">
        <v>449</v>
      </c>
      <c r="M35" s="1046"/>
      <c r="N35" s="1044"/>
      <c r="O35" s="799"/>
    </row>
    <row r="36" spans="1:15">
      <c r="A36" s="1112" t="s">
        <v>767</v>
      </c>
      <c r="B36" s="319">
        <f>B34-B35-B37</f>
        <v>119.2405</v>
      </c>
      <c r="C36" s="1022" t="s">
        <v>9</v>
      </c>
      <c r="D36" s="1020" t="s">
        <v>9</v>
      </c>
      <c r="E36" s="1020" t="s">
        <v>9</v>
      </c>
      <c r="F36" s="119"/>
      <c r="G36" s="119"/>
      <c r="H36" s="158"/>
      <c r="I36" s="1194" t="s">
        <v>442</v>
      </c>
      <c r="J36" s="544"/>
      <c r="K36" s="1228"/>
      <c r="L36" s="1169" t="s">
        <v>381</v>
      </c>
      <c r="M36" s="1046"/>
      <c r="N36" s="1044"/>
      <c r="O36" s="799"/>
    </row>
    <row r="37" spans="1:15">
      <c r="A37" s="1113" t="s">
        <v>768</v>
      </c>
      <c r="B37" s="1218">
        <f>F24</f>
        <v>57.790500000000002</v>
      </c>
      <c r="C37" s="1044"/>
      <c r="D37" s="1105" t="s">
        <v>9</v>
      </c>
      <c r="E37" s="1105" t="s">
        <v>9</v>
      </c>
      <c r="F37" s="119"/>
      <c r="G37" s="119"/>
      <c r="H37" s="119"/>
      <c r="I37" s="1217" t="s">
        <v>443</v>
      </c>
      <c r="J37" s="544"/>
      <c r="K37" s="1228"/>
      <c r="L37" s="1170" t="s">
        <v>450</v>
      </c>
      <c r="M37" s="1046"/>
      <c r="N37" s="1044"/>
      <c r="O37" s="799"/>
    </row>
    <row r="38" spans="1:15">
      <c r="A38" s="1245" t="s">
        <v>804</v>
      </c>
      <c r="B38" s="1177">
        <f>PGL_Requirements!J7/1000</f>
        <v>13.56</v>
      </c>
      <c r="C38" s="1045"/>
      <c r="D38" s="970"/>
      <c r="E38" s="970"/>
      <c r="F38" s="119"/>
      <c r="G38" s="119"/>
      <c r="H38" s="119"/>
      <c r="I38" s="1213" t="s">
        <v>444</v>
      </c>
      <c r="J38" s="544"/>
      <c r="K38" s="1228"/>
      <c r="L38" s="589" t="s">
        <v>451</v>
      </c>
      <c r="M38" s="119"/>
      <c r="N38" s="1248"/>
      <c r="O38" s="1249"/>
    </row>
    <row r="39" spans="1:15" ht="16.5" thickBot="1">
      <c r="A39" s="1118" t="s">
        <v>2</v>
      </c>
      <c r="B39" s="1219">
        <f>B35+B36+B37+B38</f>
        <v>190.59100000000001</v>
      </c>
      <c r="C39" s="1119"/>
      <c r="D39" s="1120" t="s">
        <v>9</v>
      </c>
      <c r="E39" s="1120" t="s">
        <v>9</v>
      </c>
      <c r="F39" s="119"/>
      <c r="G39" s="119"/>
      <c r="H39" s="119"/>
      <c r="I39" s="1214" t="s">
        <v>445</v>
      </c>
      <c r="J39" s="579"/>
      <c r="K39" s="1230"/>
      <c r="L39" s="1250" t="s">
        <v>805</v>
      </c>
      <c r="M39" s="1089"/>
      <c r="N39" s="1251"/>
      <c r="O39" s="1233"/>
    </row>
    <row r="40" spans="1:15" ht="17.25" thickTop="1" thickBot="1">
      <c r="A40" s="1246" t="s">
        <v>9</v>
      </c>
      <c r="B40" s="433"/>
      <c r="C40" s="433"/>
      <c r="D40" s="433"/>
      <c r="E40" s="433"/>
      <c r="F40" s="117"/>
      <c r="G40" s="117"/>
      <c r="H40" s="117"/>
      <c r="I40" s="117"/>
      <c r="J40" s="975" t="s">
        <v>9</v>
      </c>
      <c r="K40" s="1172"/>
      <c r="L40" s="1247" t="s">
        <v>210</v>
      </c>
      <c r="M40" s="1252"/>
      <c r="N40" s="117" t="s">
        <v>9</v>
      </c>
      <c r="O40" s="1173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4"/>
      <c r="K41" s="1174"/>
      <c r="L41" s="1175"/>
      <c r="M41" s="778"/>
      <c r="N41" s="778"/>
      <c r="O41" s="778"/>
    </row>
    <row r="42" spans="1:15">
      <c r="A42" s="1114"/>
      <c r="B42" s="119"/>
      <c r="C42" s="119"/>
      <c r="D42" s="1115"/>
      <c r="I42" s="119"/>
      <c r="J42" s="1164"/>
      <c r="K42" s="589"/>
      <c r="L42" s="1165"/>
    </row>
    <row r="43" spans="1:15">
      <c r="I43" s="119"/>
      <c r="J43" s="1164"/>
      <c r="K43" s="589"/>
      <c r="L43" s="1165"/>
    </row>
    <row r="44" spans="1:15">
      <c r="I44" s="119"/>
      <c r="J44" s="8"/>
      <c r="K44" s="8"/>
      <c r="L44" s="116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22">
        <f>Weather_Input!A5</f>
        <v>37097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 t="s">
        <v>9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74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35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35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-8.2629999999999999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-26.411000000000001</v>
      </c>
      <c r="D25" s="710"/>
      <c r="E25" s="703">
        <f>-NSG_Supplies!Q7/1000</f>
        <v>-26.411000000000001</v>
      </c>
      <c r="F25" s="710"/>
      <c r="G25" s="703">
        <f>-NSG_Supplies!Q7/1000</f>
        <v>-26.411000000000001</v>
      </c>
      <c r="H25" s="709"/>
      <c r="I25" s="766">
        <f>-NSG_Supplies!Q7/1000</f>
        <v>-26.411000000000001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7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7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37097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74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200</v>
      </c>
      <c r="C8" s="269">
        <f>NSG_Deliveries!C5/1000</f>
        <v>35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136.959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22.858000000000001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13.329999999999998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0.627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1.6058999999999999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0.4</v>
      </c>
      <c r="C27" s="305">
        <f>NSG_Requirements!P7/1000</f>
        <v>0</v>
      </c>
      <c r="D27" s="305">
        <f>PGL_Requirements!Q7/1000</f>
        <v>0.4</v>
      </c>
      <c r="E27" s="305">
        <f>NSG_Requirements!P7/1000</f>
        <v>0</v>
      </c>
      <c r="F27" s="305">
        <f>PGL_Requirements!Q7/1000</f>
        <v>0.4</v>
      </c>
      <c r="G27" s="305">
        <f>NSG_Requirements!P7/1000</f>
        <v>0</v>
      </c>
      <c r="H27" s="306">
        <f>+B27</f>
        <v>0.4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-54.636000000000003</v>
      </c>
      <c r="C32" s="310">
        <f>-NSG_Supplies!Q7/1000</f>
        <v>-26.411000000000001</v>
      </c>
      <c r="D32" s="310">
        <f>B32</f>
        <v>-54.636000000000003</v>
      </c>
      <c r="E32" s="310">
        <f>C32</f>
        <v>-26.411000000000001</v>
      </c>
      <c r="F32" s="310">
        <f>B32</f>
        <v>-54.636000000000003</v>
      </c>
      <c r="G32" s="310">
        <f>C32</f>
        <v>-26.411000000000001</v>
      </c>
      <c r="H32" s="315">
        <f>B32</f>
        <v>-54.636000000000003</v>
      </c>
      <c r="I32" s="316">
        <f>C32</f>
        <v>-26.411000000000001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-15.077999999999999</v>
      </c>
      <c r="D33" s="310">
        <f>B33</f>
        <v>0</v>
      </c>
      <c r="E33" s="310">
        <f>C33</f>
        <v>-15.077999999999999</v>
      </c>
      <c r="F33" s="310">
        <f>B33</f>
        <v>0</v>
      </c>
      <c r="G33" s="310">
        <f>C33</f>
        <v>-15.077999999999999</v>
      </c>
      <c r="H33" s="315">
        <f>B33</f>
        <v>0</v>
      </c>
      <c r="I33" s="316">
        <f>C33</f>
        <v>-15.077999999999999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-56.948</v>
      </c>
      <c r="C36" s="310">
        <f>-NSG_Supplies!F7/1000</f>
        <v>-8.2629999999999999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107.06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0.627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1.6058999999999999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1.6058999999999999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0.627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136.959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136.959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95.39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25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107.06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13.329999999999998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37097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0.627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136.959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120.39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-15.077999999999999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136.959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136.959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107.06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0.627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1.6058999999999999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0.627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31000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21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95.39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120.39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37098.611362847223</v>
      </c>
      <c r="F22" s="161" t="s">
        <v>257</v>
      </c>
      <c r="G22" s="188">
        <f ca="1">NOW()</f>
        <v>37098.611362847223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37097</v>
      </c>
      <c r="C5" s="15"/>
      <c r="D5" s="22" t="s">
        <v>275</v>
      </c>
      <c r="E5" s="23">
        <f>Weather_Input!B5</f>
        <v>74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70.7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MOSTLY CLOUDY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37098</v>
      </c>
      <c r="C10" s="15"/>
      <c r="D10" s="150" t="s">
        <v>275</v>
      </c>
      <c r="E10" s="23">
        <f>Weather_Input!B6</f>
        <v>74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58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66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  TODAY - BREEZY WITH SEVERAL HOURS OF SUN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MAINLY CLEAR AND PLEASANT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37099</v>
      </c>
      <c r="C15" s="15"/>
      <c r="D15" s="22" t="s">
        <v>275</v>
      </c>
      <c r="E15" s="23">
        <f>Weather_Input!B7</f>
        <v>77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162</v>
      </c>
      <c r="E16" s="23">
        <f>Weather_Input!C7</f>
        <v>60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4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68.5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281</v>
      </c>
    </row>
    <row r="18" spans="1:109" ht="15">
      <c r="A18" s="18"/>
      <c r="B18" s="20"/>
      <c r="C18" s="15"/>
      <c r="D18" s="32" t="str">
        <f>IF(Weather_Input!I7=""," ",Weather_Input!I7)</f>
        <v xml:space="preserve">  PLEASANT WITH PERIODS OF CLOUDS AND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37100</v>
      </c>
      <c r="C20" s="15"/>
      <c r="D20" s="22" t="s">
        <v>275</v>
      </c>
      <c r="E20" s="23">
        <f>Weather_Input!B8</f>
        <v>80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162</v>
      </c>
      <c r="E21" s="23">
        <f>Weather_Input!C8</f>
        <v>65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3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72.5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280</v>
      </c>
    </row>
    <row r="23" spans="1:109" ht="15">
      <c r="A23" s="18"/>
      <c r="B23" s="21"/>
      <c r="C23" s="15"/>
      <c r="D23" s="32" t="str">
        <f>IF(Weather_Input!I8=""," ",Weather_Input!I8)</f>
        <v xml:space="preserve">  INTERVALS OF CLOUDS AND SUNSHINE, BECOMING BREEZY WITH A THUNDER-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STORM POSSIBLE LATER ON.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37101</v>
      </c>
      <c r="C25" s="15"/>
      <c r="D25" s="22" t="s">
        <v>275</v>
      </c>
      <c r="E25" s="23">
        <f>Weather_Input!B9</f>
        <v>87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162</v>
      </c>
      <c r="E26" s="23">
        <f>Weather_Input!C9</f>
        <v>69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2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78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279</v>
      </c>
    </row>
    <row r="28" spans="1:109" ht="15">
      <c r="A28" s="18"/>
      <c r="B28" s="20"/>
      <c r="C28" s="15"/>
      <c r="D28" s="32" t="str">
        <f>IF(Weather_Input!I9=""," ",Weather_Input!I9)</f>
        <v xml:space="preserve">  MAINLY CLOUDY WITH A CHANCE OF THUNDERSTORM; STICKY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37102</v>
      </c>
      <c r="C30" s="15"/>
      <c r="D30" s="22" t="s">
        <v>275</v>
      </c>
      <c r="E30" s="23">
        <f>Weather_Input!B10</f>
        <v>89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162</v>
      </c>
      <c r="E31" s="23">
        <f>Weather_Input!C10</f>
        <v>70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1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79.5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 xml:space="preserve">  WARM AND STEAMY WITH CLOUDS AND SUNSHINE.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37097</v>
      </c>
      <c r="C36" s="89">
        <f>B10</f>
        <v>37098</v>
      </c>
      <c r="D36" s="89">
        <f>B15</f>
        <v>37099</v>
      </c>
      <c r="E36" s="89">
        <f xml:space="preserve">       B20</f>
        <v>37100</v>
      </c>
      <c r="F36" s="89">
        <f>B25</f>
        <v>37101</v>
      </c>
      <c r="G36" s="89">
        <f>B30</f>
        <v>37102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200</v>
      </c>
      <c r="C37" s="41">
        <f ca="1">(VLOOKUP(C36,PGL_Sendouts,(CELL("COL",PGL_Deliveries!C7))))/1000</f>
        <v>200</v>
      </c>
      <c r="D37" s="41">
        <f ca="1">(VLOOKUP(D36,PGL_Sendouts,(CELL("COL",PGL_Deliveries!C8))))/1000</f>
        <v>185</v>
      </c>
      <c r="E37" s="41">
        <f ca="1">(VLOOKUP(E36,PGL_Sendouts,(CELL("COL",PGL_Deliveries!C9))))/1000</f>
        <v>175</v>
      </c>
      <c r="F37" s="41">
        <f ca="1">(VLOOKUP(F36,PGL_Sendouts,(CELL("COL",PGL_Deliveries!C10))))/1000</f>
        <v>180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286</v>
      </c>
      <c r="B38" s="41">
        <f>PGL_6_Day_Report!D25</f>
        <v>380.6164</v>
      </c>
      <c r="C38" s="41">
        <f>PGL_6_Day_Report!E25</f>
        <v>380.79199999999997</v>
      </c>
      <c r="D38" s="41">
        <f>PGL_6_Day_Report!F25</f>
        <v>333.8</v>
      </c>
      <c r="E38" s="41">
        <f>PGL_6_Day_Report!G25</f>
        <v>313.8</v>
      </c>
      <c r="F38" s="41">
        <f>PGL_6_Day_Report!H25</f>
        <v>318.8</v>
      </c>
      <c r="G38" s="41">
        <f>PGL_6_Day_Report!I25</f>
        <v>328.8</v>
      </c>
      <c r="H38" s="14"/>
      <c r="I38" s="15"/>
    </row>
    <row r="39" spans="1:9" ht="15">
      <c r="A39" s="42" t="s">
        <v>104</v>
      </c>
      <c r="B39" s="41">
        <f>SUM(PGL_Supplies!Y7:AD7)/1000</f>
        <v>174.86699999999999</v>
      </c>
      <c r="C39" s="41">
        <f>SUM(PGL_Supplies!Y8:AD8)/1000</f>
        <v>228.53</v>
      </c>
      <c r="D39" s="41">
        <f>SUM(PGL_Supplies!Y9:AD9)/1000</f>
        <v>228.53</v>
      </c>
      <c r="E39" s="41">
        <f>SUM(PGL_Supplies!Y10:AD10)/1000</f>
        <v>228.53</v>
      </c>
      <c r="F39" s="41">
        <f>SUM(PGL_Supplies!Y11:AD11)/1000</f>
        <v>228.53</v>
      </c>
      <c r="G39" s="41">
        <f>SUM(PGL_Supplies!Y12:AD12)/1000</f>
        <v>228.53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</v>
      </c>
      <c r="C41" s="41">
        <f>SUM(PGL_Requirements!Q7:T7)/1000</f>
        <v>0.6</v>
      </c>
      <c r="D41" s="41">
        <f>SUM(PGL_Requirements!Q7:T7)/1000</f>
        <v>0.6</v>
      </c>
      <c r="E41" s="41">
        <f>SUM(PGL_Requirements!Q7:T7)/1000</f>
        <v>0.6</v>
      </c>
      <c r="F41" s="41">
        <f>SUM(PGL_Requirements!Q7:T7)/1000</f>
        <v>0.6</v>
      </c>
      <c r="G41" s="41">
        <f>SUM(PGL_Requirements!Q7:T7)/1000</f>
        <v>0.6</v>
      </c>
      <c r="H41" s="14"/>
      <c r="I41" s="15"/>
    </row>
    <row r="42" spans="1:9" ht="15">
      <c r="A42" s="15" t="s">
        <v>127</v>
      </c>
      <c r="B42" s="41">
        <f>PGL_Supplies!U7/1000</f>
        <v>136.959</v>
      </c>
      <c r="C42" s="41">
        <f>PGL_Supplies!U8/1000</f>
        <v>136.959</v>
      </c>
      <c r="D42" s="41">
        <f>PGL_Supplies!U9/1000</f>
        <v>136.959</v>
      </c>
      <c r="E42" s="41">
        <f>PGL_Supplies!U10/1000</f>
        <v>136.959</v>
      </c>
      <c r="F42" s="41">
        <f>PGL_Supplies!U11/1000</f>
        <v>136.959</v>
      </c>
      <c r="G42" s="41">
        <f>PGL_Supplies!U12/1000</f>
        <v>136.959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37097</v>
      </c>
      <c r="C44" s="89">
        <f t="shared" si="0"/>
        <v>37098</v>
      </c>
      <c r="D44" s="89">
        <f t="shared" si="0"/>
        <v>37099</v>
      </c>
      <c r="E44" s="89">
        <f t="shared" si="0"/>
        <v>37100</v>
      </c>
      <c r="F44" s="89">
        <f t="shared" si="0"/>
        <v>37101</v>
      </c>
      <c r="G44" s="89">
        <f t="shared" si="0"/>
        <v>37102</v>
      </c>
      <c r="H44" s="14"/>
      <c r="I44" s="15"/>
    </row>
    <row r="45" spans="1:9" ht="15">
      <c r="A45" s="15" t="s">
        <v>54</v>
      </c>
      <c r="B45" s="41">
        <f ca="1">NSG_6_Day_Report!D6</f>
        <v>35</v>
      </c>
      <c r="C45" s="41">
        <f ca="1">NSG_6_Day_Report!E6</f>
        <v>35</v>
      </c>
      <c r="D45" s="41">
        <f ca="1">NSG_6_Day_Report!F6</f>
        <v>32</v>
      </c>
      <c r="E45" s="41">
        <f ca="1">NSG_6_Day_Report!G6</f>
        <v>29</v>
      </c>
      <c r="F45" s="41">
        <f ca="1">NSG_6_Day_Report!H6</f>
        <v>30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42</v>
      </c>
      <c r="C46" s="41">
        <f ca="1">NSG_6_Day_Report!E11</f>
        <v>42</v>
      </c>
      <c r="D46" s="41">
        <f ca="1">NSG_6_Day_Report!F11</f>
        <v>32</v>
      </c>
      <c r="E46" s="41">
        <f ca="1">NSG_6_Day_Report!G11</f>
        <v>29</v>
      </c>
      <c r="F46" s="41">
        <f ca="1">NSG_6_Day_Report!H11</f>
        <v>30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33.411000000000001</v>
      </c>
      <c r="C47" s="41">
        <f>SUM(NSG_Supplies!O8:Q8)/1000</f>
        <v>33.411000000000001</v>
      </c>
      <c r="D47" s="41">
        <f>SUM(NSG_Supplies!O9:Q9)/1000</f>
        <v>33.411000000000001</v>
      </c>
      <c r="E47" s="41">
        <f>SUM(NSG_Supplies!O10:Q10)/1000</f>
        <v>33.411000000000001</v>
      </c>
      <c r="F47" s="41">
        <f>SUM(NSG_Supplies!O11:Q11)/1000</f>
        <v>33.411000000000001</v>
      </c>
      <c r="G47" s="41">
        <f>SUM(NSG_Supplies!O12:Q12)/1000</f>
        <v>33.411000000000001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15.077999999999999</v>
      </c>
      <c r="C50" s="41">
        <f>NSG_Supplies!R8/1000</f>
        <v>15.077999999999999</v>
      </c>
      <c r="D50" s="41">
        <f>NSG_Supplies!R9/1000</f>
        <v>15.077999999999999</v>
      </c>
      <c r="E50" s="41">
        <f>NSG_Supplies!R10/1000</f>
        <v>15.077999999999999</v>
      </c>
      <c r="F50" s="41">
        <f>NSG_Supplies!R11/1000</f>
        <v>15.077999999999999</v>
      </c>
      <c r="G50" s="41">
        <f>NSG_Supplies!R12/1000</f>
        <v>15.077999999999999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37097</v>
      </c>
      <c r="C52" s="89">
        <f t="shared" si="1"/>
        <v>37098</v>
      </c>
      <c r="D52" s="89">
        <f t="shared" si="1"/>
        <v>37099</v>
      </c>
      <c r="E52" s="89">
        <f t="shared" si="1"/>
        <v>37100</v>
      </c>
      <c r="F52" s="89">
        <f t="shared" si="1"/>
        <v>37101</v>
      </c>
      <c r="G52" s="89">
        <f t="shared" si="1"/>
        <v>37102</v>
      </c>
      <c r="H52" s="14"/>
      <c r="I52" s="15"/>
    </row>
    <row r="53" spans="1:9" ht="15">
      <c r="A53" s="92" t="s">
        <v>290</v>
      </c>
      <c r="B53" s="41">
        <f>PGL_Requirements!O7/1000</f>
        <v>107.06</v>
      </c>
      <c r="C53" s="41">
        <f>PGL_Requirements!O8/1000</f>
        <v>145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Thursday</v>
      </c>
      <c r="C4" s="1066" t="str">
        <f>Six_Day_Summary!A15</f>
        <v>Friday</v>
      </c>
      <c r="D4" s="1066" t="str">
        <f>Six_Day_Summary!A20</f>
        <v>Saturday</v>
      </c>
      <c r="E4" s="1066" t="str">
        <f>Six_Day_Summary!A25</f>
        <v>Sunday</v>
      </c>
      <c r="F4" s="1067" t="str">
        <f>Six_Day_Summary!A30</f>
        <v>Monday</v>
      </c>
      <c r="G4" s="98"/>
    </row>
    <row r="5" spans="1:8">
      <c r="A5" s="101" t="s">
        <v>297</v>
      </c>
      <c r="B5" s="1068">
        <f>Weather_Input!A6</f>
        <v>37098</v>
      </c>
      <c r="C5" s="1069">
        <f>Weather_Input!A7</f>
        <v>37099</v>
      </c>
      <c r="D5" s="1069">
        <f>Weather_Input!A8</f>
        <v>37100</v>
      </c>
      <c r="E5" s="1069">
        <f>Weather_Input!A9</f>
        <v>37101</v>
      </c>
      <c r="F5" s="1070">
        <f>Weather_Input!A10</f>
        <v>37102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48.663000000000004</v>
      </c>
      <c r="C6" s="1071">
        <f>PGL_Supplies!AB9/1000+PGL_Supplies!K9/1000-PGL_Requirements!N9/1000+C15-PGL_Requirements!S9/1000</f>
        <v>49.353000000000002</v>
      </c>
      <c r="D6" s="1071">
        <f>PGL_Supplies!AB10/1000+PGL_Supplies!K10/1000-PGL_Requirements!N10/1000+D15-PGL_Requirements!S10/1000</f>
        <v>49.353000000000002</v>
      </c>
      <c r="E6" s="1071">
        <f>PGL_Supplies!AB11/1000+PGL_Supplies!K11/1000-PGL_Requirements!N11/1000+E15-PGL_Requirements!S11/1000</f>
        <v>49.353000000000002</v>
      </c>
      <c r="F6" s="1072">
        <f>PGL_Supplies!AB12/1000+PGL_Supplies!K12/1000-PGL_Requirements!N12/1000+F15-PGL_Requirements!S12/1000</f>
        <v>49.353000000000002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6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Thursday</v>
      </c>
      <c r="C21" s="1081" t="str">
        <f t="shared" si="0"/>
        <v>Friday</v>
      </c>
      <c r="D21" s="1081" t="str">
        <f t="shared" si="0"/>
        <v>Saturday</v>
      </c>
      <c r="E21" s="1081" t="str">
        <f t="shared" si="0"/>
        <v>Sunday</v>
      </c>
      <c r="F21" s="1082" t="str">
        <f t="shared" si="0"/>
        <v>Monday</v>
      </c>
      <c r="G21" s="98"/>
    </row>
    <row r="22" spans="1:7">
      <c r="A22" s="105" t="s">
        <v>297</v>
      </c>
      <c r="B22" s="1083">
        <f t="shared" si="0"/>
        <v>37098</v>
      </c>
      <c r="C22" s="1083">
        <f t="shared" si="0"/>
        <v>37099</v>
      </c>
      <c r="D22" s="1083">
        <f t="shared" si="0"/>
        <v>37100</v>
      </c>
      <c r="E22" s="1083">
        <f t="shared" si="0"/>
        <v>37101</v>
      </c>
      <c r="F22" s="1084">
        <f t="shared" si="0"/>
        <v>37102</v>
      </c>
      <c r="G22" s="98"/>
    </row>
    <row r="23" spans="1:7">
      <c r="A23" s="98" t="s">
        <v>298</v>
      </c>
      <c r="B23" s="1077">
        <f>NSG_Supplies!Q8/1000+NSG_Supplies!F8/1000-NSG_Requirements!H8/1000</f>
        <v>35.001000000000005</v>
      </c>
      <c r="C23" s="1077">
        <f>NSG_Supplies!Q9/1000+NSG_Supplies!F9/1000-NSG_Requirements!H9/1000</f>
        <v>26.411000000000001</v>
      </c>
      <c r="D23" s="1077">
        <f>NSG_Supplies!Q10/1000+NSG_Supplies!F10/1000-NSG_Requirements!H10/1000</f>
        <v>26.411000000000001</v>
      </c>
      <c r="E23" s="1077">
        <f>NSG_Supplies!Q12/1000+NSG_Supplies!F11/1000-NSG_Requirements!H11/1000</f>
        <v>26.411000000000001</v>
      </c>
      <c r="F23" s="1072">
        <f>NSG_Supplies!Q12/1000+NSG_Supplies!F12/1000-NSG_Requirements!H12/1000</f>
        <v>26.411000000000001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 t="s">
        <v>9</v>
      </c>
      <c r="B1" s="796" t="s">
        <v>359</v>
      </c>
      <c r="C1" s="892">
        <f>Weather_Input!A6</f>
        <v>37098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7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7</v>
      </c>
      <c r="E4" s="789"/>
      <c r="F4" s="169" t="s">
        <v>520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0</v>
      </c>
      <c r="D5" s="433"/>
      <c r="E5" s="435">
        <f>AVERAGE(C5/24)</f>
        <v>0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6.041666666666667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50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174.977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106.76600000000001</v>
      </c>
      <c r="D11" s="778"/>
      <c r="E11" s="1056"/>
      <c r="F11" s="430" t="s">
        <v>356</v>
      </c>
      <c r="G11" s="442">
        <f>G8+G10</f>
        <v>224.977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106.76600000000001</v>
      </c>
      <c r="D14" s="433"/>
      <c r="E14" s="435">
        <f>AVERAGE(C14/24)</f>
        <v>4.4485833333333336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178.76300000000001</v>
      </c>
      <c r="H15" s="433" t="s">
        <v>9</v>
      </c>
      <c r="I15" s="435">
        <f>AVERAGE(G15/24)</f>
        <v>7.4484583333333338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36.213999999999999</v>
      </c>
      <c r="H16" s="443" t="s">
        <v>9</v>
      </c>
      <c r="I16" s="435">
        <f>AVERAGE(G16/24)</f>
        <v>1.5089166666666667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443">
        <f>PGL_Requirements!J8/1000</f>
        <v>10</v>
      </c>
      <c r="H17" s="1024"/>
      <c r="I17" s="1104">
        <f>AVERAGE(G17/24)</f>
        <v>0.41666666666666669</v>
      </c>
    </row>
    <row r="18" spans="1:9" ht="15.75" customHeight="1">
      <c r="B18" s="1254"/>
      <c r="C18" s="1255"/>
      <c r="D18" s="624"/>
      <c r="E18" s="1256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4"/>
      <c r="C19" s="624"/>
      <c r="D19" s="1255"/>
      <c r="E19" s="1256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4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37098</v>
      </c>
      <c r="I1" s="914"/>
      <c r="J1" s="916"/>
      <c r="K1" s="916"/>
    </row>
    <row r="2" spans="1:22" ht="16.5" customHeight="1">
      <c r="A2" s="934" t="s">
        <v>641</v>
      </c>
      <c r="C2" s="982">
        <v>346</v>
      </c>
      <c r="F2" s="983">
        <v>349</v>
      </c>
      <c r="H2" s="916"/>
      <c r="I2" s="914" t="s">
        <v>643</v>
      </c>
      <c r="J2" s="936">
        <f>NSG_Supplies!P8/1000</f>
        <v>7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0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20</v>
      </c>
      <c r="H9" s="936">
        <f>NSG_Supplies!Q8/1000+NSG_Supplies!F8/1000-NSG_Requirements!H8/1000</f>
        <v>35.001000000000005</v>
      </c>
      <c r="I9" s="987"/>
      <c r="K9" s="914" t="s">
        <v>645</v>
      </c>
      <c r="L9" s="936">
        <f>NSG_Deliveries!C6/1000</f>
        <v>35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1.0000000000047748E-3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106.76600000000001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451</v>
      </c>
      <c r="D18" s="990"/>
      <c r="E18" s="990"/>
      <c r="F18" s="983">
        <v>793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178.76300000000001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13.56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200</v>
      </c>
      <c r="L26" s="914" t="s">
        <v>645</v>
      </c>
      <c r="M26" s="936">
        <f>NSG_Deliveries!C6/1000</f>
        <v>35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125.315</v>
      </c>
      <c r="L28" s="917" t="s">
        <v>689</v>
      </c>
      <c r="M28" s="942">
        <f>SUM(J2+K17+K19+H11+H9-M26)</f>
        <v>7.0010000000000048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37097</v>
      </c>
      <c r="G29" s="936">
        <f>PGL_Requirements!G7/1000</f>
        <v>115.581</v>
      </c>
      <c r="H29" s="915"/>
      <c r="J29" s="917" t="s">
        <v>649</v>
      </c>
      <c r="K29" s="936">
        <f>PGL_Supplies!AB8/1000+PGL_Supplies!K8/1000-PGL_Requirements!N8/1000</f>
        <v>48.663000000000004</v>
      </c>
    </row>
    <row r="30" spans="1:17" ht="10.5" customHeight="1">
      <c r="A30" s="919"/>
      <c r="B30" s="936"/>
      <c r="C30" s="917"/>
      <c r="D30" s="936"/>
      <c r="F30" s="1041">
        <f>PGL_Requirements!A8</f>
        <v>37098</v>
      </c>
      <c r="G30" s="936">
        <f>PGL_Requirements!G8/1000</f>
        <v>36.213999999999999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-26.021999999999991</v>
      </c>
    </row>
    <row r="32" spans="1:17">
      <c r="A32" s="936">
        <f>PGL_Supplies!G8/1000</f>
        <v>1</v>
      </c>
      <c r="G32" s="936">
        <f>PGL_Requirements!O8/1000</f>
        <v>145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451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306.529</v>
      </c>
      <c r="B40" s="930"/>
      <c r="C40" s="929"/>
      <c r="D40" s="930"/>
      <c r="E40" s="930"/>
      <c r="F40" s="998"/>
      <c r="G40" s="998">
        <f>SUM(G30:G35)</f>
        <v>181.214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125.315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348</v>
      </c>
      <c r="E47" s="1003"/>
      <c r="F47" s="1004">
        <v>0.14099999999999999</v>
      </c>
      <c r="G47" s="1005">
        <f>(C47-D47)*F47</f>
        <v>14.381999999999998</v>
      </c>
      <c r="H47" s="1005">
        <f>(D47-B47)*F47</f>
        <v>10.292999999999999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451</v>
      </c>
      <c r="E48" s="1003"/>
      <c r="F48" s="1004">
        <v>0.161</v>
      </c>
      <c r="G48" s="1005">
        <f>(C48-D48)*F48</f>
        <v>48.139000000000003</v>
      </c>
      <c r="H48" s="1005">
        <f>(D48-B48)*F48</f>
        <v>26.725999999999999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69.254500000000007</v>
      </c>
      <c r="H49" s="1005">
        <f>SUM(H45:H48)</f>
        <v>42.0105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37097</v>
      </c>
      <c r="B5" s="11">
        <v>74</v>
      </c>
      <c r="C5" s="49">
        <v>68</v>
      </c>
      <c r="D5" s="49">
        <v>11.3</v>
      </c>
      <c r="E5" s="11">
        <v>70.7</v>
      </c>
      <c r="F5" s="11">
        <v>5</v>
      </c>
      <c r="G5" s="11">
        <v>6704</v>
      </c>
      <c r="H5" s="11">
        <v>0</v>
      </c>
      <c r="I5" s="894" t="s">
        <v>806</v>
      </c>
      <c r="J5" s="894" t="s">
        <v>9</v>
      </c>
      <c r="K5" s="11">
        <v>2</v>
      </c>
      <c r="L5" s="11">
        <v>1</v>
      </c>
      <c r="N5" s="15" t="str">
        <f>I5&amp;" "&amp;I5</f>
        <v xml:space="preserve">  MOSTLY CLOUDY   MOSTLY CLOUDY</v>
      </c>
      <c r="AE5" s="15">
        <v>1</v>
      </c>
      <c r="AH5" s="15" t="s">
        <v>32</v>
      </c>
    </row>
    <row r="6" spans="1:34" ht="16.5" customHeight="1">
      <c r="A6" s="86">
        <f>A5+1</f>
        <v>37098</v>
      </c>
      <c r="B6" s="11">
        <v>74</v>
      </c>
      <c r="C6" s="49">
        <v>58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94" t="s">
        <v>807</v>
      </c>
      <c r="J6" s="894" t="s">
        <v>808</v>
      </c>
      <c r="K6" s="11">
        <v>3</v>
      </c>
      <c r="L6" s="11" t="s">
        <v>590</v>
      </c>
      <c r="N6" s="15" t="str">
        <f>I6&amp;" "&amp;J6</f>
        <v xml:space="preserve">  TODAY - BREEZY WITH SEVERAL HOURS OF SUN   TONIGHT - MAINLY CLEAR AND PLEASANT</v>
      </c>
      <c r="AE6" s="15">
        <v>1</v>
      </c>
      <c r="AH6" s="15" t="s">
        <v>33</v>
      </c>
    </row>
    <row r="7" spans="1:34" ht="16.5" customHeight="1">
      <c r="A7" s="86">
        <f>A6+1</f>
        <v>37099</v>
      </c>
      <c r="B7" s="11">
        <v>77</v>
      </c>
      <c r="C7" s="49">
        <v>60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809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  PLEASANT WITH PERIODS OF CLOUDS AND SUNSHINE.  </v>
      </c>
    </row>
    <row r="8" spans="1:34" ht="16.5" customHeight="1">
      <c r="A8" s="86">
        <f>A7+1</f>
        <v>37100</v>
      </c>
      <c r="B8" s="11">
        <v>80</v>
      </c>
      <c r="C8" s="49">
        <v>65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810</v>
      </c>
      <c r="J8" s="894" t="s">
        <v>811</v>
      </c>
      <c r="K8" s="11">
        <v>3</v>
      </c>
      <c r="L8" s="11"/>
      <c r="N8" s="15" t="str">
        <f>I8&amp;" "&amp;J8</f>
        <v xml:space="preserve">  INTERVALS OF CLOUDS AND SUNSHINE, BECOMING BREEZY WITH A THUNDER-   STORM POSSIBLE LATER ON.</v>
      </c>
    </row>
    <row r="9" spans="1:34" ht="16.5" customHeight="1">
      <c r="A9" s="86">
        <f>A8+1</f>
        <v>37101</v>
      </c>
      <c r="B9" s="11">
        <v>87</v>
      </c>
      <c r="C9" s="49">
        <v>69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812</v>
      </c>
      <c r="J9" s="894" t="s">
        <v>9</v>
      </c>
      <c r="K9" s="11">
        <v>2</v>
      </c>
      <c r="L9" s="11">
        <v>0</v>
      </c>
      <c r="M9" s="87"/>
      <c r="N9" s="15" t="str">
        <f>I9&amp;" "&amp;J9</f>
        <v xml:space="preserve">  MAINLY CLOUDY WITH A CHANCE OF THUNDERSTORM; STICKY  </v>
      </c>
    </row>
    <row r="10" spans="1:34" ht="16.5" customHeight="1">
      <c r="A10" s="86">
        <f>A9+1</f>
        <v>37102</v>
      </c>
      <c r="B10" s="11">
        <v>89</v>
      </c>
      <c r="C10" s="49">
        <v>70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813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WARM AND STEAMY WITH CLOUDS AND SUNSHINE.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198.42</v>
      </c>
      <c r="C2" s="60"/>
      <c r="D2" s="118" t="s">
        <v>310</v>
      </c>
      <c r="E2" s="421">
        <f>Weather_Input!A5</f>
        <v>37097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0.63100000000000001</v>
      </c>
      <c r="C5" s="63"/>
      <c r="D5" s="59" t="s">
        <v>544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118.81100000000001</v>
      </c>
      <c r="C6" s="166"/>
      <c r="D6" s="59" t="s">
        <v>545</v>
      </c>
      <c r="E6" s="151">
        <f>PGL_Deliveries!P5/1000</f>
        <v>0.73699999999999999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119.44200000000001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95.44</v>
      </c>
      <c r="C8" s="626"/>
      <c r="D8" s="115" t="s">
        <v>547</v>
      </c>
      <c r="E8" s="151">
        <f>PGL_Deliveries!N5/1000</f>
        <v>3.8690000000000002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5.8490000000000002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22.858000000000001</v>
      </c>
      <c r="C11" s="63"/>
      <c r="D11" s="115" t="s">
        <v>549</v>
      </c>
      <c r="E11" s="151">
        <f>PGL_Deliveries!R5/1000</f>
        <v>1.351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46.524999999999991</v>
      </c>
      <c r="C13" s="63"/>
      <c r="D13" s="115" t="s">
        <v>205</v>
      </c>
      <c r="E13" s="151">
        <f>PGL_Deliveries!F5/1000</f>
        <v>65.441000000000003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26.21</v>
      </c>
      <c r="C14" s="63"/>
      <c r="D14" s="115" t="s">
        <v>206</v>
      </c>
      <c r="E14" s="151">
        <f>PGL_Deliveries!H5/1000</f>
        <v>9.9000000000000005E-2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-75.833000000000013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4.242</v>
      </c>
      <c r="C17" s="166" t="s">
        <v>9</v>
      </c>
      <c r="D17" s="1086" t="s">
        <v>208</v>
      </c>
      <c r="E17" s="207">
        <f>PGL_Deliveries!M5/1000</f>
        <v>1.631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119.44199999999998</v>
      </c>
      <c r="C18" s="166"/>
      <c r="D18" s="176" t="s">
        <v>554</v>
      </c>
      <c r="E18" s="175">
        <f>SUM(E5:E17)</f>
        <v>78.978000000000009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95.39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PGL_Deliveries!AW5/1000+B41</f>
        <v>32.605899999999998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111.5839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95.39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56.948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54.636000000000003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26.21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107.06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0.627</v>
      </c>
      <c r="C39" s="63"/>
      <c r="D39" s="209" t="s">
        <v>210</v>
      </c>
      <c r="E39" s="208">
        <f>SUM(E22:E33)-SUM(F23:F38)-E29</f>
        <v>111.584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13.56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PGL_Deliveries!AE5/1000</f>
        <v>31</v>
      </c>
      <c r="C41" s="63"/>
      <c r="D41" s="246" t="s">
        <v>498</v>
      </c>
      <c r="E41" s="795">
        <f>PGL_Supplies!AA7/1000</f>
        <v>116.03100000000001</v>
      </c>
      <c r="F41" s="168"/>
      <c r="H41"/>
      <c r="I41"/>
      <c r="J41"/>
      <c r="K41"/>
      <c r="L41"/>
      <c r="M41"/>
    </row>
    <row r="42" spans="1:13" ht="15">
      <c r="A42" s="1" t="s">
        <v>791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1.6058999999999999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0.4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74</v>
      </c>
      <c r="C45" s="182"/>
      <c r="D45" s="60" t="s">
        <v>587</v>
      </c>
      <c r="E45" s="795">
        <f>PGL_Supplies!S7/1000</f>
        <v>60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789</v>
      </c>
      <c r="E46" s="60"/>
      <c r="F46" s="173">
        <f>PGL_Deliveries!BE5/1000</f>
        <v>115.581</v>
      </c>
    </row>
    <row r="47" spans="1:13" ht="15">
      <c r="A47" s="170" t="s">
        <v>581</v>
      </c>
      <c r="B47" s="60">
        <f>Weather_Input!E5</f>
        <v>70.7</v>
      </c>
      <c r="C47" s="159"/>
      <c r="D47" s="769" t="s">
        <v>790</v>
      </c>
      <c r="E47" s="67"/>
      <c r="F47" s="1244">
        <f>PGL_Deliveries!BF5/1000</f>
        <v>13.56</v>
      </c>
    </row>
    <row r="48" spans="1:13" ht="15">
      <c r="A48" s="169" t="s">
        <v>582</v>
      </c>
      <c r="B48" s="223">
        <f>Weather_Input!D5</f>
        <v>11.3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1.026</v>
      </c>
      <c r="C49" s="159"/>
      <c r="D49" s="60" t="s">
        <v>727</v>
      </c>
      <c r="E49" s="151">
        <f>PGL_Deliveries!AJ5/1000</f>
        <v>12.929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9.9290000000000003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34.673999999999999</v>
      </c>
      <c r="C3" s="117"/>
      <c r="D3" s="226" t="s">
        <v>310</v>
      </c>
      <c r="E3" s="424">
        <f>Weather_Input!A5</f>
        <v>37097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34.673999999999999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34.673999999999999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7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7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26.411000000000001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8.2629999999999999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3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3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3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3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34.673999999999999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37097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37096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105689</v>
      </c>
      <c r="O6" s="201">
        <v>0</v>
      </c>
      <c r="P6" s="201">
        <v>55677583</v>
      </c>
      <c r="Q6" s="201">
        <v>15045098</v>
      </c>
      <c r="R6" s="201">
        <v>40632485</v>
      </c>
      <c r="S6" s="201">
        <v>0</v>
      </c>
    </row>
    <row r="7" spans="1:19">
      <c r="A7" s="4">
        <f>B1</f>
        <v>37097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73180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55750763</v>
      </c>
      <c r="Q7">
        <f>IF(O7&gt;0,Q6+O7,Q6)</f>
        <v>15045098</v>
      </c>
      <c r="R7">
        <f>IF(P7&gt;Q7,P7-Q7,0)</f>
        <v>40705665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U1" zoomScale="75" workbookViewId="0">
      <selection activeCell="BH5" sqref="BH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793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792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794</v>
      </c>
      <c r="BI4" s="1" t="s">
        <v>795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37097</v>
      </c>
      <c r="B5" s="1">
        <f>(Weather_Input!B5+Weather_Input!C5)/2</f>
        <v>71</v>
      </c>
      <c r="C5" s="895">
        <v>200000</v>
      </c>
      <c r="D5" s="896">
        <v>631</v>
      </c>
      <c r="E5" s="896">
        <v>0</v>
      </c>
      <c r="F5" s="896">
        <v>65441</v>
      </c>
      <c r="G5" s="896">
        <v>0</v>
      </c>
      <c r="H5" s="896">
        <v>99</v>
      </c>
      <c r="I5" s="896">
        <v>118811</v>
      </c>
      <c r="J5" s="896">
        <v>0</v>
      </c>
      <c r="K5" s="896">
        <v>0</v>
      </c>
      <c r="L5" s="896">
        <v>0</v>
      </c>
      <c r="M5" s="896">
        <v>1631</v>
      </c>
      <c r="N5" s="896">
        <v>3869</v>
      </c>
      <c r="O5" s="896">
        <v>1</v>
      </c>
      <c r="P5" s="896">
        <v>737</v>
      </c>
      <c r="Q5" s="896">
        <v>0</v>
      </c>
      <c r="R5" s="896">
        <v>1351</v>
      </c>
      <c r="S5" s="901">
        <v>5849</v>
      </c>
      <c r="T5" s="1085">
        <v>0</v>
      </c>
      <c r="U5" s="895">
        <f>SUM(D5:S5)-T5</f>
        <v>198420</v>
      </c>
      <c r="V5" s="895">
        <v>95440</v>
      </c>
      <c r="W5" s="11">
        <v>0</v>
      </c>
      <c r="X5" s="11">
        <v>0</v>
      </c>
      <c r="Y5" s="11">
        <v>0</v>
      </c>
      <c r="Z5" s="11">
        <v>87803</v>
      </c>
      <c r="AA5" s="11">
        <v>87863</v>
      </c>
      <c r="AB5" s="11">
        <v>0</v>
      </c>
      <c r="AC5" s="11">
        <v>0</v>
      </c>
      <c r="AD5" s="11">
        <v>26210</v>
      </c>
      <c r="AE5" s="11">
        <v>31000</v>
      </c>
      <c r="AF5" s="11">
        <v>0</v>
      </c>
      <c r="AG5" s="11">
        <v>0</v>
      </c>
      <c r="AH5" s="11">
        <v>0</v>
      </c>
      <c r="AI5" s="11">
        <v>0</v>
      </c>
      <c r="AJ5" s="11">
        <v>12929</v>
      </c>
      <c r="AK5" s="11">
        <v>9929</v>
      </c>
      <c r="AL5" s="11">
        <v>0</v>
      </c>
      <c r="AM5" s="1">
        <v>1026</v>
      </c>
      <c r="AN5" s="1"/>
      <c r="AO5" s="1">
        <v>0</v>
      </c>
      <c r="AP5" s="1">
        <v>4242</v>
      </c>
      <c r="AQ5" s="1">
        <v>0</v>
      </c>
      <c r="AR5" s="1">
        <v>56948</v>
      </c>
      <c r="AS5" s="1">
        <v>0</v>
      </c>
      <c r="AT5" s="1">
        <v>627</v>
      </c>
      <c r="AU5" s="1">
        <v>107060</v>
      </c>
      <c r="AV5" s="1">
        <v>400</v>
      </c>
      <c r="AW5" s="622">
        <f>AU5*0.015</f>
        <v>1605.8999999999999</v>
      </c>
      <c r="AX5" s="1">
        <v>0</v>
      </c>
      <c r="AY5" s="1"/>
      <c r="AZ5" s="1">
        <v>0</v>
      </c>
      <c r="BA5" s="1">
        <v>82</v>
      </c>
      <c r="BB5" s="1">
        <v>0</v>
      </c>
      <c r="BC5" s="1">
        <v>0</v>
      </c>
      <c r="BD5" s="1"/>
      <c r="BE5" s="1">
        <v>115581</v>
      </c>
      <c r="BF5" s="1">
        <v>13560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37098</v>
      </c>
      <c r="B6" s="913">
        <f>(Weather_Input!B6+Weather_Input!C6)/2</f>
        <v>66</v>
      </c>
      <c r="C6" s="895">
        <v>200000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37099</v>
      </c>
      <c r="B7" s="913">
        <f>(Weather_Input!B7+Weather_Input!C7)/2</f>
        <v>68.5</v>
      </c>
      <c r="C7" s="895">
        <v>185000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37100</v>
      </c>
      <c r="B8" s="913">
        <f>(Weather_Input!B8+Weather_Input!C8)/2</f>
        <v>72.5</v>
      </c>
      <c r="C8" s="895">
        <v>175000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37101</v>
      </c>
      <c r="B9" s="913">
        <f>(Weather_Input!B9+Weather_Input!C9)/2</f>
        <v>78</v>
      </c>
      <c r="C9" s="895">
        <v>180000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37102</v>
      </c>
      <c r="B10" s="913">
        <f>(Weather_Input!B10+Weather_Input!C10)/2</f>
        <v>79.5</v>
      </c>
      <c r="C10" s="895">
        <v>190000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37097</v>
      </c>
      <c r="B5" s="1">
        <f>(Weather_Input!B5+Weather_Input!C5)/2</f>
        <v>71</v>
      </c>
      <c r="C5" s="895">
        <v>35000</v>
      </c>
      <c r="D5" s="895">
        <v>0</v>
      </c>
      <c r="E5" s="895">
        <v>34674</v>
      </c>
      <c r="F5" s="895">
        <v>0</v>
      </c>
      <c r="G5" s="895">
        <v>0</v>
      </c>
      <c r="H5" s="903">
        <f>SUM(D5:G5)</f>
        <v>34674</v>
      </c>
      <c r="I5" s="1">
        <v>1006</v>
      </c>
      <c r="J5" s="1" t="s">
        <v>9</v>
      </c>
      <c r="K5" s="1">
        <v>0</v>
      </c>
      <c r="L5" s="1">
        <v>8263</v>
      </c>
      <c r="M5" s="1">
        <v>7000</v>
      </c>
      <c r="N5" s="1">
        <v>0</v>
      </c>
    </row>
    <row r="6" spans="1:14">
      <c r="A6" s="12">
        <f>A5+1</f>
        <v>37098</v>
      </c>
      <c r="B6" s="913">
        <f>(Weather_Input!B6+Weather_Input!C6)/2</f>
        <v>66</v>
      </c>
      <c r="C6" s="895">
        <v>35000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37099</v>
      </c>
      <c r="B7" s="913">
        <f>(Weather_Input!B7+Weather_Input!C7)/2</f>
        <v>68.5</v>
      </c>
      <c r="C7" s="895">
        <v>32000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37100</v>
      </c>
      <c r="B8" s="913">
        <f>(Weather_Input!B8+Weather_Input!C8)/2</f>
        <v>72.5</v>
      </c>
      <c r="C8" s="895">
        <v>29000</v>
      </c>
      <c r="D8" s="898" t="s">
        <v>9</v>
      </c>
      <c r="E8" s="898"/>
      <c r="F8" s="898"/>
      <c r="G8" s="898"/>
      <c r="H8" s="15"/>
    </row>
    <row r="9" spans="1:14">
      <c r="A9" s="12">
        <f>A8+1</f>
        <v>37101</v>
      </c>
      <c r="B9" s="913">
        <f>(Weather_Input!B9+Weather_Input!C9)/2</f>
        <v>78</v>
      </c>
      <c r="C9" s="895">
        <v>30000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37102</v>
      </c>
      <c r="B10" s="913">
        <f>(Weather_Input!B10+Weather_Input!C10)/2</f>
        <v>79.5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H1" zoomScale="75" workbookViewId="0">
      <selection activeCell="S7" sqref="S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7">
        <v>1</v>
      </c>
      <c r="H4" s="3" t="s">
        <v>1</v>
      </c>
      <c r="I4" s="3" t="s">
        <v>703</v>
      </c>
      <c r="J4" s="3" t="s">
        <v>679</v>
      </c>
      <c r="L4" s="3" t="s">
        <v>783</v>
      </c>
      <c r="M4" s="3" t="s">
        <v>802</v>
      </c>
      <c r="N4" s="58"/>
      <c r="O4" s="65"/>
      <c r="P4" s="65"/>
      <c r="T4" s="1236" t="s">
        <v>796</v>
      </c>
      <c r="U4" s="1053"/>
      <c r="V4" s="1201" t="s">
        <v>760</v>
      </c>
      <c r="W4" s="1202"/>
      <c r="X4" s="1203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781</v>
      </c>
      <c r="H5" s="107" t="s">
        <v>675</v>
      </c>
      <c r="I5" s="54" t="s">
        <v>695</v>
      </c>
      <c r="J5" s="3" t="s">
        <v>732</v>
      </c>
      <c r="L5" s="3" t="s">
        <v>784</v>
      </c>
      <c r="M5" s="56" t="s">
        <v>803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761</v>
      </c>
      <c r="W5" s="56" t="s">
        <v>764</v>
      </c>
      <c r="X5" s="3" t="s">
        <v>765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782</v>
      </c>
      <c r="H6" s="1011" t="s">
        <v>676</v>
      </c>
      <c r="I6" s="54" t="s">
        <v>702</v>
      </c>
      <c r="J6" s="54" t="s">
        <v>731</v>
      </c>
      <c r="K6" s="54" t="s">
        <v>776</v>
      </c>
      <c r="L6" s="54" t="s">
        <v>67</v>
      </c>
      <c r="M6" s="54" t="s">
        <v>801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778</v>
      </c>
      <c r="U6" s="68" t="s">
        <v>797</v>
      </c>
      <c r="V6" s="1204" t="s">
        <v>762</v>
      </c>
      <c r="W6" s="1204" t="s">
        <v>763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37097</v>
      </c>
      <c r="B7" s="904">
        <v>0</v>
      </c>
      <c r="C7" s="620">
        <v>0</v>
      </c>
      <c r="D7" s="620">
        <v>0</v>
      </c>
      <c r="E7" s="904">
        <v>0</v>
      </c>
      <c r="F7" s="904">
        <v>0</v>
      </c>
      <c r="G7" s="906">
        <v>115581</v>
      </c>
      <c r="H7" s="619">
        <v>0</v>
      </c>
      <c r="I7" s="619">
        <v>0</v>
      </c>
      <c r="J7" s="620">
        <v>13560</v>
      </c>
      <c r="K7" s="619">
        <v>0</v>
      </c>
      <c r="L7" s="620">
        <v>0</v>
      </c>
      <c r="M7" s="620">
        <v>0</v>
      </c>
      <c r="N7" s="621">
        <v>0</v>
      </c>
      <c r="O7" s="620">
        <v>107060</v>
      </c>
      <c r="P7" s="622">
        <f t="shared" ref="P7:P12" si="0">O7*0.015</f>
        <v>1605.8999999999999</v>
      </c>
      <c r="Q7" s="620">
        <v>400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37098</v>
      </c>
      <c r="B8" s="904">
        <v>0</v>
      </c>
      <c r="C8" s="620">
        <v>0</v>
      </c>
      <c r="D8" s="620">
        <v>0</v>
      </c>
      <c r="E8" s="904">
        <v>4000</v>
      </c>
      <c r="F8" s="904">
        <v>0</v>
      </c>
      <c r="G8" s="906">
        <v>36214</v>
      </c>
      <c r="H8" s="619">
        <v>0</v>
      </c>
      <c r="I8" s="619">
        <v>0</v>
      </c>
      <c r="J8" s="620">
        <v>10000</v>
      </c>
      <c r="K8" s="619">
        <v>0</v>
      </c>
      <c r="L8" s="620">
        <v>0</v>
      </c>
      <c r="M8" s="620">
        <v>0</v>
      </c>
      <c r="N8" s="621">
        <v>690</v>
      </c>
      <c r="O8" s="620">
        <v>145000</v>
      </c>
      <c r="P8" s="622">
        <f t="shared" si="0"/>
        <v>2175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37099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37100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37101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37102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D1" zoomScale="75" workbookViewId="0">
      <selection activeCell="N7" sqref="N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802</v>
      </c>
      <c r="Q4" s="1236" t="s">
        <v>780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800</v>
      </c>
      <c r="N5" s="3" t="s">
        <v>9</v>
      </c>
      <c r="O5" s="3" t="s">
        <v>9</v>
      </c>
      <c r="P5" s="3" t="s">
        <v>6</v>
      </c>
      <c r="Q5" s="107" t="s">
        <v>778</v>
      </c>
      <c r="R5" s="1237" t="s">
        <v>779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801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37097</v>
      </c>
      <c r="B7" s="622">
        <v>0</v>
      </c>
      <c r="C7" s="622">
        <v>0</v>
      </c>
      <c r="D7" s="622">
        <v>31000</v>
      </c>
      <c r="E7" s="622">
        <v>0</v>
      </c>
      <c r="F7" s="904">
        <v>21000</v>
      </c>
      <c r="G7" s="620">
        <v>627</v>
      </c>
      <c r="H7" s="620">
        <v>22858</v>
      </c>
      <c r="I7" s="620">
        <v>0</v>
      </c>
      <c r="J7" s="907">
        <v>0</v>
      </c>
      <c r="K7" s="621">
        <v>56948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39">
        <v>60000</v>
      </c>
      <c r="T7" s="620">
        <v>0</v>
      </c>
      <c r="U7" s="621">
        <v>136959</v>
      </c>
      <c r="V7" s="621">
        <v>0</v>
      </c>
      <c r="W7" s="619">
        <v>0</v>
      </c>
      <c r="X7" s="907">
        <v>95390</v>
      </c>
      <c r="Y7" s="621">
        <v>200</v>
      </c>
      <c r="Z7" s="1">
        <v>0</v>
      </c>
      <c r="AA7" s="619">
        <v>116031</v>
      </c>
      <c r="AB7" s="619">
        <v>54636</v>
      </c>
      <c r="AC7" s="619">
        <v>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37098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20000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39">
        <v>50000</v>
      </c>
      <c r="T8" s="620">
        <v>0</v>
      </c>
      <c r="U8" s="621">
        <v>136959</v>
      </c>
      <c r="V8" s="621">
        <v>0</v>
      </c>
      <c r="W8" s="619">
        <v>0</v>
      </c>
      <c r="X8" s="907">
        <v>106766</v>
      </c>
      <c r="Y8" s="621">
        <v>200</v>
      </c>
      <c r="Z8" s="1">
        <v>0</v>
      </c>
      <c r="AA8" s="619">
        <v>174977</v>
      </c>
      <c r="AB8" s="619">
        <v>49353</v>
      </c>
      <c r="AC8" s="619">
        <v>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37099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20000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39">
        <v>0</v>
      </c>
      <c r="T9" s="620">
        <v>0</v>
      </c>
      <c r="U9" s="621">
        <v>136959</v>
      </c>
      <c r="V9" s="621">
        <v>0</v>
      </c>
      <c r="W9" s="619">
        <v>0</v>
      </c>
      <c r="X9" s="907">
        <v>106766</v>
      </c>
      <c r="Y9" s="621">
        <v>200</v>
      </c>
      <c r="Z9" s="1">
        <v>0</v>
      </c>
      <c r="AA9" s="619">
        <v>174977</v>
      </c>
      <c r="AB9" s="619">
        <v>49353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37100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20000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39">
        <v>0</v>
      </c>
      <c r="T10" s="620">
        <v>0</v>
      </c>
      <c r="U10" s="621">
        <v>136959</v>
      </c>
      <c r="V10" s="621">
        <v>0</v>
      </c>
      <c r="W10" s="619">
        <v>0</v>
      </c>
      <c r="X10" s="907">
        <v>106766</v>
      </c>
      <c r="Y10" s="621">
        <v>200</v>
      </c>
      <c r="Z10" s="1">
        <v>0</v>
      </c>
      <c r="AA10" s="619">
        <v>174977</v>
      </c>
      <c r="AB10" s="619">
        <v>49353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37101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20000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39">
        <v>0</v>
      </c>
      <c r="T11" s="620">
        <v>0</v>
      </c>
      <c r="U11" s="621">
        <v>136959</v>
      </c>
      <c r="V11" s="621">
        <v>0</v>
      </c>
      <c r="W11" s="619">
        <v>0</v>
      </c>
      <c r="X11" s="907">
        <v>106766</v>
      </c>
      <c r="Y11" s="621">
        <v>200</v>
      </c>
      <c r="Z11" s="1">
        <v>0</v>
      </c>
      <c r="AA11" s="619">
        <v>174977</v>
      </c>
      <c r="AB11" s="619">
        <v>49353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37102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20000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39">
        <v>0</v>
      </c>
      <c r="T12" s="620">
        <v>0</v>
      </c>
      <c r="U12" s="621">
        <v>136959</v>
      </c>
      <c r="V12" s="621">
        <v>0</v>
      </c>
      <c r="W12" s="619">
        <v>0</v>
      </c>
      <c r="X12" s="907">
        <v>106766</v>
      </c>
      <c r="Y12" s="621">
        <v>200</v>
      </c>
      <c r="Z12" s="1">
        <v>0</v>
      </c>
      <c r="AA12" s="619">
        <v>174977</v>
      </c>
      <c r="AB12" s="619">
        <v>49353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38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7" sqref="J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37097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7000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37097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37098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7000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37098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37099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37099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37100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37100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37101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37101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37102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37102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I7" sqref="I7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37097</v>
      </c>
      <c r="B7" s="622">
        <v>0</v>
      </c>
      <c r="C7" s="623">
        <v>0</v>
      </c>
      <c r="D7" s="622">
        <v>0</v>
      </c>
      <c r="E7" s="622">
        <v>0</v>
      </c>
      <c r="F7" s="622">
        <v>8263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7000</v>
      </c>
      <c r="Q7" s="622">
        <v>26411</v>
      </c>
      <c r="R7" s="622">
        <v>15078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37098</v>
      </c>
      <c r="B8" s="622">
        <v>0</v>
      </c>
      <c r="C8" s="623">
        <v>0</v>
      </c>
      <c r="D8" s="622">
        <v>0</v>
      </c>
      <c r="E8" s="622">
        <v>0</v>
      </c>
      <c r="F8" s="622">
        <v>8590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7000</v>
      </c>
      <c r="Q8" s="622">
        <v>26411</v>
      </c>
      <c r="R8" s="622">
        <v>15078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37099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7000</v>
      </c>
      <c r="Q9" s="622">
        <v>26411</v>
      </c>
      <c r="R9" s="622">
        <v>15078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37100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7000</v>
      </c>
      <c r="Q10" s="622">
        <v>26411</v>
      </c>
      <c r="R10" s="622">
        <v>15078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37101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7000</v>
      </c>
      <c r="Q11" s="622">
        <v>26411</v>
      </c>
      <c r="R11" s="622">
        <v>15078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37102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7000</v>
      </c>
      <c r="Q12" s="622">
        <v>26411</v>
      </c>
      <c r="R12" s="622">
        <v>15078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37097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95" customHeight="1" thickBot="1">
      <c r="A4" s="831"/>
      <c r="B4" s="832"/>
      <c r="C4" s="832"/>
      <c r="D4" s="461">
        <f>Weather_Input!A5</f>
        <v>37097</v>
      </c>
      <c r="E4" s="461">
        <f>Weather_Input!A6</f>
        <v>37098</v>
      </c>
      <c r="F4" s="461">
        <f>Weather_Input!A7</f>
        <v>37099</v>
      </c>
      <c r="G4" s="461">
        <f>Weather_Input!A8</f>
        <v>37100</v>
      </c>
      <c r="H4" s="461">
        <f>Weather_Input!A9</f>
        <v>37101</v>
      </c>
      <c r="I4" s="462">
        <f>Weather_Input!A10</f>
        <v>37102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74/68/71</v>
      </c>
      <c r="E5" s="463" t="str">
        <f>TEXT(Weather_Input!B6,"0")&amp;"/"&amp;TEXT(Weather_Input!C6,"0") &amp; "/" &amp; TEXT((Weather_Input!B6+Weather_Input!C6)/2,"0")</f>
        <v>74/58/66</v>
      </c>
      <c r="F5" s="463" t="str">
        <f>TEXT(Weather_Input!B7,"0")&amp;"/"&amp;TEXT(Weather_Input!C7,"0") &amp; "/" &amp; TEXT((Weather_Input!B7+Weather_Input!C7)/2,"0")</f>
        <v>77/60/69</v>
      </c>
      <c r="G5" s="463" t="str">
        <f>TEXT(Weather_Input!B8,"0")&amp;"/"&amp;TEXT(Weather_Input!C8,"0") &amp; "/" &amp; TEXT((Weather_Input!B8+Weather_Input!C8)/2,"0")</f>
        <v>80/65/73</v>
      </c>
      <c r="H5" s="463" t="str">
        <f>TEXT(Weather_Input!B9,"0")&amp;"/"&amp;TEXT(Weather_Input!C9,"0") &amp; "/" &amp; TEXT((Weather_Input!B9+Weather_Input!C9)/2,"0")</f>
        <v>87/69/78</v>
      </c>
      <c r="I5" s="464" t="str">
        <f>TEXT(Weather_Input!B10,"0")&amp;"/"&amp;TEXT(Weather_Input!C10,"0") &amp; "/" &amp; TEXT((Weather_Input!B10+Weather_Input!C10)/2,"0")</f>
        <v>89/70/80</v>
      </c>
    </row>
    <row r="6" spans="1:256" ht="18.95" customHeight="1">
      <c r="A6" s="838" t="s">
        <v>134</v>
      </c>
      <c r="B6" s="826"/>
      <c r="C6" s="826"/>
      <c r="D6" s="463">
        <f>PGL_Deliveries!C5/1000</f>
        <v>200</v>
      </c>
      <c r="E6" s="463">
        <f>PGL_Deliveries!C6/1000</f>
        <v>200</v>
      </c>
      <c r="F6" s="463">
        <f>PGL_Deliveries!C7/1000</f>
        <v>185</v>
      </c>
      <c r="G6" s="463">
        <f>PGL_Deliveries!C8/1000</f>
        <v>175</v>
      </c>
      <c r="H6" s="463">
        <f>PGL_Deliveries!C9/1000</f>
        <v>180</v>
      </c>
      <c r="I6" s="464">
        <f>PGL_Deliveries!C10/1000</f>
        <v>190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57.790500000000002</v>
      </c>
      <c r="E7" s="463">
        <f>PGL_Requirements!G8/1000*0.5</f>
        <v>18.106999999999999</v>
      </c>
      <c r="F7" s="463">
        <f>PGL_Requirements!G9/1000*0.5</f>
        <v>10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772</v>
      </c>
      <c r="B8" s="826"/>
      <c r="C8" s="826"/>
      <c r="D8" s="463">
        <f>PGL_Requirements!J7/1000</f>
        <v>13.56</v>
      </c>
      <c r="E8" s="463">
        <f>PGL_Requirements!J8/1000</f>
        <v>10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773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788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107.06</v>
      </c>
      <c r="E11" s="463">
        <f>PGL_Requirements!O8/1000</f>
        <v>145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1.6058999999999999</v>
      </c>
      <c r="E12" s="463">
        <f>PGL_Requirements!P8/1000</f>
        <v>2.1749999999999998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0.4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775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777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0.69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798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785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380.6164</v>
      </c>
      <c r="E25" s="467">
        <f t="shared" si="1"/>
        <v>380.79199999999997</v>
      </c>
      <c r="F25" s="467">
        <f t="shared" si="1"/>
        <v>333.8</v>
      </c>
      <c r="G25" s="467">
        <f t="shared" si="1"/>
        <v>313.8</v>
      </c>
      <c r="H25" s="467">
        <f t="shared" si="1"/>
        <v>318.8</v>
      </c>
      <c r="I25" s="1099">
        <f t="shared" si="1"/>
        <v>328.8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0.627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775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777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56.948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799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774</v>
      </c>
      <c r="B36" s="826" t="s">
        <v>394</v>
      </c>
      <c r="C36" s="826"/>
      <c r="D36" s="463">
        <f>PGL_Supplies!S7/1000*0.5</f>
        <v>30</v>
      </c>
      <c r="E36" s="463">
        <f>PGL_Supplies!S8/1000*0.5</f>
        <v>25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95.39</v>
      </c>
      <c r="E37" s="463">
        <f>PGL_Supplies!X8/1000</f>
        <v>106.76600000000001</v>
      </c>
      <c r="F37" s="463">
        <f>PGL_Supplies!X9/1000</f>
        <v>106.76600000000001</v>
      </c>
      <c r="G37" s="463">
        <f>PGL_Supplies!X10/1000</f>
        <v>106.76600000000001</v>
      </c>
      <c r="H37" s="463">
        <f>PGL_Supplies!X11/1000</f>
        <v>106.76600000000001</v>
      </c>
      <c r="I37" s="464">
        <f>PGL_Supplies!X12/1000</f>
        <v>106.76600000000001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116.03100000000001</v>
      </c>
      <c r="E40" s="463">
        <f>PGL_Supplies!AA8/1000</f>
        <v>174.977</v>
      </c>
      <c r="F40" s="463">
        <f>PGL_Supplies!AA9/1000</f>
        <v>174.977</v>
      </c>
      <c r="G40" s="463">
        <f>PGL_Supplies!AA10/1000</f>
        <v>174.977</v>
      </c>
      <c r="H40" s="463">
        <f>PGL_Supplies!AA11/1000</f>
        <v>174.977</v>
      </c>
      <c r="I40" s="464">
        <f>PGL_Supplies!AA12/1000</f>
        <v>174.977</v>
      </c>
    </row>
    <row r="41" spans="1:10" ht="18.95" customHeight="1">
      <c r="A41" s="838"/>
      <c r="B41" s="826" t="s">
        <v>135</v>
      </c>
      <c r="C41" s="826"/>
      <c r="D41" s="463">
        <f>PGL_Supplies!AB7/1000</f>
        <v>54.636000000000003</v>
      </c>
      <c r="E41" s="463">
        <f>PGL_Supplies!AB8/1000</f>
        <v>49.353000000000002</v>
      </c>
      <c r="F41" s="463">
        <f>PGL_Supplies!AB9/1000</f>
        <v>49.353000000000002</v>
      </c>
      <c r="G41" s="463">
        <f>PGL_Supplies!AB10/1000</f>
        <v>49.353000000000002</v>
      </c>
      <c r="H41" s="463">
        <f>PGL_Supplies!AB11/1000</f>
        <v>49.353000000000002</v>
      </c>
      <c r="I41" s="464">
        <f>PGL_Supplies!AB12/1000</f>
        <v>49.353000000000002</v>
      </c>
    </row>
    <row r="42" spans="1:10" ht="18.95" customHeight="1">
      <c r="A42" s="838"/>
      <c r="B42" s="826" t="s">
        <v>136</v>
      </c>
      <c r="C42" s="826"/>
      <c r="D42" s="463">
        <f>PGL_Supplies!AC7/1000</f>
        <v>4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95" customHeight="1">
      <c r="A43" s="852"/>
      <c r="B43" s="826" t="s">
        <v>147</v>
      </c>
      <c r="C43" s="826"/>
      <c r="D43" s="463">
        <f>PGL_Supplies!H7/1000</f>
        <v>22.858000000000001</v>
      </c>
      <c r="E43" s="463">
        <f>PGL_Supplies!H8/1000</f>
        <v>20</v>
      </c>
      <c r="F43" s="463">
        <f>PGL_Supplies!H9/1000</f>
        <v>20</v>
      </c>
      <c r="G43" s="463">
        <f>PGL_Supplies!H10/1000</f>
        <v>20</v>
      </c>
      <c r="H43" s="463">
        <f>PGL_Supplies!H11/1000</f>
        <v>20</v>
      </c>
      <c r="I43" s="464">
        <f>PGL_Supplies!H12/1000</f>
        <v>20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31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 t="s">
        <v>149</v>
      </c>
      <c r="B49" s="854" t="s">
        <v>136</v>
      </c>
      <c r="C49" s="854"/>
      <c r="D49" s="465">
        <f>PGL_Supplies!F7/1000</f>
        <v>21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432.69000000000005</v>
      </c>
      <c r="E50" s="473">
        <f t="shared" si="2"/>
        <v>381.29599999999999</v>
      </c>
      <c r="F50" s="473">
        <f t="shared" si="2"/>
        <v>356.29599999999999</v>
      </c>
      <c r="G50" s="473">
        <f t="shared" si="2"/>
        <v>356.29599999999999</v>
      </c>
      <c r="H50" s="473">
        <f t="shared" si="2"/>
        <v>356.29599999999999</v>
      </c>
      <c r="I50" s="1101">
        <f t="shared" si="2"/>
        <v>356.29599999999999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52.073600000000056</v>
      </c>
      <c r="E51" s="474">
        <f t="shared" si="3"/>
        <v>0.5040000000000191</v>
      </c>
      <c r="F51" s="474">
        <f t="shared" si="3"/>
        <v>22.495999999999981</v>
      </c>
      <c r="G51" s="474">
        <f t="shared" si="3"/>
        <v>42.495999999999981</v>
      </c>
      <c r="H51" s="474">
        <f t="shared" si="3"/>
        <v>37.495999999999981</v>
      </c>
      <c r="I51" s="1102">
        <f t="shared" si="3"/>
        <v>27.495999999999981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136.959</v>
      </c>
      <c r="E53" s="1092">
        <f>PGL_Supplies!U8/1000</f>
        <v>136.959</v>
      </c>
      <c r="F53" s="1092">
        <f>PGL_Supplies!U9/1000</f>
        <v>136.959</v>
      </c>
      <c r="G53" s="1092">
        <f>PGL_Supplies!U10/1000</f>
        <v>136.959</v>
      </c>
      <c r="H53" s="1092">
        <f>PGL_Supplies!U11/1000</f>
        <v>136.959</v>
      </c>
      <c r="I53" s="1093">
        <f>PGL_Supplies!U12/1000</f>
        <v>136.959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2001-07-26T19:40:22Z</cp:lastPrinted>
  <dcterms:created xsi:type="dcterms:W3CDTF">1997-07-16T16:14:22Z</dcterms:created>
  <dcterms:modified xsi:type="dcterms:W3CDTF">2023-09-10T17:02:36Z</dcterms:modified>
</cp:coreProperties>
</file>