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8FE6D6F-C1C5-4504-A42D-581D66A8D4C2}" xr6:coauthVersionLast="47" xr6:coauthVersionMax="47" xr10:uidLastSave="{00000000-0000-0000-0000-000000000000}"/>
  <bookViews>
    <workbookView xWindow="-120" yWindow="-120" windowWidth="38640" windowHeight="157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B39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<sst xmlns="http://schemas.openxmlformats.org/spreadsheetml/2006/main" count="2070" uniqueCount="819">
  <si>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</si>
  <si>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</si>
  <si>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</si>
  <si>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</si>
  <si>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</si>
  <si>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</si>
  <si>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</si>
  <si>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</si>
  <si>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</si>
  <si>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</si>
  <si>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</si>
  <si>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</si>
  <si>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</si>
  <si>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</si>
  <si>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</si>
  <si>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</si>
  <si>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</si>
  <si>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</si>
  <si>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</si>
  <si>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</si>
  <si>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</si>
  <si>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</si>
  <si>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</si>
  <si>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</si>
  <si>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</si>
  <si>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</si>
  <si>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</si>
  <si>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</si>
  <si>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</si>
  <si>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</si>
  <si>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</si>
  <si>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</si>
  <si>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</si>
  <si>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</si>
  <si>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</si>
  <si>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</si>
  <si>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</si>
  <si>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</si>
  <si>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</si>
  <si>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</si>
  <si>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</si>
  <si>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</si>
  <si>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</si>
  <si>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</si>
  <si>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</si>
  <si>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</si>
  <si>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</si>
  <si>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</si>
  <si>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</si>
  <si>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</si>
  <si>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</si>
  <si>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</si>
  <si>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</si>
  <si>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</si>
  <si>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</si>
  <si>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</si>
  <si>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</si>
  <si>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</si>
  <si>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</si>
  <si>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</si>
  <si>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</si>
  <si>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</si>
  <si>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</si>
  <si>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</si>
  <si>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</si>
  <si>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</si>
  <si>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</si>
  <si>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</si>
  <si>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</si>
  <si>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</si>
  <si>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</si>
  <si>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</si>
  <si>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</si>
  <si>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</si>
  <si>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</si>
  <si>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</si>
  <si>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</si>
  <si>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</si>
  <si>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</si>
  <si>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</si>
  <si>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</si>
  <si>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</si>
  <si>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</si>
  <si>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</si>
  <si>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</si>
  <si>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</si>
  <si>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</si>
  <si>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</si>
  <si>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</si>
  <si>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</si>
  <si>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</si>
  <si>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</si>
  <si>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</si>
  <si>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</si>
  <si>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</si>
  <si>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</si>
  <si>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</si>
  <si>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</si>
  <si>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</si>
  <si>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</si>
  <si>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</si>
  <si>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</si>
  <si>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</si>
  <si>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</si>
  <si>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</si>
  <si>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</si>
  <si>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</si>
  <si>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</si>
  <si>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</si>
  <si>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</si>
  <si>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</si>
  <si>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</si>
  <si>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</si>
  <si>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</si>
  <si>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</si>
  <si>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</si>
  <si>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</si>
  <si>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</si>
  <si>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</si>
  <si>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</si>
  <si>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</si>
  <si>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</si>
  <si>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</si>
  <si>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</si>
  <si>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</si>
  <si>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</si>
  <si>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</si>
  <si>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</si>
  <si>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</si>
  <si>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</si>
  <si>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</si>
  <si>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</si>
  <si>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</si>
  <si>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</si>
  <si>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</si>
  <si>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</si>
  <si>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</si>
  <si>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</si>
  <si>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</si>
  <si>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</si>
  <si>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</si>
  <si>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</si>
  <si>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</si>
  <si>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</si>
  <si>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</si>
  <si>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</si>
  <si>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</si>
  <si>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</si>
  <si>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</si>
  <si>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</si>
  <si>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</si>
  <si>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</si>
  <si>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</si>
  <si>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</si>
  <si>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</si>
  <si>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</si>
  <si>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</si>
  <si>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</si>
  <si>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</si>
  <si>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</si>
  <si>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</si>
  <si>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</si>
  <si>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</si>
  <si>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</si>
  <si>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</si>
  <si>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</si>
  <si>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</si>
  <si>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</si>
  <si>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</si>
  <si>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</si>
  <si>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</si>
  <si>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</si>
  <si>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</si>
  <si>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</si>
  <si>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</si>
  <si>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</si>
  <si>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</si>
  <si>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</si>
  <si>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</si>
  <si>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</si>
  <si>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</si>
  <si>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</si>
  <si>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</si>
  <si>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</si>
  <si>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</si>
  <si>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</si>
  <si>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</si>
  <si>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</si>
  <si>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</si>
  <si>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</si>
  <si>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</si>
  <si>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</si>
  <si>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</si>
  <si>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</si>
  <si>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</si>
  <si>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</si>
  <si>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</si>
  <si>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</si>
  <si>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</si>
  <si>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</si>
  <si>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</si>
  <si>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</si>
  <si>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</si>
  <si>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</si>
  <si>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</si>
  <si>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</si>
  <si>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</si>
  <si>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</si>
  <si>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</si>
  <si>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</si>
  <si>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</si>
  <si>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</si>
  <si>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</si>
  <si>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</si>
  <si>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</si>
  <si>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</si>
  <si>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</si>
  <si>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</si>
  <si>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</si>
  <si>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</si>
  <si>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</si>
  <si>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</si>
  <si>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</si>
  <si>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</si>
  <si>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</si>
  <si>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</si>
  <si>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</si>
  <si>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</si>
  <si>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</si>
  <si>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</si>
  <si>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</si>
  <si>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</si>
  <si>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</si>
  <si>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</si>
  <si>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</si>
  <si>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</si>
  <si>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</si>
  <si>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</si>
  <si>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</si>
  <si>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</si>
  <si>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</si>
  <si>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</si>
  <si>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</si>
  <si>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</si>
  <si>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</si>
  <si>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</si>
  <si>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</si>
  <si>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</si>
  <si>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</si>
  <si>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</si>
  <si>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</si>
  <si>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</si>
  <si>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</si>
  <si>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</si>
  <si>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</si>
  <si>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</si>
  <si>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</si>
  <si>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</si>
  <si>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</si>
  <si>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</si>
  <si>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</si>
  <si>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</si>
  <si>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</si>
  <si>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</si>
  <si>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</si>
  <si>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</si>
  <si>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</si>
  <si>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</si>
  <si>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</si>
  <si>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</si>
  <si>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</si>
  <si>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</si>
  <si>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</si>
  <si>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</si>
  <si>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</si>
  <si>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</si>
  <si>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</si>
  <si>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</si>
  <si>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</si>
  <si>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</si>
  <si>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</si>
  <si>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</si>
  <si>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</si>
  <si>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</si>
  <si>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</si>
  <si>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</si>
  <si>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</si>
  <si>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</si>
  <si>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</si>
  <si>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</si>
  <si>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</si>
  <si>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</si>
  <si>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</si>
  <si>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</si>
  <si>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</si>
  <si>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</si>
  <si>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</si>
  <si>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</si>
  <si>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</si>
  <si>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</si>
  <si>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</si>
  <si>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</si>
  <si>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</si>
  <si>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</si>
  <si>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</si>
  <si>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</si>
  <si>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</si>
  <si>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</si>
  <si>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</si>
  <si>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</si>
  <si>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</si>
  <si>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</si>
  <si>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</si>
  <si>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</si>
  <si>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</si>
  <si>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</si>
  <si>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</si>
  <si>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</si>
  <si>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</si>
  <si>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</si>
  <si>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</si>
  <si>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</si>
  <si>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</si>
  <si>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</si>
  <si>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</si>
  <si>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</si>
  <si>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</si>
  <si>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</si>
  <si>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</si>
  <si>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</si>
  <si>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</si>
  <si>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</si>
  <si>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</si>
  <si>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</si>
  <si>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</si>
  <si>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</si>
  <si>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</si>
  <si>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</si>
  <si>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</si>
  <si>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</si>
  <si>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</si>
  <si>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</si>
  <si>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</si>
  <si>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</si>
  <si>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</si>
  <si>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</si>
  <si>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</si>
  <si>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</si>
  <si>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</si>
  <si>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</si>
  <si>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</si>
  <si>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</si>
  <si>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</si>
  <si>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</si>
  <si>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</si>
  <si>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</si>
  <si>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</si>
  <si>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</si>
  <si>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</si>
  <si>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</si>
  <si>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</si>
  <si>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</si>
  <si>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</si>
  <si>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</si>
  <si>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</si>
  <si>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</si>
  <si>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</si>
  <si>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</si>
  <si>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</si>
  <si>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</si>
  <si>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</si>
  <si>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</si>
  <si>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</si>
  <si>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</si>
  <si>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</si>
  <si>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</si>
  <si>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</si>
  <si>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</si>
  <si>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</si>
  <si>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</si>
  <si>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</si>
  <si>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</si>
  <si>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</si>
  <si>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</si>
  <si>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</si>
  <si>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</si>
  <si>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</si>
  <si>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</si>
  <si>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</si>
  <si>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</si>
  <si>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</si>
  <si>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</si>
  <si>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</si>
  <si>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</si>
  <si>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</si>
  <si>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</si>
  <si>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</si>
  <si>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</si>
  <si>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</si>
  <si>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</si>
  <si>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</si>
  <si>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</si>
  <si>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</si>
  <si>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</si>
  <si>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</si>
  <si>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</si>
  <si>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</si>
  <si>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</si>
  <si>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</si>
  <si>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</si>
  <si>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</si>
  <si>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</si>
  <si>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</si>
  <si>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</si>
  <si>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</si>
  <si>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</si>
  <si>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</si>
  <si>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</si>
  <si>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</si>
  <si>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</si>
  <si>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</si>
  <si>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</si>
  <si>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</si>
  <si>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</si>
  <si>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</si>
  <si>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</si>
  <si>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</si>
  <si>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</si>
  <si>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</si>
  <si>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</si>
  <si>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</si>
  <si>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</si>
  <si>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</si>
  <si>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</si>
  <si>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</si>
  <si>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</si>
  <si>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</si>
  <si>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</si>
  <si>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</si>
  <si>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</si>
  <si>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</si>
  <si>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</si>
  <si>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</si>
  <si>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</si>
  <si>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</si>
  <si>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</si>
  <si>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</si>
  <si>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</si>
  <si>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</si>
  <si>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</si>
  <si>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</si>
  <si>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</si>
  <si>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</si>
  <si>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</si>
  <si>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</si>
  <si>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</si>
  <si>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</si>
  <si>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</si>
  <si>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</si>
  <si>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</si>
  <si>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</si>
  <si>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</si>
  <si>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</si>
  <si>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</si>
  <si>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</si>
  <si>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</si>
  <si>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</si>
  <si>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</si>
  <si>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</si>
  <si>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</si>
  <si>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</si>
  <si>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</si>
  <si>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</si>
  <si>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</si>
  <si>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</si>
  <si>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</si>
  <si>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</si>
  <si>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</si>
  <si>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</si>
  <si>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</si>
  <si>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</si>
  <si>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</si>
  <si>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</si>
  <si>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</si>
  <si>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</si>
  <si>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</si>
  <si>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</si>
  <si>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</si>
  <si>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</si>
  <si>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</si>
  <si>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</si>
  <si>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</si>
  <si>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</si>
  <si>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</si>
  <si>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</si>
  <si>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</si>
  <si>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</si>
  <si>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</si>
  <si>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</si>
  <si>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</si>
  <si>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</si>
  <si>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</si>
  <si>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</si>
  <si>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</si>
  <si>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</si>
  <si>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</si>
  <si>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</si>
  <si>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</si>
  <si>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</si>
  <si>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</si>
  <si>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</si>
  <si>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</si>
  <si>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</si>
  <si>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</si>
  <si>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</si>
  <si>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</si>
  <si>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</si>
  <si>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</si>
  <si>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</si>
  <si>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</si>
  <si>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</si>
  <si>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</si>
  <si>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</si>
  <si>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</si>
  <si>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</si>
  <si>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</si>
  <si>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</si>
  <si>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</si>
  <si>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</si>
  <si>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</si>
  <si>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</si>
  <si>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</si>
  <si>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</si>
  <si>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</si>
  <si>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</si>
  <si>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</si>
  <si>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</si>
  <si>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</si>
  <si>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</si>
  <si>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</si>
  <si>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</si>
  <si>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</si>
  <si>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</si>
  <si>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</si>
  <si>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</si>
  <si>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</si>
  <si>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</si>
  <si>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</si>
  <si>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</si>
  <si>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</si>
  <si>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</si>
  <si>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</si>
  <si>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</si>
  <si>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</si>
  <si>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</si>
  <si>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</si>
  <si>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</si>
  <si>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</si>
  <si>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</si>
  <si>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</si>
  <si>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</si>
  <si>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</si>
  <si>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</si>
  <si>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</si>
  <si>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</si>
  <si>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</si>
  <si>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</si>
  <si>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</si>
  <si>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</si>
  <si>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</si>
  <si>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</si>
  <si>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</si>
  <si>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</si>
  <si>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</si>
  <si>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</si>
  <si>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</si>
  <si>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</si>
  <si>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</si>
  <si>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</si>
  <si>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</si>
  <si>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</si>
  <si>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</si>
  <si>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</si>
  <si>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</si>
  <si>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</si>
  <si>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</si>
  <si>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</si>
  <si>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</si>
  <si>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</si>
  <si>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</si>
  <si>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</si>
  <si>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</si>
  <si>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</si>
  <si>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</si>
  <si>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</si>
  <si>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</si>
  <si>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</si>
  <si>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</si>
  <si>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</si>
  <si>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</si>
  <si>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</si>
  <si>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</si>
  <si>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</si>
  <si>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</si>
  <si>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</si>
  <si>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</si>
  <si>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</si>
  <si>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</si>
  <si>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</si>
  <si>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</si>
  <si>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</si>
  <si>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</si>
  <si>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</si>
  <si>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</si>
  <si>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</si>
  <si>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</si>
  <si>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</si>
  <si>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</si>
  <si>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</si>
  <si>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</si>
  <si>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</si>
  <si>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</si>
  <si>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</si>
  <si>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</si>
  <si>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</si>
  <si>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</si>
  <si>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</si>
  <si>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</si>
  <si>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</si>
  <si>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</si>
  <si>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</si>
  <si>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</si>
  <si>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</si>
  <si>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</si>
  <si>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</si>
  <si>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</si>
  <si>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</si>
  <si>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</si>
  <si>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</si>
  <si>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</si>
  <si>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</si>
  <si>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</si>
  <si>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</si>
  <si>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</si>
  <si>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</si>
  <si>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</si>
  <si>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</si>
  <si>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</si>
  <si>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</si>
  <si>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</si>
  <si>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</si>
  <si>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</si>
  <si>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</si>
  <si>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</si>
  <si>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</si>
  <si>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</si>
  <si>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</si>
  <si>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</si>
  <si>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</si>
  <si>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</si>
  <si>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</si>
  <si>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</si>
  <si>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</si>
  <si>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</si>
  <si>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</si>
  <si>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</si>
  <si>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</si>
  <si>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</si>
  <si>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</si>
  <si>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</si>
  <si>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</si>
  <si>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</si>
  <si>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</si>
  <si>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</si>
  <si>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</si>
  <si>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</si>
  <si>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</si>
  <si>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</si>
  <si>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</si>
  <si>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</si>
  <si>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</si>
  <si>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</si>
  <si>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</si>
  <si>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</si>
  <si>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</si>
  <si>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</si>
  <si>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</si>
  <si>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</si>
  <si>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</si>
  <si>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</si>
  <si>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</si>
  <si>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</si>
  <si>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</si>
  <si>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</si>
  <si>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</si>
  <si>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</si>
  <si>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</si>
  <si>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</si>
  <si>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</si>
  <si>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</si>
  <si>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</si>
  <si>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</si>
  <si>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</si>
  <si>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</si>
  <si>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</si>
  <si>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</si>
  <si>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</si>
  <si>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</si>
  <si>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</si>
  <si>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</si>
  <si>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</si>
  <si>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</si>
  <si>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</si>
  <si>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</si>
  <si>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</si>
  <si>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</si>
  <si>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</si>
  <si>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</si>
  <si>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</si>
  <si>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</si>
  <si>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</si>
  <si>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</si>
  <si>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</si>
  <si>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</si>
  <si>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</si>
  <si>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</si>
  <si>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</si>
  <si>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</si>
  <si>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</si>
  <si>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</si>
  <si>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</si>
  <si>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</si>
  <si>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</si>
  <si>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</si>
  <si>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</si>
  <si>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</si>
  <si>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</si>
  <si>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</si>
  <si>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</si>
  <si>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</si>
  <si>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</si>
  <si>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</si>
  <si>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</si>
  <si>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</si>
  <si>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</si>
  <si>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</si>
  <si>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</si>
  <si>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</si>
  <si>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</si>
  <si>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</si>
  <si>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</si>
  <si>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</si>
  <si>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</si>
  <si>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</si>
  <si>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</si>
  <si>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</si>
  <si>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</si>
  <si>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</si>
  <si>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</si>
  <si>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</si>
  <si>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</si>
  <si>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</si>
  <si>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</si>
  <si>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</si>
  <si>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</si>
  <si>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</si>
  <si>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</si>
  <si>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</si>
  <si>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</si>
  <si>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</si>
  <si>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</si>
  <si>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</si>
  <si>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</si>
  <si>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</si>
  <si>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</si>
  <si>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</si>
  <si>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</si>
  <si>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</si>
  <si>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</si>
  <si>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</si>
  <si>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</si>
  <si>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</si>
  <si>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</si>
  <si>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</si>
  <si>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</si>
  <si>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</si>
  <si>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</si>
  <si>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</si>
  <si>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</si>
  <si>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</si>
  <si>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</si>
  <si>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</si>
  <si>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</si>
  <si>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</si>
  <si>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</si>
  <si>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</si>
  <si>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</si>
  <si>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</si>
  <si>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</si>
  <si>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</si>
  <si>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</si>
  <si>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</si>
  <si>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</si>
  <si>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</si>
  <si>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</si>
  <si>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</si>
  <si>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</si>
  <si>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</si>
  <si>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</si>
  <si>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SUNNY LESS HUMID. HIGH NEAR 90 INLAND, LOW 80S NEAR THE LAKE. TONIGHT</t>
  </si>
  <si>
    <t>INCREASING CLOUDS WITH A 40% CHANCE OF SHOWERS. LOW IN THE 60S.</t>
  </si>
  <si>
    <t>CLOUDY WITH SCATTERED SHOWERS IN THE AM. BECOMING CLOUDY IN THE AFT-</t>
  </si>
  <si>
    <t>TERNOON.COOLER WITH HIGHS IN THE UPPER 70S.  LOW 60-65  AT NIGHT.</t>
  </si>
  <si>
    <t>PARTLY SUNNY. HIGH IN THE UPPER 70S BUT COOLER NEAR THE LAKE. FAIR LOW</t>
  </si>
  <si>
    <t>AROUND 60 AT NIGHT.</t>
  </si>
  <si>
    <t>MOSTLY SUNNY. HIGH 75 TO 80  COOLER NEAR THE LAKE.</t>
  </si>
  <si>
    <t xml:space="preserve">PARTLY CLOUDY CHANCE OF T-STORMS. LOW IN THE LOWER 60S. HIGH IN THE </t>
  </si>
  <si>
    <t>LOWER 80S. BUT A LITTLE COOLER NEAR THE LAKE.</t>
  </si>
  <si>
    <t>CHANCE OF T-STORMS. LOW IN THE MIDDLE 60S . HIGH IN THE LOWER 80S.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</si>
</sst>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73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0" fontId="29" fillId="0" borderId="165" xfId="0" applyFont="1" applyFill="1" applyBorder="1" applyAlignment="1"/>
    <xf numFmtId="167" fontId="29" fillId="0" borderId="165" xfId="0" applyNumberFormat="1" applyFont="1" applyFill="1" applyBorder="1" applyAlignment="1"/>
    <xf numFmtId="166" fontId="29" fillId="0" borderId="166" xfId="0" applyNumberFormat="1" applyFont="1" applyFill="1" applyBorder="1" applyAlignment="1"/>
    <xf numFmtId="167" fontId="29" fillId="0" borderId="166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7" xfId="0" applyBorder="1"/>
    <xf numFmtId="0" fontId="56" fillId="0" borderId="168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69" xfId="0" applyNumberFormat="1" applyFont="1" applyFill="1" applyBorder="1" applyAlignment="1"/>
    <xf numFmtId="166" fontId="29" fillId="0" borderId="170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1" xfId="0" applyNumberFormat="1" applyBorder="1"/>
    <xf numFmtId="166" fontId="0" fillId="0" borderId="172" xfId="0" applyNumberFormat="1" applyBorder="1"/>
    <xf numFmtId="166" fontId="0" fillId="3" borderId="111" xfId="0" applyNumberFormat="1" applyFill="1" applyBorder="1"/>
    <xf numFmtId="166" fontId="0" fillId="3" borderId="172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3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4" xfId="0" applyNumberFormat="1" applyFont="1" applyFill="1" applyBorder="1" applyProtection="1"/>
    <xf numFmtId="166" fontId="16" fillId="2" borderId="175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4" xfId="0" applyNumberFormat="1" applyFont="1" applyFill="1" applyBorder="1" applyProtection="1"/>
    <xf numFmtId="166" fontId="57" fillId="2" borderId="175" xfId="0" applyNumberFormat="1" applyFont="1" applyFill="1" applyBorder="1" applyProtection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6" xfId="0" applyNumberFormat="1" applyFont="1" applyFill="1" applyBorder="1" applyProtection="1"/>
    <xf numFmtId="167" fontId="11" fillId="0" borderId="179" xfId="0" applyNumberFormat="1" applyFont="1" applyBorder="1"/>
    <xf numFmtId="172" fontId="29" fillId="0" borderId="65" xfId="0" applyNumberFormat="1" applyFont="1" applyBorder="1"/>
    <xf numFmtId="166" fontId="0" fillId="0" borderId="171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0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1" xfId="0" applyFont="1" applyBorder="1"/>
    <xf numFmtId="0" fontId="31" fillId="0" borderId="172" xfId="0" applyFont="1" applyBorder="1"/>
    <xf numFmtId="0" fontId="31" fillId="0" borderId="181" xfId="0" applyFont="1" applyBorder="1"/>
    <xf numFmtId="0" fontId="29" fillId="0" borderId="171" xfId="0" applyFont="1" applyBorder="1"/>
    <xf numFmtId="0" fontId="0" fillId="0" borderId="171" xfId="0" applyBorder="1"/>
    <xf numFmtId="0" fontId="31" fillId="6" borderId="182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0" fillId="6" borderId="167" xfId="0" applyFont="1" applyFill="1" applyBorder="1" applyAlignment="1">
      <alignment horizontal="left"/>
    </xf>
    <xf numFmtId="0" fontId="28" fillId="6" borderId="167" xfId="0" quotePrefix="1" applyFont="1" applyFill="1" applyBorder="1" applyAlignment="1">
      <alignment horizontal="center"/>
    </xf>
    <xf numFmtId="0" fontId="6" fillId="5" borderId="167" xfId="0" applyFont="1" applyFill="1" applyBorder="1"/>
    <xf numFmtId="0" fontId="28" fillId="6" borderId="183" xfId="0" applyFont="1" applyFill="1" applyBorder="1" applyAlignment="1">
      <alignment horizontal="centerContinuous"/>
    </xf>
    <xf numFmtId="0" fontId="28" fillId="6" borderId="167" xfId="0" applyFont="1" applyFill="1" applyBorder="1" applyAlignment="1">
      <alignment horizontal="centerContinuous"/>
    </xf>
    <xf numFmtId="0" fontId="31" fillId="6" borderId="167" xfId="0" applyFont="1" applyFill="1" applyBorder="1" applyAlignment="1">
      <alignment horizontal="centerContinuous"/>
    </xf>
    <xf numFmtId="0" fontId="31" fillId="6" borderId="179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4" xfId="0" applyBorder="1"/>
    <xf numFmtId="0" fontId="0" fillId="0" borderId="107" xfId="0" applyBorder="1"/>
    <xf numFmtId="0" fontId="16" fillId="0" borderId="86" xfId="0" applyFont="1" applyBorder="1"/>
    <xf numFmtId="0" fontId="16" fillId="0" borderId="185" xfId="0" applyFont="1" applyBorder="1"/>
    <xf numFmtId="0" fontId="0" fillId="0" borderId="142" xfId="0" applyBorder="1"/>
    <xf numFmtId="0" fontId="0" fillId="0" borderId="186" xfId="0" applyBorder="1"/>
    <xf numFmtId="0" fontId="0" fillId="0" borderId="46" xfId="0" applyBorder="1"/>
    <xf numFmtId="0" fontId="0" fillId="0" borderId="181" xfId="0" applyBorder="1"/>
    <xf numFmtId="0" fontId="0" fillId="0" borderId="187" xfId="0" applyBorder="1"/>
    <xf numFmtId="0" fontId="0" fillId="0" borderId="172" xfId="0" applyBorder="1"/>
    <xf numFmtId="0" fontId="0" fillId="0" borderId="125" xfId="0" applyBorder="1"/>
    <xf numFmtId="0" fontId="0" fillId="0" borderId="188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9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7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0" fontId="29" fillId="0" borderId="188" xfId="0" applyFont="1" applyBorder="1" applyAlignment="1">
      <alignment horizontal="left"/>
    </xf>
    <xf numFmtId="0" fontId="29" fillId="0" borderId="190" xfId="0" applyFont="1" applyBorder="1" applyAlignment="1">
      <alignment horizontal="left"/>
    </xf>
    <xf numFmtId="179" fontId="11" fillId="2" borderId="191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8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6" xfId="0" applyNumberFormat="1" applyFont="1" applyFill="1" applyBorder="1" applyAlignment="1">
      <alignment horizontal="left"/>
    </xf>
    <xf numFmtId="166" fontId="29" fillId="0" borderId="192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2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3" xfId="0" applyFont="1" applyFill="1" applyBorder="1" applyAlignment="1" applyProtection="1">
      <alignment horizontal="left"/>
    </xf>
    <xf numFmtId="0" fontId="57" fillId="2" borderId="194" xfId="0" applyFont="1" applyFill="1" applyBorder="1" applyProtection="1"/>
    <xf numFmtId="2" fontId="57" fillId="2" borderId="195" xfId="0" applyNumberFormat="1" applyFont="1" applyFill="1" applyBorder="1" applyProtection="1"/>
    <xf numFmtId="2" fontId="57" fillId="2" borderId="196" xfId="0" applyNumberFormat="1" applyFont="1" applyFill="1" applyBorder="1" applyProtection="1"/>
    <xf numFmtId="167" fontId="7" fillId="0" borderId="32" xfId="0" applyNumberFormat="1" applyFont="1" applyBorder="1"/>
    <xf numFmtId="0" fontId="57" fillId="0" borderId="72" xfId="0" applyFont="1" applyBorder="1"/>
    <xf numFmtId="0" fontId="0" fillId="0" borderId="119" xfId="0" applyBorder="1"/>
    <xf numFmtId="0" fontId="0" fillId="0" borderId="59" xfId="0" applyBorder="1"/>
    <xf numFmtId="0" fontId="28" fillId="0" borderId="197" xfId="0" applyFont="1" applyFill="1" applyBorder="1"/>
    <xf numFmtId="0" fontId="0" fillId="0" borderId="111" xfId="0" applyBorder="1"/>
    <xf numFmtId="0" fontId="0" fillId="0" borderId="198" xfId="0" applyBorder="1"/>
    <xf numFmtId="0" fontId="16" fillId="0" borderId="199" xfId="0" applyFont="1" applyBorder="1"/>
    <xf numFmtId="0" fontId="0" fillId="0" borderId="67" xfId="0" applyBorder="1"/>
    <xf numFmtId="0" fontId="0" fillId="0" borderId="200" xfId="0" applyBorder="1"/>
    <xf numFmtId="0" fontId="7" fillId="2" borderId="16" xfId="0" applyFont="1" applyFill="1" applyBorder="1" applyAlignment="1">
      <alignment horizontal="left"/>
    </xf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166" fontId="16" fillId="0" borderId="63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4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2" xfId="0" applyNumberFormat="1" applyBorder="1" applyAlignment="1">
      <alignment horizontal="center"/>
    </xf>
    <xf numFmtId="171" fontId="29" fillId="0" borderId="63" xfId="0" applyNumberFormat="1" applyFont="1" applyFill="1" applyBorder="1" applyAlignment="1">
      <alignment horizontal="center"/>
    </xf>
    <xf numFmtId="166" fontId="29" fillId="0" borderId="63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3" xfId="0" applyNumberFormat="1" applyFont="1" applyFill="1" applyBorder="1" applyAlignment="1">
      <alignment horizontal="center"/>
    </xf>
    <xf numFmtId="166" fontId="28" fillId="0" borderId="187" xfId="0" applyNumberFormat="1" applyFont="1" applyFill="1" applyBorder="1" applyAlignment="1">
      <alignment horizontal="center"/>
    </xf>
    <xf numFmtId="166" fontId="29" fillId="0" borderId="201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0" fontId="34" fillId="0" borderId="18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1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5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1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6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6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3916330F-7E02-2FA8-0232-4B012FED01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93FC36B8-4274-CD70-6BC9-C53BEC15E2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7E7B1206-28A3-572A-0E21-90DD74CB42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F9A6C2DE-F78F-F94D-9C37-249A86D395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66675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D9DE6CB1-BB6E-B613-6D62-CE11C2D973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66675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5118F140-826B-7DED-8F75-A6865BB898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A1093A46-E1B8-5540-AC99-3D0F58AF19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3C5789EF-4FDC-0B8D-999B-7CE47B0D6C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6606FA7C-C115-1F1E-E108-E6D7896878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E7D6C957-CEB7-56E9-85EB-24C10D0428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269F0522-A7B8-95B1-F0CB-1CC20649F1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6E7125B4-4C7E-5CF8-CEA6-B13D1FEB2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E078326-DADF-98AB-F969-C3A7372119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B3DDE56E-0DB0-41B0-686C-A76EC84E0A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1F8200DA-8571-8079-C591-D4FFB46A06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DA3707CD-A4B3-5589-4E11-8E686547B7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56E2292F-6286-9A33-90AA-60FE50303E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79B65282-F33D-FDE7-84CC-0AD4C6EBBF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FA27E600-0F47-A5C9-01EF-AB567C9880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8999003B-8D1D-2E30-5A95-B227A9E170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F8D96147-0CE7-F825-1213-3C41BADD4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1C8D1AF7-B43A-1F09-CBD6-23676D416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6F2EC780-39C5-3778-7327-1C12D74CE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6D0DD140-CE47-C200-BADB-70E5271BB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D8C87889-2F25-93C9-27FA-13CC8FC76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333DA899-23C4-6A6F-969E-75306E04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3C8BDEC4-9A8F-35D1-1E1A-3422D1FB3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A140B428-E851-70ED-FA02-6C797064D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713A8D61-5731-EFF5-1246-32835ED56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6B9E6506-8019-EC0F-62A6-7E4F099BC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86D7D872-64C3-6E8F-EF45-A908CF8D7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8BB837B1-F3AB-AA7D-BB54-31E51135FB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8641B899-17D6-1CC4-5438-00ADDA422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6B482E8E-673F-BC1F-EE92-55D7C28FA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F1E9F3F8-4203-78D6-E14F-F5B1909C6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739ECB20-399E-03D0-C765-2A3E0F7A4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D90A6FA1-7CF4-259F-DB94-BFBFCF81A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9AE96B85-01EA-451D-C7A2-79F8D1CEE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9EE0B868-F543-B7E9-B1F7-3DD116042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F0D4D0CC-AF05-00D2-9905-63A153DF9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C7B15029-5CD5-1820-ECA7-8FB1E126E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CA2A8162-DF38-998D-A470-07C459618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384D896C-46E0-80A4-BA14-18F632DC0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FDE8DB39-C411-A811-B1AC-EC2249138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733" name="Day_1">
          <a:extLst>
            <a:ext uri="{FF2B5EF4-FFF2-40B4-BE49-F238E27FC236}">
              <a16:creationId xmlns:a16="http://schemas.microsoft.com/office/drawing/2014/main" id="{210F5EEA-CC16-424E-C145-99B96AAE3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734" name="Day_2">
          <a:extLst>
            <a:ext uri="{FF2B5EF4-FFF2-40B4-BE49-F238E27FC236}">
              <a16:creationId xmlns:a16="http://schemas.microsoft.com/office/drawing/2014/main" id="{15B8C093-A3C0-F6ED-EE62-3ABCB7F42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735" name="Day_3">
          <a:extLst>
            <a:ext uri="{FF2B5EF4-FFF2-40B4-BE49-F238E27FC236}">
              <a16:creationId xmlns:a16="http://schemas.microsoft.com/office/drawing/2014/main" id="{6CCA7C75-7719-DFC7-7E83-0667DB2BB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736" name="Day_4">
          <a:extLst>
            <a:ext uri="{FF2B5EF4-FFF2-40B4-BE49-F238E27FC236}">
              <a16:creationId xmlns:a16="http://schemas.microsoft.com/office/drawing/2014/main" id="{366C3AFC-5676-758C-A3D9-8FAA4C820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737" name="Day_5">
          <a:extLst>
            <a:ext uri="{FF2B5EF4-FFF2-40B4-BE49-F238E27FC236}">
              <a16:creationId xmlns:a16="http://schemas.microsoft.com/office/drawing/2014/main" id="{292C38D4-1F45-2C11-C930-A48A68FAD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738" name="Day_6">
          <a:extLst>
            <a:ext uri="{FF2B5EF4-FFF2-40B4-BE49-F238E27FC236}">
              <a16:creationId xmlns:a16="http://schemas.microsoft.com/office/drawing/2014/main" id="{32D9A4EC-51AF-F515-DE5E-A8E46FB06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BC1A8D10-2790-2CF5-750D-1FD82044D6C5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A8FFF785-B4F2-4012-65F2-BB99584882AA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27F0CAC2-82A5-8C2F-4330-019348F83FA8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12BD956C-C9A2-4E31-C4CE-96CBE43436C0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AD97FEE3-5FB9-DD55-B573-30ABA14810DE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05354B04-7B5E-DFCC-BA22-7DB72BB25F75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CBCF2107-57DB-7550-8312-37AB8A265B37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D7170BED-FA61-754E-E776-C11ED147947A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CAF4308F-7F80-0BE7-28FB-3F9C68775963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2D7542BC-31A4-39A6-E1B8-A303E13105B0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83381AB9-9398-E604-B262-74ACDA8D70D3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A2B785B2-4488-D717-D4DE-A31AF491D1BD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915FB603-D2DA-0CA7-1594-CC7530F61DF7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949DB587-28BB-45AE-79A1-EBEBCC08B4E5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0BD26B77-E94F-5B37-4AC3-A15E5F697697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5EFD007E-A121-0056-7D65-3C2E6840CB0D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46D10604-AB4C-AF7C-742E-58BFD3ED4AFD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A62C57C9-CD74-E5C3-7E7A-5B4D4074ECBA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DD3F2431-8303-481B-BE80-BF65D82136C9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28B58265-38CF-49FE-ED93-BE9E1B5F1A4B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28374C8D-D9AB-5700-E9B1-D7D1A9B9CE0A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638DD137-CF78-0EC1-33DA-A75BF295C6FB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7615BE9D-F15A-D89E-62EF-174D9AF62795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C61C7A08-F3D9-AE27-00A3-13656980B627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0D23B336-95D1-BC3A-5091-E4E991FB3406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DB154913-FB48-F725-3D4E-2ABD73A75FA3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6827E6D2-8930-398D-EAC4-63E4294D2A4B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5BC0A066-B98B-B8CF-D104-0E44999F751D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8D968DBC-4C43-39D1-8298-FE4AC92928F0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AFE66E76-A20F-C67B-F03C-3C35B2B9BD14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70ABD83E-4EE6-413E-01CE-CE600F9EFF29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E3056564-A7E9-02CD-EF44-705272C72105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45916896-E837-B30D-DC03-3FDFF3347457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BA3F8A81-FB9F-8A27-F755-E60AE62CCF94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2A1D66AD-F305-3D01-D6CE-0C55B39165F9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11E5F3D4-061F-96A3-17A0-6917B1E11D41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0F3AFDB5-7BDC-DADB-901C-D81F0144F904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84570654-6465-AE94-A89D-7DDE64AB3C4A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9532CF7E-ACEE-FB30-8E52-C587032A888A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9BDC29A1-9FBE-531F-EE91-99762B366627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63B5F55D-A1C4-4F30-B338-9463E37D544A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8B4B6E01-8C8A-F607-EBA3-920493D40EA9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DC623594-A2CB-332E-1C7F-1B3E7C8F0051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7BD8A4A3-EC7A-C15C-B853-ACC629B399CE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4C19C97A-0687-EF5E-7855-B810B7BF513C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2F2D229F-2B13-BF57-1039-9F686C38C33B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6A144E6E-46CF-F316-DBC0-09B58C9B6929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78CD6BA2-AC34-9C04-D940-873E24A17456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F7049F97-5074-0928-0389-787457F0AFFB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639882BF-677D-CA59-6183-599C679A054F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29CC54B1-2368-8A3E-F4A1-F9C7D56BC01E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E945943C-3D82-E0D4-A812-6082136F2287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54F01051-B9F7-7EBC-A1E4-EE4E4F0C539B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64C84C0B-4E8F-337E-8FB1-E1C11E982126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529950E9-A144-E884-B45F-7B42738596EA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7C187956-C1C7-CEB3-4E9E-A580F9DEA892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543C292D-B0D4-BE88-926C-A690E22A5E57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1E1624B2-1559-BF3A-2F5E-7809707A125F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F1491E43-B881-95B8-2CA5-9FEBE9AE0CFD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9657F46E-A66C-A21C-64C2-8B0867DEE439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F45840AD-7F25-C1F6-34C1-63504FF84E00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2C4AA4A9-C09D-05CF-4468-22ED63576D53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7C36C980-1E1A-8D94-94C0-EBD1C7CF005C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F55BBBDB-DECE-17CA-6698-CEE61ABD74E1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6BC2CEB2-3596-7BC4-1B8F-A22A250C49AE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15660DA2-AFB6-C140-7309-570743E3F77D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C0A94B03-49B8-DB82-286E-EDC41C8864F2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AF8E5693-8D28-9AD3-27C0-C56CD13B00F5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90464959-201B-EE89-6620-80D2880B4A86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754851BA-9598-83DB-4BF4-F41D6690B67C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C69B6BE2-A33B-F634-4ECA-28F21B1ECF5C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64871459-00FA-5E10-2C31-E11A350B20A4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EDC920A7-19B5-96A0-D30F-A7CE2C8BAF84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0CA78713-772F-2E5D-4F12-1BCEC3A4AD66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58E4C487-1BB6-1C03-A4E4-B1F430D27CC3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36A76F74-EE62-7393-9C85-429C5210E4A9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5110A820-849B-8932-3240-4F056F8FB682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40D68EBA-77D2-AA82-EE39-D55EEAF5C2A3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AF9B66C5-45A7-084C-0951-852AFC1E72EA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1ED8E6AB-3F65-432E-8A83-E1E546DBC7DE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2C845973-45A4-875D-800F-F98F3A4FF145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CFC9289C-136F-37E2-5329-61A506599F21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C358410E-328F-06B5-548C-91FE373756C9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DF0E9899-AD8A-4577-B665-19AE45D33998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9CBF9C6E-D0D3-44EF-5167-44B9A392E165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234428D2-AD1C-47CA-E518-C2123547A0A0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572C0D03-2DD3-DAF0-8DA6-80D50EECBCF9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3B3E3973-93C7-814E-397D-9F16049A7C0C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DA7C36D8-2279-B821-1673-29547AABC57A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A84F201A-A3CE-CE72-FD6A-63F588D1BE3F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4F82B401-C3AB-A9BC-8CE1-CADF01D78AE0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E7A15F97-B8E2-20A1-D9E8-586DCFAC2161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08B5E2E6-C306-0522-E954-BE1AF9C911E5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779647BB-8AC7-41B2-55A9-7F76AE08CA6D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367C4B36-BC57-467B-139A-A81BB56C0A61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4693251F-C67D-D9A2-68E4-81E0D181C619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ADD4598F-8BC1-ECD3-C16B-C772356DB7E1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090DDF90-43F4-845A-25C0-36C9B3522336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90FFA6FF-60E0-70A3-2FC7-6980F576C0F7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36FB577F-42AA-BCFB-B59D-A9D7544421F8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0226356A-7D2F-A02A-1587-C00DEFA24226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AF520AAB-D7A3-9818-5C18-A3C505BEF481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DEE855F1-2E68-EF73-253C-10F3C647E2C4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395D159E-0620-827D-DABE-A5722A92040E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5BC9B725-E389-EF3B-93A4-8079EA65C1DF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30D70828-CDCA-FECF-F36C-FBEEFD81B79F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3A21BE2B-4E84-8AB9-E747-5F93CA766981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745785FD-76F3-C539-D03D-4D39CB7C99B8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7088120B-8E86-434E-F7D5-F1CA6D0F2ED0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1DEDED32-FAB1-AA2D-C5D9-D734F28C5A71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91FDFAFA-820E-023B-0030-D5F4D80DF0BE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D8849B25-193B-3D84-2240-E0CDEB6F9D16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B7F700B6-F622-9BDB-AFF5-C3C9F64F05AE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A8DF7352-3102-AC40-8604-4E367188FA01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2565376C-F0DD-C7C0-E498-6D5AF5FDE52A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690D4CB1-8059-D6BD-903F-B62F698473F5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6D751338-2535-9CD4-33F3-821C54FE0EDE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E788E28C-7D58-371B-F0CB-479E51674AEC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BADD89D1-A0D5-4DBB-2AA3-342BE9C8E6EA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D2409C1E-E0A1-D0EB-3191-571D432BD165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DFEA091E-7BB2-D59B-F8E5-B2E3225F7248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979E29AD-8111-00A1-0207-844756692102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0ACFD671-9D94-DEB4-3B49-6BC4CE725C5A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10FDC15C-D467-2DEB-0C0F-5DB90900310B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C1DDD0E5-DC4C-8041-60BD-886FA5C09F87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C1786A02-99CC-3D54-BAA7-B3D1DEA360BE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0208B5E5-A4BC-63CE-9B6E-FA4ED001B44D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C5F57D1C-3170-265D-8B2E-3779F0BDAAE3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68532001-0256-EB3E-81A3-A11B7074F137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EAA578EB-4A10-6900-E782-29E8EA773752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040"/>
      <c r="B1" s="798"/>
    </row>
    <row r="2" spans="1:88">
      <c r="A2" s="1040" t="s">
        <v>9</v>
      </c>
      <c r="B2" t="s">
        <v>9</v>
      </c>
    </row>
    <row r="3" spans="1:88" ht="15.75" thickBot="1">
      <c r="A3" s="1110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75" thickBot="1">
      <c r="A4" s="450"/>
      <c r="B4" s="798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389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39" t="s">
        <v>655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593</v>
      </c>
    </row>
    <row r="11" spans="1:88" ht="15.75" customHeight="1">
      <c r="A11" t="s">
        <v>9</v>
      </c>
      <c r="B11" s="798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593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158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726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591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591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593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593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topLeftCell="A19" zoomScale="75" workbookViewId="0">
      <selection activeCell="A19" sqref="A19"/>
    </sheetView>
  </sheetViews>
  <sheetFormatPr defaultRowHeight="15"/>
  <cols>
    <col min="1" max="1" width="23.21875" style="112" customWidth="1"/>
    <col min="2" max="2" width="8.88671875" style="112"/>
    <col min="3" max="3" width="17" style="112" customWidth="1"/>
    <col min="4" max="4" width="7.77734375" style="112" bestFit="1" customWidth="1"/>
    <col min="5" max="5" width="8.5546875" style="112" customWidth="1"/>
    <col min="6" max="6" width="8.6640625" style="112" customWidth="1"/>
    <col min="7" max="7" width="8.5546875" style="112" customWidth="1"/>
    <col min="8" max="9" width="8.6640625" style="112" customWidth="1"/>
    <col min="10" max="16384" width="8.88671875" style="112"/>
  </cols>
  <sheetData>
    <row r="1" spans="1:10" ht="24.95" customHeight="1" thickTop="1">
      <c r="A1" s="863" t="s">
        <v>610</v>
      </c>
      <c r="B1" s="822"/>
      <c r="C1" s="822"/>
      <c r="D1" s="822"/>
      <c r="E1" s="822"/>
      <c r="F1" s="822"/>
      <c r="G1" s="822" t="s">
        <v>130</v>
      </c>
      <c r="H1" s="864" t="str">
        <f>D3</f>
        <v>TUE</v>
      </c>
      <c r="I1" s="865">
        <f>D4</f>
        <v>37096</v>
      </c>
      <c r="J1" s="110"/>
    </row>
    <row r="2" spans="1:10" ht="24.95" customHeight="1">
      <c r="A2" s="825" t="s">
        <v>152</v>
      </c>
      <c r="B2" s="826"/>
      <c r="C2" s="826"/>
      <c r="D2" s="826"/>
      <c r="E2" s="826"/>
      <c r="F2" s="826"/>
      <c r="G2" s="826"/>
      <c r="H2" s="826"/>
      <c r="I2" s="827"/>
      <c r="J2" s="110"/>
    </row>
    <row r="3" spans="1:10" ht="24.95" customHeight="1" thickBot="1">
      <c r="A3" s="828"/>
      <c r="B3" s="826"/>
      <c r="C3" s="826"/>
      <c r="D3" s="829" t="str">
        <f t="shared" ref="D3:I3" si="0">CHOOSE(WEEKDAY(D4),"SUN","MON","TUE","WED","THU","FRI","SAT")</f>
        <v>TUE</v>
      </c>
      <c r="E3" s="829" t="str">
        <f t="shared" si="0"/>
        <v>WED</v>
      </c>
      <c r="F3" s="829" t="str">
        <f t="shared" si="0"/>
        <v>THU</v>
      </c>
      <c r="G3" s="829" t="str">
        <f t="shared" si="0"/>
        <v>FRI</v>
      </c>
      <c r="H3" s="829" t="str">
        <f t="shared" si="0"/>
        <v>SAT</v>
      </c>
      <c r="I3" s="830" t="str">
        <f t="shared" si="0"/>
        <v>SUN</v>
      </c>
      <c r="J3" s="110"/>
    </row>
    <row r="4" spans="1:10" ht="24.95" customHeight="1" thickBot="1">
      <c r="A4" s="831" t="s">
        <v>153</v>
      </c>
      <c r="B4" s="832"/>
      <c r="C4" s="832"/>
      <c r="D4" s="833">
        <f>Weather_Input!A5</f>
        <v>37096</v>
      </c>
      <c r="E4" s="833">
        <f>Weather_Input!A6</f>
        <v>37097</v>
      </c>
      <c r="F4" s="833">
        <f>Weather_Input!A7</f>
        <v>37098</v>
      </c>
      <c r="G4" s="833">
        <f>Weather_Input!A8</f>
        <v>37099</v>
      </c>
      <c r="H4" s="833">
        <f>Weather_Input!A9</f>
        <v>37100</v>
      </c>
      <c r="I4" s="834">
        <f>Weather_Input!A10</f>
        <v>37101</v>
      </c>
      <c r="J4" s="110"/>
    </row>
    <row r="5" spans="1:10" s="111" customFormat="1" ht="24.95" customHeight="1" thickTop="1">
      <c r="A5" s="835" t="s">
        <v>132</v>
      </c>
      <c r="B5" s="826"/>
      <c r="C5" s="826" t="s">
        <v>133</v>
      </c>
      <c r="D5" s="866" t="str">
        <f>TEXT(Weather_Input!B5,"0")&amp;"/"&amp;TEXT(Weather_Input!C5,"0") &amp; "/" &amp; TEXT((Weather_Input!B5+Weather_Input!C5)/2,"0")</f>
        <v>89/68/79</v>
      </c>
      <c r="E5" s="866" t="str">
        <f>TEXT(Weather_Input!B6,"0")&amp;"/"&amp;TEXT(Weather_Input!C6,"0") &amp; "/" &amp; TEXT((Weather_Input!B6+Weather_Input!C6)/2,"0")</f>
        <v>75/60/68</v>
      </c>
      <c r="F5" s="866" t="str">
        <f>TEXT(Weather_Input!B7,"0")&amp;"/"&amp;TEXT(Weather_Input!C7,"0") &amp; "/" &amp; TEXT((Weather_Input!B7+Weather_Input!C7)/2,"0")</f>
        <v>75/58/67</v>
      </c>
      <c r="G5" s="866" t="str">
        <f>TEXT(Weather_Input!B8,"0")&amp;"/"&amp;TEXT(Weather_Input!C8,"0") &amp; "/" &amp; TEXT((Weather_Input!B8+Weather_Input!C8)/2,"0")</f>
        <v>79/60/70</v>
      </c>
      <c r="H5" s="866" t="str">
        <f>TEXT(Weather_Input!B9,"0")&amp;"/"&amp;TEXT(Weather_Input!C9,"0") &amp; "/" &amp; TEXT((Weather_Input!B9+Weather_Input!C9)/2,"0")</f>
        <v>82/65/74</v>
      </c>
      <c r="I5" s="867" t="str">
        <f>TEXT(Weather_Input!B10,"0")&amp;"/"&amp;TEXT(Weather_Input!C10,"0") &amp; "/" &amp; TEXT((Weather_Input!B10+Weather_Input!C10)/2,"0")</f>
        <v>87/69/78</v>
      </c>
      <c r="J5" s="110"/>
    </row>
    <row r="6" spans="1:10" ht="24.95" customHeight="1">
      <c r="A6" s="838" t="s">
        <v>134</v>
      </c>
      <c r="B6" s="826"/>
      <c r="C6" s="826"/>
      <c r="D6" s="836">
        <f ca="1">VLOOKUP(D4,NSG_Sendouts,CELL("Col",NSG_Deliveries!C5),FALSE)/1000</f>
        <v>33.299999999999997</v>
      </c>
      <c r="E6" s="836">
        <f ca="1">VLOOKUP(E4,NSG_Sendouts,CELL("Col",NSG_Deliveries!C6),FALSE)/1000</f>
        <v>34</v>
      </c>
      <c r="F6" s="836">
        <f ca="1">VLOOKUP(F4,NSG_Sendouts,CELL("Col",NSG_Deliveries!C7),FALSE)/1000</f>
        <v>34</v>
      </c>
      <c r="G6" s="836">
        <f ca="1">VLOOKUP(G4,NSG_Sendouts,CELL("Col",NSG_Deliveries!C8),FALSE)/1000</f>
        <v>32</v>
      </c>
      <c r="H6" s="836">
        <f ca="1">VLOOKUP(H4,NSG_Sendouts,CELL("Col",NSG_Deliveries!C9),FALSE)/1000</f>
        <v>29</v>
      </c>
      <c r="I6" s="841">
        <f ca="1">VLOOKUP(I4,NSG_Sendouts,CELL("Col",NSG_Deliveries!C10),FALSE)/1000</f>
        <v>30</v>
      </c>
      <c r="J6" s="111"/>
    </row>
    <row r="7" spans="1:10" ht="24.95" customHeight="1">
      <c r="A7" s="835" t="s">
        <v>138</v>
      </c>
      <c r="B7" s="826" t="s">
        <v>139</v>
      </c>
      <c r="C7" s="826" t="s">
        <v>58</v>
      </c>
      <c r="D7" s="836">
        <f>(NSG_Requirements!$K$7+NSG_Requirements!$L$7+NSG_Requirements!$M$7+NSG_Requirements!$N$7)/1000</f>
        <v>0</v>
      </c>
      <c r="E7" s="836">
        <f>(NSG_Requirements!$K$8+NSG_Requirements!$L$8+NSG_Requirements!$M$8+NSG_Requirements!$N$8)/1000</f>
        <v>0</v>
      </c>
      <c r="F7" s="836">
        <f>(NSG_Requirements!$K$9+NSG_Requirements!$L$9+NSG_Requirements!$M$9+NSG_Requirements!$N$9)/1000</f>
        <v>0</v>
      </c>
      <c r="G7" s="836">
        <f>(NSG_Requirements!$K$10+NSG_Requirements!$L$10+NSG_Requirements!$M$10+NSG_Requirements!$N$10)/1000</f>
        <v>0</v>
      </c>
      <c r="H7" s="836">
        <f>(NSG_Requirements!$K$11+NSG_Requirements!$L$11+NSG_Requirements!$M$11+NSG_Requirements!$N$11)/1000</f>
        <v>0</v>
      </c>
      <c r="I7" s="841">
        <f>(NSG_Requirements!$K$12+NSG_Requirements!$L$12+NSG_Requirements!$M$12+NSG_Requirements!$N$12)/1000</f>
        <v>0</v>
      </c>
      <c r="J7" s="111"/>
    </row>
    <row r="8" spans="1:10" ht="24.95" customHeight="1">
      <c r="A8" s="835"/>
      <c r="B8" s="826" t="s">
        <v>137</v>
      </c>
      <c r="C8" s="840" t="s">
        <v>87</v>
      </c>
      <c r="D8" s="836">
        <f>NSG_Requirements!J7/1000</f>
        <v>12</v>
      </c>
      <c r="E8" s="836">
        <f>NSG_Requirements!J8/1000</f>
        <v>7</v>
      </c>
      <c r="F8" s="836">
        <f>NSG_Requirements!J9/1000</f>
        <v>0</v>
      </c>
      <c r="G8" s="836">
        <f>NSG_Requirements!J10/1000</f>
        <v>0</v>
      </c>
      <c r="H8" s="836">
        <f>NSG_Requirements!J11/1000</f>
        <v>0</v>
      </c>
      <c r="I8" s="837">
        <f>NSG_Requirements!J12/1000</f>
        <v>0</v>
      </c>
      <c r="J8" s="110"/>
    </row>
    <row r="9" spans="1:10" ht="24.95" customHeight="1">
      <c r="A9" s="835"/>
      <c r="B9" s="826" t="s">
        <v>135</v>
      </c>
      <c r="C9" s="840" t="s">
        <v>87</v>
      </c>
      <c r="D9" s="836">
        <f>NSG_Requirements!H7/1000</f>
        <v>0</v>
      </c>
      <c r="E9" s="836">
        <f>NSG_Requirements!H8/1000</f>
        <v>0</v>
      </c>
      <c r="F9" s="836">
        <f>NSG_Requirements!H9/1000</f>
        <v>0</v>
      </c>
      <c r="G9" s="836">
        <f>NSG_Requirements!H10/1000</f>
        <v>0</v>
      </c>
      <c r="H9" s="836">
        <f>NSG_Requirements!H11/1000</f>
        <v>0</v>
      </c>
      <c r="I9" s="837">
        <f>NSG_Requirements!H12/1000</f>
        <v>0</v>
      </c>
      <c r="J9" s="110"/>
    </row>
    <row r="10" spans="1:10" ht="24.95" customHeight="1">
      <c r="A10" s="853" t="s">
        <v>154</v>
      </c>
      <c r="B10" s="854" t="s">
        <v>379</v>
      </c>
      <c r="C10" s="854"/>
      <c r="D10" s="868">
        <f>NSG_Requirements!B7/1000</f>
        <v>0</v>
      </c>
      <c r="E10" s="868">
        <f>NSG_Requirements!B8/1000</f>
        <v>0</v>
      </c>
      <c r="F10" s="868">
        <f>NSG_Requirements!B9/1000</f>
        <v>0</v>
      </c>
      <c r="G10" s="868">
        <f>NSG_Requirements!B10/1000</f>
        <v>0</v>
      </c>
      <c r="H10" s="868">
        <f>NSG_Requirements!B11/1000</f>
        <v>0</v>
      </c>
      <c r="I10" s="869">
        <f>NSG_Requirements!B12/1000</f>
        <v>0</v>
      </c>
      <c r="J10" s="110"/>
    </row>
    <row r="11" spans="1:10" ht="24.95" customHeight="1" thickBot="1">
      <c r="A11" s="870" t="s">
        <v>143</v>
      </c>
      <c r="B11" s="860"/>
      <c r="C11" s="860"/>
      <c r="D11" s="845">
        <f t="shared" ref="D11:I11" ca="1" si="1">SUM(D6:D10)</f>
        <v>45.3</v>
      </c>
      <c r="E11" s="845">
        <f t="shared" ca="1" si="1"/>
        <v>41</v>
      </c>
      <c r="F11" s="845">
        <f t="shared" ca="1" si="1"/>
        <v>34</v>
      </c>
      <c r="G11" s="845">
        <f t="shared" ca="1" si="1"/>
        <v>32</v>
      </c>
      <c r="H11" s="845">
        <f t="shared" ca="1" si="1"/>
        <v>29</v>
      </c>
      <c r="I11" s="846">
        <f t="shared" ca="1" si="1"/>
        <v>30</v>
      </c>
      <c r="J11" s="110"/>
    </row>
    <row r="12" spans="1:10" ht="24.95" customHeight="1" thickTop="1" thickBot="1">
      <c r="A12" s="871"/>
      <c r="B12" s="872"/>
      <c r="C12" s="872"/>
      <c r="D12" s="873"/>
      <c r="E12" s="873"/>
      <c r="F12" s="873"/>
      <c r="G12" s="873"/>
      <c r="H12" s="873"/>
      <c r="I12" s="873"/>
      <c r="J12" s="111"/>
    </row>
    <row r="13" spans="1:10" ht="24.95" customHeight="1" thickTop="1" thickBot="1">
      <c r="A13" s="874" t="s">
        <v>144</v>
      </c>
      <c r="B13" s="849"/>
      <c r="C13" s="849"/>
      <c r="D13" s="850"/>
      <c r="E13" s="850"/>
      <c r="F13" s="850"/>
      <c r="G13" s="850"/>
      <c r="H13" s="850"/>
      <c r="I13" s="851"/>
      <c r="J13" s="110"/>
    </row>
    <row r="14" spans="1:10" ht="24.95" customHeight="1" thickTop="1">
      <c r="A14" s="835" t="s">
        <v>720</v>
      </c>
      <c r="B14" s="826" t="s">
        <v>139</v>
      </c>
      <c r="C14" s="826" t="s">
        <v>155</v>
      </c>
      <c r="D14" s="836">
        <f>NSG_Supplies!G7/1000</f>
        <v>0</v>
      </c>
      <c r="E14" s="836">
        <f>NSG_Supplies!G8/1000</f>
        <v>0</v>
      </c>
      <c r="F14" s="836">
        <f>NSG_Supplies!G9/1000</f>
        <v>0</v>
      </c>
      <c r="G14" s="836">
        <f>NSG_Supplies!G10/1000</f>
        <v>0</v>
      </c>
      <c r="H14" s="836">
        <f>NSG_Supplies!G11/1000</f>
        <v>0</v>
      </c>
      <c r="I14" s="837">
        <f>NSG_Supplies!G12/1000</f>
        <v>0</v>
      </c>
      <c r="J14" s="110"/>
    </row>
    <row r="15" spans="1:10" ht="24.95" customHeight="1">
      <c r="A15" s="835"/>
      <c r="B15" s="826" t="s">
        <v>137</v>
      </c>
      <c r="C15" s="826" t="s">
        <v>146</v>
      </c>
      <c r="D15" s="836">
        <f>NSG_Supplies!K7/1000</f>
        <v>0</v>
      </c>
      <c r="E15" s="836">
        <f>NSG_Supplies!K8/1000</f>
        <v>0</v>
      </c>
      <c r="F15" s="836">
        <f>NSG_Supplies!K9/1000</f>
        <v>0</v>
      </c>
      <c r="G15" s="836">
        <f>NSG_Supplies!K10/1000</f>
        <v>0</v>
      </c>
      <c r="H15" s="836">
        <f>NSG_Supplies!K11/1000</f>
        <v>0</v>
      </c>
      <c r="I15" s="837">
        <f>NSG_Supplies!K12/1000</f>
        <v>0</v>
      </c>
      <c r="J15" s="110"/>
    </row>
    <row r="16" spans="1:10" ht="24.95" customHeight="1">
      <c r="A16" s="835"/>
      <c r="B16" s="826"/>
      <c r="C16" s="840" t="s">
        <v>788</v>
      </c>
      <c r="D16" s="836">
        <f>NSG_Supplies!E7/1000</f>
        <v>0</v>
      </c>
      <c r="E16" s="836">
        <f>NSG_Supplies!E8/1000</f>
        <v>0</v>
      </c>
      <c r="F16" s="836">
        <f>NSG_Supplies!E9/1000</f>
        <v>0</v>
      </c>
      <c r="G16" s="836">
        <f>NSG_Supplies!E10/1000</f>
        <v>0</v>
      </c>
      <c r="H16" s="836">
        <f>NSG_Supplies!E11/1000</f>
        <v>0</v>
      </c>
      <c r="I16" s="841">
        <f>NSG_Supplies!E12/1000</f>
        <v>0</v>
      </c>
      <c r="J16" s="111"/>
    </row>
    <row r="17" spans="1:13" ht="24.95" customHeight="1">
      <c r="A17" s="835"/>
      <c r="B17" s="826" t="s">
        <v>135</v>
      </c>
      <c r="C17" s="840" t="s">
        <v>789</v>
      </c>
      <c r="D17" s="836">
        <f>NSG_Supplies!F7/1000</f>
        <v>51.27</v>
      </c>
      <c r="E17" s="836">
        <f>NSG_Supplies!F8/1000</f>
        <v>7.59</v>
      </c>
      <c r="F17" s="836">
        <f>NSG_Supplies!F9/1000</f>
        <v>0</v>
      </c>
      <c r="G17" s="836">
        <f>NSG_Supplies!F10/1000</f>
        <v>0</v>
      </c>
      <c r="H17" s="836">
        <f>NSG_Supplies!F11/1000</f>
        <v>0</v>
      </c>
      <c r="I17" s="841">
        <f>NSG_Supplies!F12/1000</f>
        <v>0</v>
      </c>
      <c r="J17" s="111"/>
    </row>
    <row r="18" spans="1:13" ht="24.95" customHeight="1">
      <c r="A18" s="835"/>
      <c r="B18" s="826" t="s">
        <v>81</v>
      </c>
      <c r="C18" s="826" t="s">
        <v>721</v>
      </c>
      <c r="D18" s="836">
        <f>NSG_Supplies!T7/1000</f>
        <v>0</v>
      </c>
      <c r="E18" s="836">
        <f>NSG_Supplies!T8/1000</f>
        <v>0</v>
      </c>
      <c r="F18" s="836">
        <f>NSG_Supplies!T9/1000</f>
        <v>0</v>
      </c>
      <c r="G18" s="836">
        <f>NSG_Supplies!T10/1000</f>
        <v>0</v>
      </c>
      <c r="H18" s="836">
        <f>NSG_Supplies!T11/1000</f>
        <v>0</v>
      </c>
      <c r="I18" s="841">
        <f>NSG_Supplies!T12/1000</f>
        <v>0</v>
      </c>
      <c r="J18" s="111"/>
    </row>
    <row r="19" spans="1:13" ht="24.95" customHeight="1">
      <c r="A19" s="835" t="s">
        <v>156</v>
      </c>
      <c r="B19" s="826" t="s">
        <v>135</v>
      </c>
      <c r="C19" s="1094" t="s">
        <v>722</v>
      </c>
      <c r="D19" s="836">
        <f>NSG_Supplies!Q7/1000</f>
        <v>27.285</v>
      </c>
      <c r="E19" s="836">
        <f>NSG_Supplies!Q8/1000</f>
        <v>26.411000000000001</v>
      </c>
      <c r="F19" s="836">
        <f>NSG_Supplies!Q9/1000</f>
        <v>26.411000000000001</v>
      </c>
      <c r="G19" s="836">
        <f>NSG_Supplies!Q10/1000</f>
        <v>26.411000000000001</v>
      </c>
      <c r="H19" s="836">
        <f>NSG_Supplies!Q11/1000</f>
        <v>26.411000000000001</v>
      </c>
      <c r="I19" s="837">
        <f>NSG_Supplies!Q12/1000</f>
        <v>26.411000000000001</v>
      </c>
      <c r="J19" s="110"/>
    </row>
    <row r="20" spans="1:13" ht="24.95" customHeight="1">
      <c r="A20" s="835"/>
      <c r="B20" s="826" t="s">
        <v>137</v>
      </c>
      <c r="C20" s="826" t="s">
        <v>600</v>
      </c>
      <c r="D20" s="836">
        <f>NSG_Supplies!P7/1000</f>
        <v>12</v>
      </c>
      <c r="E20" s="836">
        <f>NSG_Supplies!P8/1000</f>
        <v>7</v>
      </c>
      <c r="F20" s="836">
        <f>NSG_Supplies!P9/1000</f>
        <v>7</v>
      </c>
      <c r="G20" s="836">
        <f>NSG_Supplies!P10/1000</f>
        <v>7</v>
      </c>
      <c r="H20" s="836">
        <f>NSG_Supplies!P11/1000</f>
        <v>7</v>
      </c>
      <c r="I20" s="837">
        <f>NSG_Supplies!P12/1000</f>
        <v>7</v>
      </c>
      <c r="J20" s="110"/>
    </row>
    <row r="21" spans="1:13" ht="24.95" customHeight="1" thickBot="1">
      <c r="A21" s="1240" t="s">
        <v>149</v>
      </c>
      <c r="B21" s="1241"/>
      <c r="C21" s="1241"/>
      <c r="D21" s="1242">
        <f t="shared" ref="D21:I21" si="2">SUM(D14:D20)</f>
        <v>90.555000000000007</v>
      </c>
      <c r="E21" s="1242">
        <f t="shared" si="2"/>
        <v>41.001000000000005</v>
      </c>
      <c r="F21" s="1242">
        <f t="shared" si="2"/>
        <v>33.411000000000001</v>
      </c>
      <c r="G21" s="1242">
        <f t="shared" si="2"/>
        <v>33.411000000000001</v>
      </c>
      <c r="H21" s="1242">
        <f t="shared" si="2"/>
        <v>33.411000000000001</v>
      </c>
      <c r="I21" s="1243">
        <f t="shared" si="2"/>
        <v>33.411000000000001</v>
      </c>
      <c r="J21" s="110"/>
      <c r="K21" s="111"/>
      <c r="L21" s="93"/>
      <c r="M21" s="111"/>
    </row>
    <row r="22" spans="1:13" ht="24.95" customHeight="1">
      <c r="A22" s="875" t="s">
        <v>150</v>
      </c>
      <c r="B22" s="876"/>
      <c r="C22" s="876"/>
      <c r="D22" s="877">
        <f t="shared" ref="D22:I22" ca="1" si="3">IF(D21-D11&lt;0,0,D21-D11)</f>
        <v>45.25500000000001</v>
      </c>
      <c r="E22" s="877">
        <f t="shared" ca="1" si="3"/>
        <v>1.0000000000047748E-3</v>
      </c>
      <c r="F22" s="877">
        <f t="shared" ca="1" si="3"/>
        <v>0</v>
      </c>
      <c r="G22" s="877">
        <f t="shared" ca="1" si="3"/>
        <v>1.4110000000000014</v>
      </c>
      <c r="H22" s="877">
        <f t="shared" ca="1" si="3"/>
        <v>4.4110000000000014</v>
      </c>
      <c r="I22" s="878">
        <f t="shared" ca="1" si="3"/>
        <v>3.4110000000000014</v>
      </c>
      <c r="J22" s="110"/>
      <c r="K22" s="111"/>
      <c r="L22" s="93"/>
      <c r="M22" s="111"/>
    </row>
    <row r="23" spans="1:13" ht="24.95" customHeight="1" thickBot="1">
      <c r="A23" s="879" t="s">
        <v>151</v>
      </c>
      <c r="B23" s="860"/>
      <c r="C23" s="860"/>
      <c r="D23" s="861">
        <f t="shared" ref="D23:I23" ca="1" si="4">IF(D11-D21&lt;0,0,D11-D21)</f>
        <v>0</v>
      </c>
      <c r="E23" s="861">
        <f t="shared" ca="1" si="4"/>
        <v>0</v>
      </c>
      <c r="F23" s="861">
        <f t="shared" ca="1" si="4"/>
        <v>0.58899999999999864</v>
      </c>
      <c r="G23" s="861">
        <f t="shared" ca="1" si="4"/>
        <v>0</v>
      </c>
      <c r="H23" s="861">
        <f t="shared" ca="1" si="4"/>
        <v>0</v>
      </c>
      <c r="I23" s="862">
        <f t="shared" ca="1" si="4"/>
        <v>0</v>
      </c>
      <c r="J23" s="110"/>
      <c r="K23" s="111"/>
      <c r="L23" s="111"/>
      <c r="M23" s="111"/>
    </row>
    <row r="24" spans="1:13" ht="24.95" customHeight="1" thickTop="1" thickBot="1">
      <c r="A24" s="1095" t="s">
        <v>723</v>
      </c>
      <c r="B24" s="1096"/>
      <c r="C24" s="1096"/>
      <c r="D24" s="1097">
        <f>NSG_Supplies!R7/1000</f>
        <v>15.952</v>
      </c>
      <c r="E24" s="1097">
        <f>NSG_Supplies!R8/1000</f>
        <v>15.077999999999999</v>
      </c>
      <c r="F24" s="1097">
        <f>NSG_Supplies!R9/1000</f>
        <v>15.077999999999999</v>
      </c>
      <c r="G24" s="1097">
        <f>NSG_Supplies!R10/1000</f>
        <v>15.077999999999999</v>
      </c>
      <c r="H24" s="1097">
        <f>NSG_Supplies!R11/1000</f>
        <v>15.077999999999999</v>
      </c>
      <c r="I24" s="1098">
        <f>NSG_Supplies!R12/1000</f>
        <v>15.077999999999999</v>
      </c>
    </row>
    <row r="25" spans="1:13" ht="24.95" customHeight="1" thickTop="1" thickBot="1">
      <c r="B25" s="881"/>
      <c r="C25" s="881"/>
      <c r="D25" s="881"/>
      <c r="E25" s="881"/>
      <c r="F25" s="881"/>
      <c r="G25" s="880"/>
      <c r="H25" s="880"/>
      <c r="I25" s="880"/>
    </row>
    <row r="26" spans="1:13" ht="24.95" customHeight="1" thickTop="1" thickBot="1">
      <c r="A26" s="882" t="s">
        <v>157</v>
      </c>
      <c r="B26" s="883"/>
      <c r="C26" s="883"/>
      <c r="D26" s="884">
        <f>Weather_Input!D5</f>
        <v>7.3</v>
      </c>
      <c r="E26" s="884">
        <f>Weather_Input!D6</f>
        <v>10</v>
      </c>
      <c r="F26" s="884">
        <f>Weather_Input!D7</f>
        <v>12</v>
      </c>
      <c r="G26" s="885"/>
      <c r="H26" s="880"/>
      <c r="I26" s="880"/>
    </row>
    <row r="27" spans="1:13" ht="15.75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88671875" defaultRowHeight="15"/>
  <cols>
    <col min="1" max="1" width="23.77734375" customWidth="1"/>
    <col min="2" max="3" width="8.77734375" customWidth="1"/>
    <col min="4" max="4" width="9.77734375" customWidth="1"/>
    <col min="5" max="5" width="22.77734375" customWidth="1"/>
    <col min="6" max="8" width="8.77734375" customWidth="1"/>
    <col min="9" max="9" width="19.77734375" customWidth="1"/>
    <col min="10" max="15" width="8.77734375" customWidth="1"/>
  </cols>
  <sheetData>
    <row r="1" spans="1:17" ht="19.5" thickTop="1" thickBot="1">
      <c r="A1" s="1139" t="s">
        <v>9</v>
      </c>
      <c r="B1" s="1136" t="s">
        <v>9</v>
      </c>
      <c r="C1" s="1137" t="s">
        <v>695</v>
      </c>
      <c r="D1" s="1138"/>
      <c r="E1" s="1139" t="s">
        <v>9</v>
      </c>
      <c r="F1" s="1140" t="s">
        <v>741</v>
      </c>
      <c r="G1" s="1141" t="s">
        <v>9</v>
      </c>
      <c r="H1" s="1142"/>
      <c r="I1" s="1184" t="s">
        <v>9</v>
      </c>
      <c r="J1" s="583"/>
      <c r="K1" s="583"/>
      <c r="L1" s="584" t="s">
        <v>159</v>
      </c>
      <c r="M1" s="1215">
        <f>Weather_Input!A5</f>
        <v>37096</v>
      </c>
      <c r="N1" s="1216" t="str">
        <f>CHOOSE(WEEKDAY(M1),"SUN","MON","TUE","WED","THU","FRI","SAT")</f>
        <v>TUE</v>
      </c>
      <c r="O1" s="588"/>
    </row>
    <row r="2" spans="1:17" ht="16.5" thickTop="1" thickBot="1">
      <c r="A2" s="420" t="s">
        <v>698</v>
      </c>
      <c r="B2" s="319">
        <f>PGL_Supplies!W7/1000</f>
        <v>0</v>
      </c>
      <c r="C2" s="8"/>
      <c r="D2" s="608"/>
      <c r="E2" s="563" t="s">
        <v>404</v>
      </c>
      <c r="F2" s="1117"/>
      <c r="G2" s="558" t="s">
        <v>9</v>
      </c>
      <c r="H2" s="1131" t="s">
        <v>9</v>
      </c>
      <c r="I2" s="254" t="s">
        <v>509</v>
      </c>
      <c r="J2" s="1157" t="s">
        <v>387</v>
      </c>
      <c r="K2" s="1161" t="s">
        <v>162</v>
      </c>
      <c r="L2" s="1162" t="s">
        <v>21</v>
      </c>
      <c r="M2" s="1161" t="s">
        <v>162</v>
      </c>
      <c r="N2" s="1157" t="s">
        <v>21</v>
      </c>
      <c r="O2" s="1163" t="s">
        <v>162</v>
      </c>
      <c r="Q2" s="1272"/>
    </row>
    <row r="3" spans="1:17" ht="15.75">
      <c r="A3" s="420" t="s">
        <v>736</v>
      </c>
      <c r="B3" s="1176">
        <f>PGL_Requirements!I7/1000</f>
        <v>0</v>
      </c>
      <c r="C3" s="958" t="s">
        <v>9</v>
      </c>
      <c r="D3" s="308"/>
      <c r="E3" s="563" t="s">
        <v>453</v>
      </c>
      <c r="F3" s="319">
        <f>PGL_Supplies!H7/1000</f>
        <v>23.193000000000001</v>
      </c>
      <c r="G3" s="383" t="s">
        <v>9</v>
      </c>
      <c r="H3" s="1131" t="s">
        <v>9</v>
      </c>
      <c r="I3" s="1185" t="s">
        <v>9</v>
      </c>
      <c r="J3" s="944">
        <f>Weather_Input!B5</f>
        <v>89</v>
      </c>
      <c r="K3" s="945">
        <f>Weather_Input!C5</f>
        <v>68</v>
      </c>
      <c r="L3" s="599" t="s">
        <v>9</v>
      </c>
      <c r="M3" s="264" t="s">
        <v>9</v>
      </c>
      <c r="N3" s="264"/>
      <c r="O3" s="262"/>
    </row>
    <row r="4" spans="1:17" ht="15.75" thickBot="1">
      <c r="A4" s="244" t="s">
        <v>738</v>
      </c>
      <c r="B4" s="1177">
        <v>0</v>
      </c>
      <c r="C4" s="119"/>
      <c r="D4" s="970"/>
      <c r="E4" s="532" t="s">
        <v>454</v>
      </c>
      <c r="F4" s="1210">
        <v>0</v>
      </c>
      <c r="G4" s="521" t="s">
        <v>9</v>
      </c>
      <c r="H4" s="1235"/>
      <c r="I4" t="s">
        <v>772</v>
      </c>
      <c r="J4" s="1044" t="s">
        <v>9</v>
      </c>
      <c r="K4" s="1258"/>
      <c r="L4" s="429"/>
      <c r="M4" s="1046"/>
      <c r="N4" s="429"/>
      <c r="O4" s="799"/>
    </row>
    <row r="5" spans="1:17" ht="16.5" thickBot="1">
      <c r="A5" s="1058" t="s">
        <v>3</v>
      </c>
      <c r="B5" s="319">
        <f>PGL_Supplies!X7/1000</f>
        <v>101.19</v>
      </c>
      <c r="C5" s="1047" t="s">
        <v>9</v>
      </c>
      <c r="D5" s="344"/>
      <c r="E5" s="1195" t="s">
        <v>430</v>
      </c>
      <c r="F5" s="964">
        <f>F3+F4</f>
        <v>23.193000000000001</v>
      </c>
      <c r="G5" s="561" t="s">
        <v>9</v>
      </c>
      <c r="H5" s="1224" t="s">
        <v>9</v>
      </c>
      <c r="I5" s="1186" t="s">
        <v>397</v>
      </c>
      <c r="J5" s="1087" t="s">
        <v>9</v>
      </c>
      <c r="K5" s="1259">
        <f>PGL_Deliveries!C5/1000</f>
        <v>220</v>
      </c>
      <c r="L5" s="597"/>
      <c r="M5" s="264"/>
      <c r="N5" s="597"/>
      <c r="O5" s="262"/>
    </row>
    <row r="6" spans="1:17" ht="16.5" thickBot="1">
      <c r="A6" s="554" t="s">
        <v>421</v>
      </c>
      <c r="B6" s="1050">
        <f>+B5-B3+B2-B4</f>
        <v>101.19</v>
      </c>
      <c r="C6" s="1051" t="s">
        <v>9</v>
      </c>
      <c r="D6" s="526"/>
      <c r="E6" s="631" t="s">
        <v>9</v>
      </c>
      <c r="F6" s="968" t="s">
        <v>35</v>
      </c>
      <c r="G6" s="969"/>
      <c r="H6" s="1132"/>
      <c r="I6" s="119" t="s">
        <v>717</v>
      </c>
      <c r="J6" s="1088"/>
      <c r="K6" s="1260">
        <f>PGL_Requirements!X7/1000</f>
        <v>0</v>
      </c>
      <c r="L6" s="1088"/>
      <c r="M6" s="1089"/>
      <c r="N6" s="119"/>
      <c r="O6" s="116"/>
    </row>
    <row r="7" spans="1:17" ht="16.5" thickBot="1">
      <c r="A7" s="321" t="s">
        <v>9</v>
      </c>
      <c r="B7" s="1048" t="s">
        <v>9</v>
      </c>
      <c r="C7" s="963" t="s">
        <v>66</v>
      </c>
      <c r="D7" s="1049"/>
      <c r="E7" s="420" t="s">
        <v>432</v>
      </c>
      <c r="F7" s="319">
        <f>PGL_Supplies!P7/1000</f>
        <v>0</v>
      </c>
      <c r="G7" s="376" t="s">
        <v>9</v>
      </c>
      <c r="H7" s="1125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594</v>
      </c>
      <c r="B8" s="319">
        <f>PGL_Requirements!T7/1000</f>
        <v>0.2</v>
      </c>
      <c r="C8" s="589"/>
      <c r="D8" s="308"/>
      <c r="E8" s="420" t="s">
        <v>433</v>
      </c>
      <c r="F8" s="383">
        <f>PGL_Requirements!E7/1000</f>
        <v>4.4989999999999997</v>
      </c>
      <c r="G8" s="376" t="s">
        <v>9</v>
      </c>
      <c r="H8" s="1125"/>
      <c r="I8" s="1035" t="s">
        <v>734</v>
      </c>
      <c r="J8" s="288" t="s">
        <v>9</v>
      </c>
      <c r="K8" s="1261">
        <f>B4</f>
        <v>0</v>
      </c>
      <c r="L8" s="614"/>
      <c r="M8" s="264"/>
      <c r="N8" s="614"/>
      <c r="O8" s="262" t="s">
        <v>9</v>
      </c>
    </row>
    <row r="9" spans="1:17">
      <c r="A9" s="420" t="s">
        <v>669</v>
      </c>
      <c r="B9" s="319">
        <f>PGL_Supplies!Q7/1000</f>
        <v>0</v>
      </c>
      <c r="C9" s="308"/>
      <c r="D9" s="308"/>
      <c r="E9" s="420" t="s">
        <v>434</v>
      </c>
      <c r="F9" s="319">
        <f>PGL_Supplies!F7/1000</f>
        <v>0</v>
      </c>
      <c r="G9" s="319"/>
      <c r="H9" s="1125"/>
      <c r="I9" s="119" t="s">
        <v>695</v>
      </c>
      <c r="J9" s="1044"/>
      <c r="K9" s="1262">
        <f>+B6</f>
        <v>101.19</v>
      </c>
      <c r="L9" s="1044"/>
      <c r="M9" s="1046"/>
      <c r="N9" s="429"/>
      <c r="O9" s="280" t="s">
        <v>9</v>
      </c>
    </row>
    <row r="10" spans="1:17" ht="15.75" thickBot="1">
      <c r="A10" s="630" t="s">
        <v>653</v>
      </c>
      <c r="B10" s="319">
        <f>PGL_Supplies!Y7/1000</f>
        <v>0.2</v>
      </c>
      <c r="C10" s="119"/>
      <c r="D10" s="1043"/>
      <c r="E10" s="420" t="s">
        <v>761</v>
      </c>
      <c r="F10" s="972">
        <f>PGL_Supplies!AC7/1000</f>
        <v>4.4989999999999997</v>
      </c>
      <c r="G10" s="522"/>
      <c r="H10" s="1126"/>
      <c r="I10" s="1187" t="s">
        <v>754</v>
      </c>
      <c r="J10" s="277" t="s">
        <v>9</v>
      </c>
      <c r="K10" s="1261">
        <f>B11</f>
        <v>0</v>
      </c>
      <c r="L10" s="597"/>
      <c r="M10" s="609" t="s">
        <v>9</v>
      </c>
      <c r="N10" s="597"/>
      <c r="O10" s="280" t="s">
        <v>9</v>
      </c>
    </row>
    <row r="11" spans="1:17" ht="16.5" thickBot="1">
      <c r="A11" s="554" t="s">
        <v>421</v>
      </c>
      <c r="B11" s="561">
        <f>B10+B9-B8</f>
        <v>0</v>
      </c>
      <c r="C11" s="526"/>
      <c r="D11" s="526"/>
      <c r="E11" s="786" t="s">
        <v>533</v>
      </c>
      <c r="F11" s="973">
        <f>+F10+F9-F8+F7</f>
        <v>0</v>
      </c>
      <c r="G11" s="964" t="s">
        <v>9</v>
      </c>
      <c r="H11" s="527"/>
      <c r="I11" s="1187" t="s">
        <v>58</v>
      </c>
      <c r="J11" s="277" t="s">
        <v>9</v>
      </c>
      <c r="K11" s="1261">
        <f>B19</f>
        <v>-23.819000000000003</v>
      </c>
      <c r="L11" s="597"/>
      <c r="M11" s="264" t="s">
        <v>9</v>
      </c>
      <c r="N11" s="597"/>
      <c r="O11" s="262"/>
    </row>
    <row r="12" spans="1:17" ht="16.5" thickBot="1">
      <c r="A12" s="550" t="s">
        <v>9</v>
      </c>
      <c r="B12" s="555" t="s">
        <v>9</v>
      </c>
      <c r="C12" s="963" t="s">
        <v>58</v>
      </c>
      <c r="D12" s="553"/>
      <c r="E12" s="1179" t="s">
        <v>9</v>
      </c>
      <c r="F12" s="1178" t="s">
        <v>773</v>
      </c>
      <c r="G12" s="354"/>
      <c r="H12" s="1130"/>
      <c r="I12" s="1187" t="s">
        <v>755</v>
      </c>
      <c r="J12" s="277" t="s">
        <v>9</v>
      </c>
      <c r="K12" s="1261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92.5</v>
      </c>
      <c r="C13" s="308"/>
      <c r="D13" s="544"/>
      <c r="E13" s="576" t="s">
        <v>462</v>
      </c>
      <c r="F13" s="1117" t="s">
        <v>9</v>
      </c>
      <c r="G13" s="569" t="s">
        <v>9</v>
      </c>
      <c r="H13" s="1133" t="s">
        <v>9</v>
      </c>
      <c r="I13" s="1187" t="s">
        <v>756</v>
      </c>
      <c r="J13" s="281" t="s">
        <v>9</v>
      </c>
      <c r="K13" s="1261">
        <f>B34</f>
        <v>203.505</v>
      </c>
      <c r="L13" s="597"/>
      <c r="M13" s="264" t="s">
        <v>9</v>
      </c>
      <c r="N13" s="597"/>
      <c r="O13" s="262"/>
    </row>
    <row r="14" spans="1:17">
      <c r="A14" s="420" t="s">
        <v>426</v>
      </c>
      <c r="B14" s="319">
        <f>PGL_Supplies!L7/1000</f>
        <v>0</v>
      </c>
      <c r="C14" s="308"/>
      <c r="D14" s="544"/>
      <c r="E14" s="356" t="s">
        <v>463</v>
      </c>
      <c r="F14" s="308"/>
      <c r="G14" s="535"/>
      <c r="H14" s="1134"/>
      <c r="I14" s="1187" t="s">
        <v>400</v>
      </c>
      <c r="J14" s="277" t="s">
        <v>9</v>
      </c>
      <c r="K14" s="1263">
        <f>F5</f>
        <v>23.193000000000001</v>
      </c>
      <c r="L14" s="597"/>
      <c r="M14" s="264" t="s">
        <v>9</v>
      </c>
      <c r="N14" s="597"/>
      <c r="O14" s="262"/>
    </row>
    <row r="15" spans="1:17" ht="16.5" thickBot="1">
      <c r="A15" s="420" t="s">
        <v>427</v>
      </c>
      <c r="B15" s="319">
        <f>SUM(PGL_Requirements!B7/1000)</f>
        <v>0</v>
      </c>
      <c r="C15" s="308"/>
      <c r="D15" s="1125"/>
      <c r="E15" s="1181" t="s">
        <v>654</v>
      </c>
      <c r="F15" s="971"/>
      <c r="G15" s="1088"/>
      <c r="H15" s="1148"/>
      <c r="I15" s="1187" t="s">
        <v>757</v>
      </c>
      <c r="J15" s="277" t="s">
        <v>158</v>
      </c>
      <c r="K15" s="1261">
        <f>F11</f>
        <v>0</v>
      </c>
      <c r="L15" s="597"/>
      <c r="M15" s="264" t="s">
        <v>9</v>
      </c>
      <c r="N15" s="597"/>
      <c r="O15" s="262"/>
    </row>
    <row r="16" spans="1:17" ht="16.5" thickBot="1">
      <c r="A16" s="420" t="s">
        <v>428</v>
      </c>
      <c r="B16" s="319">
        <f>PGL_Supplies!G7/1000</f>
        <v>1.881</v>
      </c>
      <c r="C16" s="308"/>
      <c r="D16" s="1125"/>
      <c r="E16" s="1182" t="s">
        <v>9</v>
      </c>
      <c r="F16" s="1143" t="s">
        <v>455</v>
      </c>
      <c r="G16" s="1225"/>
      <c r="H16" s="1183"/>
      <c r="I16" s="1187" t="s">
        <v>534</v>
      </c>
      <c r="J16" s="277" t="s">
        <v>158</v>
      </c>
      <c r="K16" s="1263">
        <f>PGL_Supplies!B7/1000</f>
        <v>0</v>
      </c>
      <c r="L16" s="597"/>
      <c r="M16" s="264" t="s">
        <v>9</v>
      </c>
      <c r="N16" s="597"/>
      <c r="O16" s="262"/>
    </row>
    <row r="17" spans="1:15" ht="15" customHeight="1" thickBot="1">
      <c r="A17" s="365" t="s">
        <v>691</v>
      </c>
      <c r="B17" s="319">
        <f>PGL_Requirements!Q7/1000</f>
        <v>0.2</v>
      </c>
      <c r="C17" s="308"/>
      <c r="D17" s="1125"/>
      <c r="E17" s="537" t="s">
        <v>456</v>
      </c>
      <c r="F17" s="557">
        <f>+PGL_Supplies!J7/1000</f>
        <v>0</v>
      </c>
      <c r="G17" s="1208" t="s">
        <v>9</v>
      </c>
      <c r="H17" s="1135" t="s">
        <v>9</v>
      </c>
      <c r="I17" s="1180" t="s">
        <v>535</v>
      </c>
      <c r="J17" s="302" t="s">
        <v>9</v>
      </c>
      <c r="K17" s="1264">
        <f>-PGL_Requirements!F7/1000</f>
        <v>-0.19</v>
      </c>
      <c r="L17" s="597"/>
      <c r="M17" s="264"/>
      <c r="N17" s="597"/>
      <c r="O17" s="262"/>
    </row>
    <row r="18" spans="1:15" ht="16.5" thickBot="1">
      <c r="A18" s="420" t="s">
        <v>692</v>
      </c>
      <c r="B18" s="319">
        <f>PGL_Requirements!P7/1000</f>
        <v>1.3875</v>
      </c>
      <c r="C18" s="344"/>
      <c r="D18" s="1126"/>
      <c r="E18" s="631" t="s">
        <v>9</v>
      </c>
      <c r="F18" s="1143" t="s">
        <v>742</v>
      </c>
      <c r="G18" s="969"/>
      <c r="H18" s="1132"/>
      <c r="I18" t="s">
        <v>771</v>
      </c>
      <c r="J18" s="1044"/>
      <c r="K18" s="1265">
        <f>-F19</f>
        <v>-84.765000000000001</v>
      </c>
      <c r="L18" s="1044"/>
      <c r="M18" s="221"/>
      <c r="N18" s="1044"/>
      <c r="O18" s="799"/>
    </row>
    <row r="19" spans="1:15" ht="16.5" thickBot="1">
      <c r="A19" s="513" t="s">
        <v>430</v>
      </c>
      <c r="B19" s="1206">
        <f>-B13+B14+B16-B17-B15+B20+B21</f>
        <v>-23.819000000000003</v>
      </c>
      <c r="C19" s="515"/>
      <c r="D19" s="527"/>
      <c r="E19" s="1144" t="s">
        <v>743</v>
      </c>
      <c r="F19" s="1209">
        <f>PGL_Requirements!J7/1000</f>
        <v>84.765000000000001</v>
      </c>
      <c r="G19" s="1033" t="s">
        <v>9</v>
      </c>
      <c r="H19" s="1145" t="s">
        <v>9</v>
      </c>
      <c r="I19" t="s">
        <v>536</v>
      </c>
      <c r="J19" s="1212"/>
      <c r="K19" s="1266">
        <f>-F24</f>
        <v>-90.375</v>
      </c>
      <c r="L19" s="1212"/>
      <c r="M19" s="157"/>
      <c r="N19" s="1212"/>
      <c r="O19" s="1211"/>
    </row>
    <row r="20" spans="1:15" ht="16.5" thickBot="1">
      <c r="A20" s="327" t="s">
        <v>204</v>
      </c>
      <c r="B20" s="319">
        <v>67</v>
      </c>
      <c r="C20" s="518"/>
      <c r="D20" s="1127"/>
      <c r="E20" s="119"/>
      <c r="F20" s="119"/>
      <c r="G20" s="119"/>
      <c r="H20" s="1156"/>
      <c r="I20" s="1188" t="s">
        <v>654</v>
      </c>
      <c r="J20" s="612" t="s">
        <v>9</v>
      </c>
      <c r="K20" s="1267">
        <f>SUM(K8:K19)</f>
        <v>128.73899999999998</v>
      </c>
      <c r="L20" s="616" t="s">
        <v>9</v>
      </c>
      <c r="M20" s="506" t="s">
        <v>9</v>
      </c>
      <c r="N20" s="616" t="s">
        <v>9</v>
      </c>
      <c r="O20" s="617"/>
    </row>
    <row r="21" spans="1:15" ht="16.5" thickBot="1">
      <c r="A21" s="420" t="s">
        <v>202</v>
      </c>
      <c r="B21" s="1121">
        <v>0</v>
      </c>
      <c r="C21" s="545"/>
      <c r="D21" s="1128"/>
      <c r="E21" s="1146" t="s">
        <v>744</v>
      </c>
      <c r="F21" s="1177">
        <v>0</v>
      </c>
      <c r="G21" s="1045"/>
      <c r="H21" s="431"/>
      <c r="I21" s="492" t="s">
        <v>36</v>
      </c>
      <c r="J21" s="500" t="s">
        <v>9</v>
      </c>
      <c r="K21" s="947"/>
      <c r="L21" s="502"/>
      <c r="M21" s="502" t="s">
        <v>753</v>
      </c>
      <c r="N21" s="502"/>
      <c r="O21" s="948"/>
    </row>
    <row r="22" spans="1:15" ht="15.75" thickBot="1">
      <c r="A22" s="1122" t="s">
        <v>735</v>
      </c>
      <c r="B22" s="1109">
        <f>SUM(B4)</f>
        <v>0</v>
      </c>
      <c r="C22" s="1123"/>
      <c r="D22" s="1124"/>
      <c r="E22" s="1146" t="s">
        <v>745</v>
      </c>
      <c r="F22" s="1177">
        <v>0</v>
      </c>
      <c r="G22" s="1045"/>
      <c r="H22" s="431"/>
      <c r="I22" s="1187" t="s">
        <v>592</v>
      </c>
      <c r="J22" s="277" t="s">
        <v>9</v>
      </c>
      <c r="K22" s="1268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26" t="s">
        <v>67</v>
      </c>
      <c r="D23" s="1132"/>
      <c r="E23" s="1147" t="s">
        <v>746</v>
      </c>
      <c r="F23" s="1197">
        <v>0</v>
      </c>
      <c r="G23" s="971"/>
      <c r="H23" s="1148"/>
      <c r="I23" s="1187" t="s">
        <v>403</v>
      </c>
      <c r="J23" s="277" t="s">
        <v>9</v>
      </c>
      <c r="K23" s="1261">
        <f>K5+K6-K20</f>
        <v>91.261000000000024</v>
      </c>
      <c r="L23" s="261"/>
      <c r="M23" s="609" t="s">
        <v>9</v>
      </c>
      <c r="N23" s="261"/>
      <c r="O23" s="291"/>
    </row>
    <row r="24" spans="1:15" ht="16.5" thickBot="1">
      <c r="A24" s="420" t="s">
        <v>424</v>
      </c>
      <c r="B24" s="319">
        <f>PGL_Supplies!C7/1000</f>
        <v>0</v>
      </c>
      <c r="C24" s="347"/>
      <c r="D24" s="1125"/>
      <c r="E24" s="546" t="s">
        <v>747</v>
      </c>
      <c r="F24" s="1209">
        <f>PGL_Requirements!G7/1000*0.5</f>
        <v>90.375</v>
      </c>
      <c r="G24" s="1033"/>
      <c r="H24" s="1016"/>
      <c r="I24" s="1189" t="s">
        <v>404</v>
      </c>
      <c r="J24" s="277" t="s">
        <v>9</v>
      </c>
      <c r="K24" s="1261"/>
      <c r="L24" s="292" t="s">
        <v>9</v>
      </c>
      <c r="M24" s="949"/>
      <c r="N24" s="292" t="s">
        <v>9</v>
      </c>
      <c r="O24" s="291"/>
    </row>
    <row r="25" spans="1:15" ht="16.5" thickBot="1">
      <c r="A25" s="420" t="s">
        <v>739</v>
      </c>
      <c r="B25" s="966">
        <f>PGL_Supplies!C7/1000</f>
        <v>0</v>
      </c>
      <c r="C25" s="1205"/>
      <c r="D25" s="1125"/>
      <c r="E25" s="1149" t="s">
        <v>748</v>
      </c>
      <c r="F25" s="1198"/>
      <c r="G25" s="1150"/>
      <c r="H25" s="1151"/>
      <c r="I25" s="1187" t="s">
        <v>405</v>
      </c>
      <c r="J25" s="950" t="s">
        <v>9</v>
      </c>
      <c r="K25" s="1269">
        <f>SUM(B18+B20+B21)</f>
        <v>68.387500000000003</v>
      </c>
      <c r="L25" s="951"/>
      <c r="M25" s="1223"/>
      <c r="N25" s="952" t="s">
        <v>9</v>
      </c>
      <c r="O25" s="255"/>
    </row>
    <row r="26" spans="1:15" ht="17.25" thickTop="1" thickBot="1">
      <c r="A26" s="420" t="s">
        <v>104</v>
      </c>
      <c r="B26" s="966">
        <f>PGL_Supplies!Z7/1000</f>
        <v>0</v>
      </c>
      <c r="C26" s="308"/>
      <c r="D26" s="1125"/>
      <c r="E26" s="119"/>
      <c r="F26" s="1062"/>
      <c r="G26" s="119"/>
      <c r="H26" s="158"/>
      <c r="I26" s="1190" t="s">
        <v>406</v>
      </c>
      <c r="J26" s="953" t="s">
        <v>9</v>
      </c>
      <c r="K26" s="1270">
        <f>SUM(K23:K25)</f>
        <v>159.64850000000001</v>
      </c>
      <c r="L26" s="953" t="s">
        <v>9</v>
      </c>
      <c r="M26" s="609"/>
      <c r="N26" s="954" t="s">
        <v>9</v>
      </c>
      <c r="O26" s="955" t="s">
        <v>9</v>
      </c>
    </row>
    <row r="27" spans="1:15" ht="15.75" customHeight="1" thickTop="1" thickBot="1">
      <c r="A27" s="420" t="s">
        <v>740</v>
      </c>
      <c r="B27" s="319">
        <f>PGL_Supplies!R7/1000</f>
        <v>0</v>
      </c>
      <c r="C27" s="347"/>
      <c r="D27" s="1125"/>
      <c r="E27" s="1144" t="s">
        <v>749</v>
      </c>
      <c r="F27" s="1196"/>
      <c r="G27" s="1033"/>
      <c r="H27" s="1145"/>
      <c r="I27" s="1191" t="s">
        <v>686</v>
      </c>
      <c r="J27" s="956"/>
      <c r="K27" s="1268">
        <f>SUM(-PGL_Supplies!L7/1000)</f>
        <v>0</v>
      </c>
      <c r="L27" s="1036"/>
      <c r="M27" s="1037"/>
      <c r="N27" s="509"/>
      <c r="O27" s="959"/>
    </row>
    <row r="28" spans="1:15" ht="16.5" thickBot="1">
      <c r="A28" s="554" t="s">
        <v>421</v>
      </c>
      <c r="B28" s="964">
        <f>-B24+B25+B26+B27</f>
        <v>0</v>
      </c>
      <c r="C28" s="965"/>
      <c r="D28" s="527"/>
      <c r="E28" s="119"/>
      <c r="F28" s="1062"/>
      <c r="G28" s="119"/>
      <c r="H28" s="158"/>
      <c r="I28" s="1187" t="s">
        <v>414</v>
      </c>
      <c r="J28" s="960"/>
      <c r="K28" s="1264">
        <f>PGL_Requirements!N7/1000</f>
        <v>0</v>
      </c>
      <c r="L28" s="302"/>
      <c r="M28" s="946" t="s">
        <v>9</v>
      </c>
      <c r="N28" s="509"/>
      <c r="O28" s="957" t="s">
        <v>9</v>
      </c>
    </row>
    <row r="29" spans="1:15" ht="16.5" thickBot="1">
      <c r="A29" s="353" t="s">
        <v>9</v>
      </c>
      <c r="B29" s="1221" t="s">
        <v>399</v>
      </c>
      <c r="C29" s="354"/>
      <c r="D29" s="355"/>
      <c r="E29" s="1152" t="s">
        <v>447</v>
      </c>
      <c r="F29" s="1197"/>
      <c r="G29" s="971"/>
      <c r="H29" s="1153"/>
      <c r="I29" s="1187" t="s">
        <v>415</v>
      </c>
      <c r="J29" s="961"/>
      <c r="K29" s="1271">
        <f>-PGL_Supplies!K7/1000</f>
        <v>-131.02099999999999</v>
      </c>
      <c r="L29" s="302"/>
      <c r="M29" s="958" t="s">
        <v>9</v>
      </c>
      <c r="N29" s="509"/>
      <c r="O29" s="962" t="s">
        <v>9</v>
      </c>
    </row>
    <row r="30" spans="1:15" ht="15.75" thickBot="1">
      <c r="A30" s="365" t="s">
        <v>458</v>
      </c>
      <c r="B30" s="383">
        <f>PGL_Requirements!D7/1000</f>
        <v>0</v>
      </c>
      <c r="C30" s="535"/>
      <c r="D30" s="383" t="s">
        <v>9</v>
      </c>
      <c r="E30" s="1155" t="s">
        <v>750</v>
      </c>
      <c r="F30" s="1177"/>
      <c r="G30" s="1045"/>
      <c r="H30" s="1129"/>
      <c r="I30" s="1192" t="s">
        <v>183</v>
      </c>
      <c r="J30" s="1158"/>
      <c r="K30" s="1260">
        <f>-PGL_Supplies!AB7/1000</f>
        <v>-40.731000000000002</v>
      </c>
      <c r="L30" s="1159"/>
      <c r="M30" s="1061">
        <f>-PGL_Supplies!AB7/1000</f>
        <v>-40.731000000000002</v>
      </c>
      <c r="N30" s="1160"/>
      <c r="O30" s="1220">
        <f>-PGL_Supplies!AB7/1000</f>
        <v>-40.731000000000002</v>
      </c>
    </row>
    <row r="31" spans="1:15" ht="16.5" thickBot="1">
      <c r="A31" s="365" t="s">
        <v>459</v>
      </c>
      <c r="B31" s="966">
        <f>PGL_Supplies!D7/1000</f>
        <v>0</v>
      </c>
      <c r="C31" s="966" t="s">
        <v>9</v>
      </c>
      <c r="D31" s="967" t="s">
        <v>9</v>
      </c>
      <c r="E31" s="157" t="s">
        <v>751</v>
      </c>
      <c r="F31" s="1199"/>
      <c r="G31" s="1043"/>
      <c r="H31" s="1154"/>
      <c r="I31" s="324" t="s">
        <v>188</v>
      </c>
      <c r="J31" s="323"/>
      <c r="K31" s="1166"/>
      <c r="L31" s="1167"/>
      <c r="M31" s="326"/>
      <c r="N31" s="326"/>
      <c r="O31" s="326"/>
    </row>
    <row r="32" spans="1:15" ht="16.5" thickBot="1">
      <c r="A32" s="420" t="s">
        <v>104</v>
      </c>
      <c r="B32" s="966">
        <f>PGL_Supplies!AA7/1000+NSG_Supplies!M7/1000</f>
        <v>168.505</v>
      </c>
      <c r="C32" s="966" t="s">
        <v>9</v>
      </c>
      <c r="D32" s="967" t="s">
        <v>9</v>
      </c>
      <c r="E32" s="546" t="s">
        <v>752</v>
      </c>
      <c r="F32" s="1200"/>
      <c r="G32" s="425"/>
      <c r="H32" s="1016"/>
      <c r="I32" s="1191" t="s">
        <v>438</v>
      </c>
      <c r="J32" s="518"/>
      <c r="K32" s="1227"/>
      <c r="L32" s="1207" t="s">
        <v>758</v>
      </c>
      <c r="M32" s="119"/>
      <c r="N32" s="1234"/>
      <c r="O32" s="1232"/>
    </row>
    <row r="33" spans="1:15" ht="15.75" thickBot="1">
      <c r="A33" s="1116" t="s">
        <v>587</v>
      </c>
      <c r="B33" s="966">
        <f>PGL_Supplies!S7/1000</f>
        <v>70</v>
      </c>
      <c r="C33" s="966" t="s">
        <v>9</v>
      </c>
      <c r="D33" s="970"/>
      <c r="E33" s="119"/>
      <c r="F33" s="119"/>
      <c r="G33" s="119"/>
      <c r="H33" s="158"/>
      <c r="I33" s="1193" t="s">
        <v>439</v>
      </c>
      <c r="J33" s="1231"/>
      <c r="K33" s="1228"/>
      <c r="L33" s="1168" t="s">
        <v>447</v>
      </c>
      <c r="M33" s="1046"/>
      <c r="N33" s="1044"/>
      <c r="O33" s="799"/>
    </row>
    <row r="34" spans="1:15" ht="16.5" thickBot="1">
      <c r="A34" s="1171" t="s">
        <v>650</v>
      </c>
      <c r="B34" s="1196">
        <f>-B30+B31+B32+B33*0.5</f>
        <v>203.505</v>
      </c>
      <c r="C34" s="1033"/>
      <c r="D34" s="1018" t="s">
        <v>9</v>
      </c>
      <c r="E34" s="1247" t="s">
        <v>760</v>
      </c>
      <c r="F34" s="119"/>
      <c r="G34" s="119"/>
      <c r="H34" s="158"/>
      <c r="I34" s="1194" t="s">
        <v>440</v>
      </c>
      <c r="J34" s="544"/>
      <c r="K34" s="1229"/>
      <c r="L34" s="1168" t="s">
        <v>448</v>
      </c>
      <c r="M34" s="1046"/>
      <c r="N34" s="1044"/>
      <c r="O34" s="799"/>
    </row>
    <row r="35" spans="1:15">
      <c r="A35" s="1111" t="s">
        <v>768</v>
      </c>
      <c r="B35" s="1021"/>
      <c r="C35" s="1021"/>
      <c r="D35" s="1019" t="s">
        <v>9</v>
      </c>
      <c r="E35" s="1247" t="s">
        <v>807</v>
      </c>
      <c r="F35" s="119"/>
      <c r="G35" s="119"/>
      <c r="H35" s="158"/>
      <c r="I35" s="1194" t="s">
        <v>441</v>
      </c>
      <c r="J35" s="544"/>
      <c r="K35" s="1228"/>
      <c r="L35" s="1169" t="s">
        <v>449</v>
      </c>
      <c r="M35" s="1046"/>
      <c r="N35" s="1044"/>
      <c r="O35" s="799"/>
    </row>
    <row r="36" spans="1:15">
      <c r="A36" s="1112" t="s">
        <v>769</v>
      </c>
      <c r="B36" s="319">
        <f>B34-B35-B37</f>
        <v>113.13</v>
      </c>
      <c r="C36" s="1022" t="s">
        <v>9</v>
      </c>
      <c r="D36" s="1020" t="s">
        <v>9</v>
      </c>
      <c r="E36" s="1247" t="s">
        <v>759</v>
      </c>
      <c r="F36" s="119"/>
      <c r="G36" s="119"/>
      <c r="H36" s="158"/>
      <c r="I36" s="1194" t="s">
        <v>442</v>
      </c>
      <c r="J36" s="544"/>
      <c r="K36" s="1228"/>
      <c r="L36" s="1169" t="s">
        <v>381</v>
      </c>
      <c r="M36" s="1046"/>
      <c r="N36" s="1044"/>
      <c r="O36" s="799"/>
    </row>
    <row r="37" spans="1:15">
      <c r="A37" s="1113" t="s">
        <v>770</v>
      </c>
      <c r="B37" s="1218">
        <f>F24</f>
        <v>90.375</v>
      </c>
      <c r="C37" s="1044"/>
      <c r="D37" s="1105" t="s">
        <v>9</v>
      </c>
      <c r="E37" s="119"/>
      <c r="F37" s="119"/>
      <c r="G37" s="119"/>
      <c r="H37" s="119"/>
      <c r="I37" s="1217" t="s">
        <v>443</v>
      </c>
      <c r="J37" s="544"/>
      <c r="K37" s="1228"/>
      <c r="L37" s="1170" t="s">
        <v>450</v>
      </c>
      <c r="M37" s="1046"/>
      <c r="N37" s="1044"/>
      <c r="O37" s="799"/>
    </row>
    <row r="38" spans="1:15">
      <c r="A38" s="1245" t="s">
        <v>806</v>
      </c>
      <c r="B38" s="1177">
        <f>PGL_Requirements!J7/1000</f>
        <v>84.765000000000001</v>
      </c>
      <c r="C38" s="1045"/>
      <c r="D38" s="970"/>
      <c r="E38" s="119"/>
      <c r="F38" s="119"/>
      <c r="G38" s="119"/>
      <c r="H38" s="119"/>
      <c r="I38" s="1213" t="s">
        <v>444</v>
      </c>
      <c r="J38" s="544"/>
      <c r="K38" s="1228"/>
      <c r="L38" s="589" t="s">
        <v>451</v>
      </c>
      <c r="M38" s="119"/>
      <c r="N38" s="1249"/>
      <c r="O38" s="1250"/>
    </row>
    <row r="39" spans="1:15" ht="16.5" thickBot="1">
      <c r="A39" s="1118" t="s">
        <v>2</v>
      </c>
      <c r="B39" s="1219">
        <f>B35+B36+B37+B38</f>
        <v>288.27</v>
      </c>
      <c r="C39" s="1119"/>
      <c r="D39" s="1120" t="s">
        <v>9</v>
      </c>
      <c r="E39" s="119"/>
      <c r="F39" s="119"/>
      <c r="G39" s="119"/>
      <c r="H39" s="119"/>
      <c r="I39" s="1214" t="s">
        <v>445</v>
      </c>
      <c r="J39" s="579"/>
      <c r="K39" s="1230"/>
      <c r="L39" s="1251" t="s">
        <v>808</v>
      </c>
      <c r="M39" s="1089"/>
      <c r="N39" s="1252"/>
      <c r="O39" s="1233"/>
    </row>
    <row r="40" spans="1:15" ht="17.25" thickTop="1" thickBot="1">
      <c r="A40" s="1246" t="s">
        <v>9</v>
      </c>
      <c r="B40" s="433"/>
      <c r="C40" s="433"/>
      <c r="D40" s="433"/>
      <c r="E40" s="117"/>
      <c r="F40" s="117"/>
      <c r="G40" s="117"/>
      <c r="H40" s="117"/>
      <c r="I40" s="117"/>
      <c r="J40" s="975" t="s">
        <v>9</v>
      </c>
      <c r="K40" s="1172"/>
      <c r="L40" s="1248" t="s">
        <v>210</v>
      </c>
      <c r="M40" s="1253"/>
      <c r="N40" s="117" t="s">
        <v>9</v>
      </c>
      <c r="O40" s="1173"/>
    </row>
    <row r="41" spans="1:15" ht="15.75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74"/>
      <c r="K41" s="1174"/>
      <c r="L41" s="1175"/>
      <c r="M41" s="778"/>
      <c r="N41" s="778"/>
      <c r="O41" s="778"/>
    </row>
    <row r="42" spans="1:15">
      <c r="A42" s="1114"/>
      <c r="B42" s="119"/>
      <c r="C42" s="119"/>
      <c r="D42" s="1115"/>
      <c r="I42" s="119"/>
      <c r="J42" s="1164"/>
      <c r="K42" s="589"/>
      <c r="L42" s="1165"/>
    </row>
    <row r="43" spans="1:15">
      <c r="I43" s="119"/>
      <c r="J43" s="1164"/>
      <c r="K43" s="589"/>
      <c r="L43" s="1165"/>
    </row>
    <row r="44" spans="1:15">
      <c r="I44" s="119"/>
      <c r="J44" s="8"/>
      <c r="K44" s="8"/>
      <c r="L44" s="116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1034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TUE</v>
      </c>
      <c r="G1" s="1222">
        <f>Weather_Input!A5</f>
        <v>37096</v>
      </c>
      <c r="H1" s="584" t="s">
        <v>244</v>
      </c>
      <c r="I1" s="588"/>
    </row>
    <row r="2" spans="1:9" ht="20.25">
      <c r="A2" s="634" t="s">
        <v>9</v>
      </c>
      <c r="B2" s="780" t="s">
        <v>529</v>
      </c>
      <c r="C2" s="935" t="s">
        <v>9</v>
      </c>
      <c r="D2" s="782" t="s">
        <v>530</v>
      </c>
      <c r="E2" s="781"/>
      <c r="F2" s="782" t="s">
        <v>531</v>
      </c>
      <c r="G2" s="781"/>
      <c r="H2" s="783" t="s">
        <v>473</v>
      </c>
      <c r="I2" s="637"/>
    </row>
    <row r="3" spans="1:9" ht="20.25">
      <c r="A3" s="1026" t="s">
        <v>474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89</v>
      </c>
      <c r="C4" s="750">
        <f>Weather_Input!C5</f>
        <v>68</v>
      </c>
      <c r="D4" s="644"/>
      <c r="E4" s="645"/>
      <c r="F4" s="644"/>
      <c r="G4" s="645"/>
      <c r="H4" s="646"/>
      <c r="I4" s="647"/>
    </row>
    <row r="5" spans="1:9" ht="24" thickBot="1">
      <c r="A5" s="648" t="s">
        <v>134</v>
      </c>
      <c r="B5" s="649"/>
      <c r="C5" s="650">
        <f>NSG_Deliveries!C5/1000</f>
        <v>33.299999999999997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4" thickBot="1">
      <c r="A7" s="658" t="s">
        <v>84</v>
      </c>
      <c r="B7" s="649"/>
      <c r="C7" s="755">
        <f>C5-C9-C11-C12</f>
        <v>33.299999999999997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5" t="s">
        <v>601</v>
      </c>
      <c r="B9" s="667"/>
      <c r="C9" s="1042">
        <f>B45</f>
        <v>0</v>
      </c>
      <c r="D9" s="665"/>
      <c r="E9" s="666"/>
      <c r="F9" s="665"/>
      <c r="G9" s="665"/>
      <c r="H9" s="667"/>
      <c r="I9" s="668"/>
    </row>
    <row r="10" spans="1:9" ht="12" customHeight="1" thickBot="1">
      <c r="A10" s="811"/>
      <c r="B10" s="660"/>
      <c r="C10" s="655"/>
      <c r="D10" s="812"/>
      <c r="E10" s="661"/>
      <c r="F10" s="812"/>
      <c r="G10" s="812"/>
      <c r="H10" s="660"/>
      <c r="I10" s="813"/>
    </row>
    <row r="11" spans="1:9" ht="23.25">
      <c r="A11" s="662" t="s">
        <v>475</v>
      </c>
      <c r="B11" s="663"/>
      <c r="C11" s="664">
        <f>B37</f>
        <v>0</v>
      </c>
      <c r="D11" s="665"/>
      <c r="E11" s="666"/>
      <c r="F11" s="665"/>
      <c r="G11" s="665" t="s">
        <v>9</v>
      </c>
      <c r="H11" s="667"/>
      <c r="I11" s="668"/>
    </row>
    <row r="12" spans="1:9" ht="23.25">
      <c r="A12" s="669" t="s">
        <v>476</v>
      </c>
      <c r="B12" s="670"/>
      <c r="C12" s="671">
        <v>0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4" thickBot="1">
      <c r="A15" s="682" t="s">
        <v>477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4" thickBot="1">
      <c r="A17" s="688" t="s">
        <v>478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" thickBot="1">
      <c r="A18" s="694" t="s">
        <v>479</v>
      </c>
      <c r="B18" s="654"/>
      <c r="C18" s="655" t="s">
        <v>9</v>
      </c>
      <c r="D18" s="656"/>
      <c r="E18" s="655"/>
      <c r="F18" s="656"/>
      <c r="G18" s="502" t="s">
        <v>605</v>
      </c>
      <c r="H18" s="654"/>
      <c r="I18" s="816"/>
    </row>
    <row r="19" spans="1:9" ht="24" thickBot="1">
      <c r="A19" s="695" t="s">
        <v>406</v>
      </c>
      <c r="B19" s="696"/>
      <c r="C19" s="697">
        <f>C7+C12</f>
        <v>33.299999999999997</v>
      </c>
      <c r="D19" s="698"/>
      <c r="E19" s="699"/>
      <c r="F19" s="698"/>
      <c r="G19" s="698" t="s">
        <v>9</v>
      </c>
      <c r="H19" s="696"/>
      <c r="I19" s="700"/>
    </row>
    <row r="20" spans="1:9" ht="20.25">
      <c r="A20" s="701" t="s">
        <v>408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25">
      <c r="A21" s="705" t="s">
        <v>411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25">
      <c r="A22" s="705" t="s">
        <v>480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25">
      <c r="A23" s="701" t="s">
        <v>414</v>
      </c>
      <c r="B23" s="709"/>
      <c r="C23" s="703">
        <f>NSG_Requirements!H7/1000</f>
        <v>0</v>
      </c>
      <c r="D23" s="710"/>
      <c r="E23" s="703" t="s">
        <v>9</v>
      </c>
      <c r="F23" s="710"/>
      <c r="G23" s="703" t="s">
        <v>9</v>
      </c>
      <c r="H23" s="709"/>
      <c r="I23" s="703" t="s">
        <v>9</v>
      </c>
    </row>
    <row r="24" spans="1:9" ht="20.25">
      <c r="A24" s="701" t="s">
        <v>415</v>
      </c>
      <c r="B24" s="706"/>
      <c r="C24" s="703">
        <f>-NSG_Supplies!F7/1000</f>
        <v>-51.27</v>
      </c>
      <c r="D24" s="707"/>
      <c r="E24" s="703" t="s">
        <v>9</v>
      </c>
      <c r="F24" s="707"/>
      <c r="G24" s="703" t="s">
        <v>9</v>
      </c>
      <c r="H24" s="706"/>
      <c r="I24" s="703" t="s">
        <v>9</v>
      </c>
    </row>
    <row r="25" spans="1:9" ht="20.25">
      <c r="A25" s="701" t="s">
        <v>183</v>
      </c>
      <c r="B25" s="709"/>
      <c r="C25" s="703">
        <f>-NSG_Supplies!Q7/1000</f>
        <v>-27.285</v>
      </c>
      <c r="D25" s="710"/>
      <c r="E25" s="703">
        <f>-NSG_Supplies!Q7/1000</f>
        <v>-27.285</v>
      </c>
      <c r="F25" s="710"/>
      <c r="G25" s="703">
        <f>-NSG_Supplies!Q7/1000</f>
        <v>-27.285</v>
      </c>
      <c r="H25" s="709"/>
      <c r="I25" s="766">
        <f>-NSG_Supplies!Q7/1000</f>
        <v>-27.285</v>
      </c>
    </row>
    <row r="26" spans="1:9" ht="20.25">
      <c r="A26" s="701" t="s">
        <v>413</v>
      </c>
      <c r="B26" s="709"/>
      <c r="C26" s="703">
        <v>0</v>
      </c>
      <c r="D26" s="710"/>
      <c r="E26" s="703">
        <v>0</v>
      </c>
      <c r="F26" s="710"/>
      <c r="G26" s="703">
        <v>0</v>
      </c>
      <c r="H26" s="709"/>
      <c r="I26" s="766">
        <v>0</v>
      </c>
    </row>
    <row r="27" spans="1:9" ht="21" thickBot="1">
      <c r="A27" s="756" t="s">
        <v>506</v>
      </c>
      <c r="B27" s="712"/>
      <c r="C27" s="703">
        <f>-NSG_Supplies!G7/1000+NSG_Requirements!L7/1000</f>
        <v>0</v>
      </c>
      <c r="D27" s="707"/>
      <c r="E27" s="703">
        <f>-NSG_Supplies!G7/1000+NSG_Requirements!L7/1000</f>
        <v>0</v>
      </c>
      <c r="F27" s="707"/>
      <c r="G27" s="703">
        <f>-NSG_Supplies!G7/1000+NSG_Requirements!L7/1000</f>
        <v>0</v>
      </c>
      <c r="H27" s="712"/>
      <c r="I27" s="775">
        <f>-NSG_Supplies!G7/1000+NSG_Requirements!L7/1000</f>
        <v>0</v>
      </c>
    </row>
    <row r="28" spans="1:9" ht="24" thickBot="1">
      <c r="A28" s="714"/>
      <c r="B28" s="715"/>
      <c r="C28" s="716" t="s">
        <v>475</v>
      </c>
      <c r="D28" s="715"/>
      <c r="E28" s="717"/>
      <c r="F28" s="715"/>
      <c r="G28" s="718" t="s">
        <v>9</v>
      </c>
      <c r="H28" s="715"/>
      <c r="I28" s="719"/>
    </row>
    <row r="29" spans="1:9" ht="20.25">
      <c r="A29" s="773" t="s">
        <v>418</v>
      </c>
      <c r="B29" s="752">
        <f>NSG_Requirements!O7/1000</f>
        <v>0</v>
      </c>
      <c r="C29" s="721" t="s">
        <v>9</v>
      </c>
      <c r="D29" s="722"/>
      <c r="E29" s="723"/>
      <c r="F29" s="724" t="s">
        <v>269</v>
      </c>
      <c r="G29" s="725"/>
      <c r="H29" s="725"/>
      <c r="I29" s="726"/>
    </row>
    <row r="30" spans="1:9" ht="20.25">
      <c r="A30" s="774" t="s">
        <v>507</v>
      </c>
      <c r="B30" s="751">
        <f>NSG_Supplies!K7/1000+PGL_Requirements!V7/1000</f>
        <v>0</v>
      </c>
      <c r="C30" s="710"/>
      <c r="D30" s="728"/>
      <c r="E30" s="711"/>
      <c r="F30" s="635"/>
      <c r="G30" s="707"/>
      <c r="H30" s="707"/>
      <c r="I30" s="726"/>
    </row>
    <row r="31" spans="1:9" ht="20.25">
      <c r="A31" s="774" t="s">
        <v>508</v>
      </c>
      <c r="B31" s="751">
        <f>NSG_Supplies!L7/1000</f>
        <v>0</v>
      </c>
      <c r="C31" s="707"/>
      <c r="D31" s="729"/>
      <c r="E31" s="708"/>
      <c r="F31" s="635"/>
      <c r="G31" s="707"/>
      <c r="H31" s="707"/>
      <c r="I31" s="726"/>
    </row>
    <row r="32" spans="1:9" ht="20.25">
      <c r="A32" s="773" t="s">
        <v>481</v>
      </c>
      <c r="B32" s="753">
        <f>(NSG_Requirements!S7+NSG_Requirements!T7+NSG_Requirements!U7)/1000</f>
        <v>0</v>
      </c>
      <c r="C32" s="710"/>
      <c r="D32" s="728"/>
      <c r="E32" s="711"/>
      <c r="F32" s="635"/>
      <c r="G32" s="707"/>
      <c r="H32" s="707"/>
      <c r="I32" s="726"/>
    </row>
    <row r="33" spans="1:9" ht="20.25">
      <c r="A33" s="773" t="s">
        <v>86</v>
      </c>
      <c r="B33" s="751">
        <f>NSG_Requirements!D7/1000</f>
        <v>0</v>
      </c>
      <c r="C33" s="710"/>
      <c r="D33" s="728"/>
      <c r="E33" s="711"/>
      <c r="F33" s="635"/>
      <c r="G33" s="707"/>
      <c r="H33" s="707"/>
      <c r="I33" s="726"/>
    </row>
    <row r="34" spans="1:9" ht="20.25">
      <c r="A34" s="774" t="s">
        <v>493</v>
      </c>
      <c r="B34" s="753">
        <f>NSG_Requirements!B7/1000</f>
        <v>0</v>
      </c>
      <c r="C34" s="710"/>
      <c r="D34" s="728"/>
      <c r="E34" s="711"/>
      <c r="F34" s="635"/>
      <c r="G34" s="707"/>
      <c r="H34" s="707"/>
      <c r="I34" s="726"/>
    </row>
    <row r="35" spans="1:9" ht="20.25">
      <c r="A35" s="774" t="s">
        <v>494</v>
      </c>
      <c r="B35" s="753">
        <f>NSG_Supplies!B7/1000</f>
        <v>0</v>
      </c>
      <c r="C35" s="710"/>
      <c r="D35" s="728"/>
      <c r="E35" s="711"/>
      <c r="F35" s="635"/>
      <c r="G35" s="707"/>
      <c r="H35" s="707"/>
      <c r="I35" s="726"/>
    </row>
    <row r="36" spans="1:9" ht="21" thickBot="1">
      <c r="A36" s="773" t="s">
        <v>104</v>
      </c>
      <c r="B36" s="751">
        <f>NSG_Supplies!O7/1000</f>
        <v>0</v>
      </c>
      <c r="C36" s="731"/>
      <c r="D36" s="732"/>
      <c r="E36" s="713"/>
      <c r="F36" s="635"/>
      <c r="G36" s="707"/>
      <c r="H36" s="707"/>
      <c r="I36" s="726"/>
    </row>
    <row r="37" spans="1:9" ht="21" thickBot="1">
      <c r="A37" s="733" t="s">
        <v>482</v>
      </c>
      <c r="B37" s="754">
        <f>-B29+B30+B31-B32-B33-B34+B35+B36</f>
        <v>0</v>
      </c>
      <c r="C37" s="635"/>
      <c r="D37" s="734"/>
      <c r="E37" s="735"/>
      <c r="F37" s="635"/>
      <c r="G37" s="707"/>
      <c r="H37" s="707"/>
      <c r="I37" s="726"/>
    </row>
    <row r="38" spans="1:9" ht="24" thickBot="1">
      <c r="A38" s="714"/>
      <c r="B38" s="715"/>
      <c r="C38" s="817" t="s">
        <v>606</v>
      </c>
      <c r="D38" s="715"/>
      <c r="E38" s="717"/>
      <c r="F38" s="635"/>
      <c r="G38" s="707"/>
      <c r="H38" s="707"/>
      <c r="I38" s="726"/>
    </row>
    <row r="39" spans="1:9" ht="20.25">
      <c r="A39" s="701" t="s">
        <v>483</v>
      </c>
      <c r="B39" s="807">
        <v>0</v>
      </c>
      <c r="C39" s="635"/>
      <c r="D39" s="736"/>
      <c r="E39" s="737"/>
      <c r="F39" s="635"/>
      <c r="G39" s="707"/>
      <c r="H39" s="707"/>
      <c r="I39" s="726"/>
    </row>
    <row r="40" spans="1:9" ht="20.25">
      <c r="A40" s="701" t="s">
        <v>484</v>
      </c>
      <c r="B40" s="808">
        <f>NSG_Requirements!J7/1000</f>
        <v>12</v>
      </c>
      <c r="C40" s="710"/>
      <c r="D40" s="728"/>
      <c r="E40" s="711"/>
      <c r="F40" s="635"/>
      <c r="G40" s="707"/>
      <c r="H40" s="707"/>
      <c r="I40" s="726"/>
    </row>
    <row r="41" spans="1:9" ht="20.25">
      <c r="A41" s="701" t="s">
        <v>485</v>
      </c>
      <c r="B41" s="809">
        <f>NSG_Supplies!E7/1000</f>
        <v>0</v>
      </c>
      <c r="C41" s="635"/>
      <c r="D41" s="738"/>
      <c r="E41" s="739"/>
      <c r="F41" s="635"/>
      <c r="G41" s="707"/>
      <c r="H41" s="707"/>
      <c r="I41" s="726"/>
    </row>
    <row r="42" spans="1:9" ht="20.25">
      <c r="A42" s="701" t="s">
        <v>486</v>
      </c>
      <c r="B42" s="808">
        <v>0</v>
      </c>
      <c r="C42" s="710"/>
      <c r="D42" s="728"/>
      <c r="E42" s="711"/>
      <c r="F42" s="635"/>
      <c r="G42" s="707"/>
      <c r="H42" s="707"/>
      <c r="I42" s="726"/>
    </row>
    <row r="43" spans="1:9" ht="20.25">
      <c r="A43" s="701" t="s">
        <v>487</v>
      </c>
      <c r="B43" s="808">
        <v>0</v>
      </c>
      <c r="C43" s="710"/>
      <c r="D43" s="728"/>
      <c r="E43" s="711"/>
      <c r="F43" s="635"/>
      <c r="G43" s="707"/>
      <c r="H43" s="707"/>
      <c r="I43" s="726"/>
    </row>
    <row r="44" spans="1:9" ht="21" thickBot="1">
      <c r="A44" s="630" t="s">
        <v>602</v>
      </c>
      <c r="B44" s="809">
        <f>NSG_Supplies!P7/1000</f>
        <v>12</v>
      </c>
      <c r="C44" s="635"/>
      <c r="D44" s="738"/>
      <c r="E44" s="739"/>
      <c r="F44" s="635"/>
      <c r="G44" s="707"/>
      <c r="H44" s="707"/>
      <c r="I44" s="726"/>
    </row>
    <row r="45" spans="1:9" ht="21" thickBot="1">
      <c r="A45" s="733" t="s">
        <v>482</v>
      </c>
      <c r="B45" s="810">
        <f>B44+B41-B40</f>
        <v>0</v>
      </c>
      <c r="C45" s="741"/>
      <c r="D45" s="740"/>
      <c r="E45" s="742"/>
      <c r="F45" s="635"/>
      <c r="G45" s="707"/>
      <c r="H45" s="707"/>
      <c r="I45" s="726"/>
    </row>
    <row r="46" spans="1:9" ht="24" thickBot="1">
      <c r="A46" s="714"/>
      <c r="B46" s="715"/>
      <c r="C46" s="716" t="s">
        <v>67</v>
      </c>
      <c r="D46" s="715"/>
      <c r="E46" s="717"/>
      <c r="F46" s="635"/>
      <c r="G46" s="707"/>
      <c r="H46" s="707"/>
      <c r="I46" s="726"/>
    </row>
    <row r="47" spans="1:9" ht="20.25">
      <c r="A47" s="701" t="s">
        <v>488</v>
      </c>
      <c r="B47" s="720">
        <f>(NSG_Requirements!V7+NSG_Requirements!W7+NSG_Requirements!X7)/1000</f>
        <v>0</v>
      </c>
      <c r="C47" s="743"/>
      <c r="D47" s="728"/>
      <c r="E47" s="711"/>
      <c r="F47" s="635"/>
      <c r="G47" s="707"/>
      <c r="H47" s="707"/>
      <c r="I47" s="726"/>
    </row>
    <row r="48" spans="1:9" ht="20.25">
      <c r="A48" s="701" t="s">
        <v>489</v>
      </c>
      <c r="B48" s="727">
        <f>NSG_Requirements!M7/1000</f>
        <v>0</v>
      </c>
      <c r="C48" s="747"/>
      <c r="D48" s="747"/>
      <c r="E48" s="636"/>
      <c r="F48" s="635"/>
      <c r="G48" s="707"/>
      <c r="H48" s="707"/>
      <c r="I48" s="726"/>
    </row>
    <row r="49" spans="1:9" ht="20.25">
      <c r="A49" s="701" t="s">
        <v>86</v>
      </c>
      <c r="B49" s="727">
        <f>NSG_Requirements!E7/1000</f>
        <v>0</v>
      </c>
      <c r="C49" s="744"/>
      <c r="D49" s="738"/>
      <c r="E49" s="739"/>
      <c r="F49" s="635"/>
      <c r="G49" s="707"/>
      <c r="H49" s="707"/>
      <c r="I49" s="726"/>
    </row>
    <row r="50" spans="1:9" ht="21" thickBot="1">
      <c r="A50" s="701" t="s">
        <v>104</v>
      </c>
      <c r="B50" s="730">
        <f>NSG_Supplies!N7/1000</f>
        <v>0</v>
      </c>
      <c r="C50" s="743"/>
      <c r="D50" s="728"/>
      <c r="E50" s="711"/>
      <c r="F50" s="635"/>
      <c r="G50" s="707"/>
      <c r="H50" s="707"/>
      <c r="I50" s="726"/>
    </row>
    <row r="51" spans="1:9" ht="24" thickBot="1">
      <c r="A51" s="714"/>
      <c r="B51" s="715"/>
      <c r="C51" s="716" t="s">
        <v>490</v>
      </c>
      <c r="D51" s="715"/>
      <c r="E51" s="717"/>
      <c r="F51" s="635"/>
      <c r="G51" s="707"/>
      <c r="H51" s="707"/>
      <c r="I51" s="726"/>
    </row>
    <row r="52" spans="1:9" ht="20.25">
      <c r="A52" s="745" t="s">
        <v>491</v>
      </c>
      <c r="B52" s="746"/>
      <c r="C52" s="635"/>
      <c r="D52" s="736"/>
      <c r="E52" s="737"/>
      <c r="F52" s="635"/>
      <c r="G52" s="707"/>
      <c r="H52" s="707"/>
      <c r="I52" s="726"/>
    </row>
    <row r="53" spans="1:9" ht="21" thickBot="1">
      <c r="A53" s="748" t="s">
        <v>492</v>
      </c>
      <c r="B53" s="757"/>
      <c r="C53" s="758"/>
      <c r="D53" s="759"/>
      <c r="E53" s="760"/>
      <c r="F53" s="749"/>
      <c r="G53" s="761"/>
      <c r="H53" s="1028"/>
      <c r="I53" s="1027"/>
    </row>
    <row r="54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37096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510</v>
      </c>
      <c r="C3" s="448">
        <v>44</v>
      </c>
      <c r="D3" s="254"/>
      <c r="E3" s="254"/>
      <c r="F3" s="448" t="s">
        <v>374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89</v>
      </c>
      <c r="C5" s="261">
        <f>Weather_Input!C5</f>
        <v>68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220</v>
      </c>
      <c r="C8" s="269">
        <f>NSG_Deliveries!C5/1000</f>
        <v>33.299999999999997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127.611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23.193000000000001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8.6899999999999977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1.881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0.19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0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377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33.299999999999997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1.3875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33.299999999999997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0.2</v>
      </c>
      <c r="C27" s="305">
        <f>NSG_Requirements!P7/1000</f>
        <v>0</v>
      </c>
      <c r="D27" s="305">
        <f>PGL_Requirements!Q7/1000</f>
        <v>0.2</v>
      </c>
      <c r="E27" s="305">
        <f>NSG_Requirements!P7/1000</f>
        <v>0</v>
      </c>
      <c r="F27" s="305">
        <f>PGL_Requirements!Q7/1000</f>
        <v>0.2</v>
      </c>
      <c r="G27" s="305">
        <f>NSG_Requirements!P7/1000</f>
        <v>0</v>
      </c>
      <c r="H27" s="306">
        <f>+B27</f>
        <v>0.2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383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-40.731000000000002</v>
      </c>
      <c r="C32" s="310">
        <f>-NSG_Supplies!Q7/1000</f>
        <v>-27.285</v>
      </c>
      <c r="D32" s="310">
        <f>B32</f>
        <v>-40.731000000000002</v>
      </c>
      <c r="E32" s="310">
        <f>C32</f>
        <v>-27.285</v>
      </c>
      <c r="F32" s="310">
        <f>B32</f>
        <v>-40.731000000000002</v>
      </c>
      <c r="G32" s="310">
        <f>C32</f>
        <v>-27.285</v>
      </c>
      <c r="H32" s="315">
        <f>B32</f>
        <v>-40.731000000000002</v>
      </c>
      <c r="I32" s="316">
        <f>C32</f>
        <v>-27.285</v>
      </c>
    </row>
    <row r="33" spans="1:9" ht="17.100000000000001" customHeight="1">
      <c r="A33" s="314" t="s">
        <v>371</v>
      </c>
      <c r="B33" s="310">
        <f>-PGL_Supplies!W7/1000</f>
        <v>0</v>
      </c>
      <c r="C33" s="310">
        <f>-NSG_Supplies!R7/1000</f>
        <v>-15.952</v>
      </c>
      <c r="D33" s="310">
        <f>B33</f>
        <v>0</v>
      </c>
      <c r="E33" s="310">
        <f>C33</f>
        <v>-15.952</v>
      </c>
      <c r="F33" s="310">
        <f>B33</f>
        <v>0</v>
      </c>
      <c r="G33" s="310">
        <f>C33</f>
        <v>-15.952</v>
      </c>
      <c r="H33" s="315">
        <f>B33</f>
        <v>0</v>
      </c>
      <c r="I33" s="316">
        <f>C33</f>
        <v>-15.952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0</v>
      </c>
      <c r="C35" s="305">
        <f>NSG_Requirements!H7/1000</f>
        <v>0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-131.02099999999999</v>
      </c>
      <c r="C36" s="310">
        <f>-NSG_Supplies!F7/1000</f>
        <v>-51.27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384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391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92.5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1.881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1.3875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1.3875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1.881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388</v>
      </c>
      <c r="B50" s="319">
        <f>PGL_Supplies!U7/1000+PGL_Supplies!C7/1000</f>
        <v>127.611</v>
      </c>
      <c r="C50" s="308"/>
      <c r="D50" s="308"/>
      <c r="E50" s="308"/>
      <c r="F50" s="314" t="s">
        <v>380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127.611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371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472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0.2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393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390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371</v>
      </c>
      <c r="B64" s="319">
        <f>PGL_Supplies!X7/1000</f>
        <v>101.19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471</v>
      </c>
      <c r="B65" s="319">
        <f>PGL_Supplies!AC7/1000+PGL_Supplies!F7/1000-PGL_Requirements!E7/1000</f>
        <v>0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376</v>
      </c>
      <c r="I69" s="377"/>
    </row>
    <row r="70" spans="1:10" ht="17.100000000000001" customHeight="1">
      <c r="A70" s="327" t="s">
        <v>232</v>
      </c>
      <c r="B70" s="383">
        <f>PGL_Requirements!O7/1000</f>
        <v>92.5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4.4989999999999997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8.6899999999999977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TUE</v>
      </c>
      <c r="H73" s="401">
        <f>Weather_Input!A5</f>
        <v>37096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2" t="s">
        <v>398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75">
      <c r="A91" s="253"/>
      <c r="B91" s="604" t="s">
        <v>395</v>
      </c>
      <c r="C91" s="264" t="s">
        <v>9</v>
      </c>
      <c r="D91" s="596" t="s">
        <v>466</v>
      </c>
      <c r="E91" s="603"/>
      <c r="F91" s="601" t="s">
        <v>467</v>
      </c>
      <c r="G91" s="602"/>
      <c r="H91" s="600" t="s">
        <v>160</v>
      </c>
      <c r="I91" s="255"/>
    </row>
    <row r="92" spans="1:9" ht="15">
      <c r="A92" s="488" t="s">
        <v>396</v>
      </c>
      <c r="B92" s="595" t="s">
        <v>387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75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5" thickBot="1">
      <c r="A94" s="253" t="s">
        <v>397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5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1.881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127.611</v>
      </c>
      <c r="D99" s="615"/>
      <c r="E99" s="264"/>
      <c r="F99" s="597"/>
      <c r="G99" s="264"/>
      <c r="H99" s="597"/>
      <c r="I99" s="262"/>
    </row>
    <row r="100" spans="1:9" ht="15">
      <c r="A100" s="488" t="s">
        <v>399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400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101.19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0.19</v>
      </c>
      <c r="D103" s="615"/>
      <c r="E103" s="264"/>
      <c r="F103" s="597"/>
      <c r="G103" s="264"/>
      <c r="H103" s="597"/>
      <c r="I103" s="262"/>
    </row>
    <row r="104" spans="1:9" ht="15.75" thickBot="1">
      <c r="A104" s="287" t="s">
        <v>105</v>
      </c>
      <c r="B104" s="610" t="s">
        <v>9</v>
      </c>
      <c r="C104" s="618">
        <f>PGL_Supplies!B7/1000</f>
        <v>0</v>
      </c>
      <c r="D104" s="596"/>
      <c r="E104" s="264"/>
      <c r="F104" s="597"/>
      <c r="G104" s="264"/>
      <c r="H104" s="597"/>
      <c r="I104" s="262"/>
    </row>
    <row r="105" spans="1:9" ht="16.5" thickBot="1">
      <c r="A105" s="611" t="s">
        <v>401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5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402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403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404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75">
      <c r="A110" s="507" t="s">
        <v>405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5" thickBot="1">
      <c r="A111" s="508" t="s">
        <v>406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407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75">
      <c r="A113" s="420" t="s">
        <v>408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75">
      <c r="A114" s="327" t="s">
        <v>409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410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411</v>
      </c>
      <c r="B116" s="414">
        <f>-PGL_Supplies!Y7/1000</f>
        <v>-0.2</v>
      </c>
      <c r="C116" s="414">
        <f>-NSG_Supplies!V7/1000</f>
        <v>0</v>
      </c>
      <c r="D116" s="310">
        <f>-PGL_Supplies!Y7/1000</f>
        <v>-0.2</v>
      </c>
      <c r="E116" s="310">
        <f>-NSG_Supplies!V7/1000</f>
        <v>0</v>
      </c>
      <c r="F116" s="310">
        <f>-PGL_Supplies!Y7/1000</f>
        <v>-0.2</v>
      </c>
      <c r="G116" s="310">
        <f>-NSG_Supplies!V7/1000</f>
        <v>0</v>
      </c>
      <c r="H116" s="315">
        <f>-PGL_Supplies!Y7/1000</f>
        <v>-0.2</v>
      </c>
      <c r="I116" s="316">
        <f>-NSG_Supplies!V7/1000</f>
        <v>0</v>
      </c>
    </row>
    <row r="117" spans="1:9" ht="15">
      <c r="A117" s="420" t="s">
        <v>412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75">
      <c r="A118" s="420" t="s">
        <v>414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415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75">
      <c r="A121" s="420" t="s">
        <v>413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75">
      <c r="A122" s="420" t="s">
        <v>416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417</v>
      </c>
      <c r="B123" s="310">
        <f>-PGL_Supplies!W7/1000</f>
        <v>0</v>
      </c>
      <c r="C123" s="310">
        <f>-NSG_Supplies!R7/1000</f>
        <v>-15.952</v>
      </c>
      <c r="D123" s="308"/>
      <c r="E123" s="308"/>
      <c r="F123" s="308"/>
      <c r="G123" s="308"/>
      <c r="H123" s="312"/>
      <c r="I123" s="313"/>
    </row>
    <row r="124" spans="1:9" ht="16.5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418</v>
      </c>
      <c r="B125" s="310">
        <f>PGL_Requirements!T7/1000</f>
        <v>0.2</v>
      </c>
      <c r="F125" s="537" t="s">
        <v>9</v>
      </c>
      <c r="G125" s="538"/>
      <c r="H125" s="605"/>
      <c r="I125" s="331"/>
    </row>
    <row r="126" spans="1:9" ht="15">
      <c r="A126" s="420" t="s">
        <v>375</v>
      </c>
      <c r="B126" s="319">
        <f>PGL_Supplies!Q7/1000</f>
        <v>0</v>
      </c>
      <c r="C126" s="310" t="s">
        <v>9</v>
      </c>
      <c r="D126" s="308"/>
      <c r="E126" s="328"/>
      <c r="F126" s="420" t="s">
        <v>438</v>
      </c>
      <c r="G126" s="539"/>
      <c r="H126" s="544"/>
      <c r="I126" s="331"/>
    </row>
    <row r="127" spans="1:9" ht="15">
      <c r="A127" s="420" t="s">
        <v>468</v>
      </c>
      <c r="B127" s="310">
        <f>PGL_Requirements!N7/1000</f>
        <v>0</v>
      </c>
      <c r="C127" s="310" t="s">
        <v>9</v>
      </c>
      <c r="D127" s="308"/>
      <c r="E127" s="328"/>
      <c r="F127" s="420" t="s">
        <v>439</v>
      </c>
      <c r="G127" s="539"/>
      <c r="H127" s="312"/>
      <c r="I127" s="331"/>
    </row>
    <row r="128" spans="1:9" ht="15">
      <c r="A128" s="420" t="s">
        <v>408</v>
      </c>
      <c r="B128" s="310">
        <f>PGL_Requirements!H7/1000</f>
        <v>0</v>
      </c>
      <c r="C128" s="310" t="s">
        <v>9</v>
      </c>
      <c r="D128" s="308"/>
      <c r="E128" s="328"/>
      <c r="F128" s="420" t="s">
        <v>440</v>
      </c>
      <c r="G128" s="539"/>
      <c r="H128" s="312"/>
      <c r="I128" s="331"/>
    </row>
    <row r="129" spans="1:9" ht="15">
      <c r="A129" s="420" t="s">
        <v>419</v>
      </c>
      <c r="B129" s="310" t="e">
        <f>PGL_Requirements!#REF!/1000</f>
        <v>#REF!</v>
      </c>
      <c r="C129" s="308"/>
      <c r="D129" s="308"/>
      <c r="E129" s="328"/>
      <c r="F129" s="420" t="s">
        <v>441</v>
      </c>
      <c r="G129" s="539"/>
      <c r="H129" s="312"/>
      <c r="I129" s="331"/>
    </row>
    <row r="130" spans="1:9" ht="15">
      <c r="A130" s="420" t="s">
        <v>420</v>
      </c>
      <c r="B130" s="310">
        <f>PGL_Requirements!Z7/1000</f>
        <v>0</v>
      </c>
      <c r="C130" s="589"/>
      <c r="D130" s="308"/>
      <c r="E130" s="328"/>
      <c r="F130" s="420" t="s">
        <v>442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0.2</v>
      </c>
      <c r="C131" s="308"/>
      <c r="D131" s="308"/>
      <c r="E131" s="328"/>
      <c r="F131" s="365" t="s">
        <v>443</v>
      </c>
      <c r="G131" s="539"/>
      <c r="H131" s="312"/>
      <c r="I131" s="331"/>
    </row>
    <row r="132" spans="1:9" ht="15.75" thickBot="1">
      <c r="A132" s="420" t="s">
        <v>371</v>
      </c>
      <c r="B132" s="319">
        <f>PGL_Supplies!T7/1000</f>
        <v>0</v>
      </c>
      <c r="C132" s="344"/>
      <c r="D132" s="344"/>
      <c r="E132" s="549"/>
      <c r="F132" s="420" t="s">
        <v>444</v>
      </c>
      <c r="G132" s="539"/>
      <c r="H132" s="312"/>
      <c r="I132" s="331"/>
    </row>
    <row r="133" spans="1:9" ht="16.5" thickBot="1">
      <c r="A133" s="554" t="s">
        <v>421</v>
      </c>
      <c r="B133" s="561" t="e">
        <f>B126+B127+B130+B131+B132-B125-B128-B129</f>
        <v>#REF!</v>
      </c>
      <c r="C133" s="526"/>
      <c r="D133" s="526"/>
      <c r="E133" s="516"/>
      <c r="F133" s="420" t="s">
        <v>445</v>
      </c>
      <c r="G133" s="539"/>
      <c r="H133" s="312"/>
      <c r="I133" s="331"/>
    </row>
    <row r="134" spans="1:9" ht="15.75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446</v>
      </c>
      <c r="G134" s="540"/>
      <c r="H134" s="312"/>
      <c r="I134" s="331"/>
    </row>
    <row r="135" spans="1:9" ht="15">
      <c r="A135" s="420" t="s">
        <v>408</v>
      </c>
      <c r="B135" s="132">
        <f>PGL_Requirements!I7</f>
        <v>0</v>
      </c>
      <c r="C135" s="8"/>
      <c r="D135" s="8"/>
      <c r="E135" s="8"/>
      <c r="F135" s="542" t="s">
        <v>447</v>
      </c>
      <c r="G135" s="540"/>
      <c r="H135" s="345"/>
      <c r="I135" s="331"/>
    </row>
    <row r="136" spans="1:9" ht="15">
      <c r="A136" s="420" t="s">
        <v>422</v>
      </c>
      <c r="B136" s="319">
        <f>NSG_Supplies!N7/1011</f>
        <v>0</v>
      </c>
      <c r="C136" s="308"/>
      <c r="D136" s="308"/>
      <c r="E136" s="308"/>
      <c r="F136" s="420" t="s">
        <v>448</v>
      </c>
      <c r="G136" s="539"/>
      <c r="H136" s="347"/>
      <c r="I136" s="331"/>
    </row>
    <row r="137" spans="1:9" ht="15">
      <c r="A137" s="420" t="s">
        <v>423</v>
      </c>
      <c r="B137" s="319">
        <f>PGL_Supplies!Z7/1000</f>
        <v>0</v>
      </c>
      <c r="C137" s="589"/>
      <c r="D137" s="308"/>
      <c r="E137" s="308"/>
      <c r="F137" s="420" t="s">
        <v>449</v>
      </c>
      <c r="G137" s="539"/>
      <c r="H137" s="312"/>
      <c r="I137" s="331"/>
    </row>
    <row r="138" spans="1:9" ht="15">
      <c r="A138" s="420" t="s">
        <v>424</v>
      </c>
      <c r="B138" s="132">
        <f>PGL_Requirements!C7</f>
        <v>0</v>
      </c>
      <c r="C138" s="308"/>
      <c r="D138" s="308"/>
      <c r="E138" s="308"/>
      <c r="F138" s="420" t="s">
        <v>381</v>
      </c>
      <c r="G138" s="539"/>
      <c r="H138" s="347"/>
      <c r="I138" s="331"/>
    </row>
    <row r="139" spans="1:9" ht="15">
      <c r="A139" s="420" t="s">
        <v>425</v>
      </c>
      <c r="B139" s="319">
        <f>PGL_Supplies!C7/1000</f>
        <v>0</v>
      </c>
      <c r="C139" s="308"/>
      <c r="D139" s="308"/>
      <c r="E139" s="308"/>
      <c r="F139" s="365" t="s">
        <v>450</v>
      </c>
      <c r="G139" s="543"/>
      <c r="H139" s="534"/>
      <c r="I139" s="331"/>
    </row>
    <row r="140" spans="1:9" ht="15.75" thickBot="1">
      <c r="A140" s="420" t="s">
        <v>371</v>
      </c>
      <c r="B140" s="319">
        <f>PGL_Supplies!U7/1000</f>
        <v>127.611</v>
      </c>
      <c r="C140" s="344"/>
      <c r="D140" s="344"/>
      <c r="E140" s="344"/>
      <c r="F140" s="365" t="s">
        <v>451</v>
      </c>
      <c r="G140" s="543"/>
      <c r="H140" s="545"/>
      <c r="I140" s="331"/>
    </row>
    <row r="141" spans="1:9" ht="16.5" thickBot="1">
      <c r="A141" s="554" t="s">
        <v>421</v>
      </c>
      <c r="B141" s="556">
        <f>-B135+B136+B137-B138+B139+B140</f>
        <v>127.611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5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452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92.5</v>
      </c>
      <c r="C143" s="308"/>
      <c r="D143" s="308"/>
      <c r="E143" s="308"/>
      <c r="F143" s="563" t="s">
        <v>404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426</v>
      </c>
      <c r="B144" s="319">
        <f>PGL_Supplies!L7/1000</f>
        <v>0</v>
      </c>
      <c r="C144" s="308"/>
      <c r="D144" s="308"/>
      <c r="E144" s="308"/>
      <c r="F144" s="356" t="s">
        <v>453</v>
      </c>
      <c r="G144" s="308"/>
      <c r="H144" s="383" t="s">
        <v>9</v>
      </c>
      <c r="I144" s="361">
        <f>NSG_Supplies!N7/1000</f>
        <v>0</v>
      </c>
    </row>
    <row r="145" spans="1:9" ht="15.75" thickBot="1">
      <c r="A145" s="420" t="s">
        <v>427</v>
      </c>
      <c r="B145" s="319">
        <f>PGL_Requirements!B7/1000</f>
        <v>0</v>
      </c>
      <c r="C145" s="308"/>
      <c r="D145" s="308"/>
      <c r="E145" s="308"/>
      <c r="F145" s="532" t="s">
        <v>454</v>
      </c>
      <c r="G145" s="350"/>
      <c r="H145" s="521" t="s">
        <v>9</v>
      </c>
      <c r="I145" s="402"/>
    </row>
    <row r="146" spans="1:9" ht="15.75" thickBot="1">
      <c r="A146" s="420" t="s">
        <v>428</v>
      </c>
      <c r="B146" s="319">
        <f>PGL_Supplies!G7/1000</f>
        <v>1.881</v>
      </c>
      <c r="C146" s="308"/>
      <c r="D146" s="308"/>
      <c r="E146" s="308"/>
      <c r="F146" s="560" t="s">
        <v>430</v>
      </c>
      <c r="G146" s="526"/>
      <c r="H146" s="561" t="s">
        <v>9</v>
      </c>
      <c r="I146" s="562" t="e">
        <f>PGL_Requirements!#REF!/1000</f>
        <v>#REF!</v>
      </c>
    </row>
    <row r="147" spans="1:9" ht="16.5" thickBot="1">
      <c r="A147" s="365" t="s">
        <v>405</v>
      </c>
      <c r="B147" s="319" t="s">
        <v>9</v>
      </c>
      <c r="C147" s="308"/>
      <c r="D147" s="308"/>
      <c r="E147" s="308"/>
      <c r="F147" s="353" t="s">
        <v>455</v>
      </c>
      <c r="G147" s="354"/>
      <c r="H147" s="354"/>
      <c r="I147" s="355"/>
    </row>
    <row r="148" spans="1:9" ht="15.75" thickBot="1">
      <c r="A148" s="420" t="s">
        <v>429</v>
      </c>
      <c r="B148" s="319">
        <f>PGL_Requirements!P7/1000</f>
        <v>1.3875</v>
      </c>
      <c r="C148" s="344"/>
      <c r="D148" s="344"/>
      <c r="E148" s="344"/>
      <c r="F148" s="537" t="s">
        <v>456</v>
      </c>
      <c r="G148" s="538"/>
      <c r="H148" s="564" t="s">
        <v>9</v>
      </c>
      <c r="I148" s="565">
        <f>+NSG_Supplies!Y7/1000</f>
        <v>0</v>
      </c>
    </row>
    <row r="149" spans="1:9" ht="16.5" thickBot="1">
      <c r="A149" s="513" t="s">
        <v>430</v>
      </c>
      <c r="B149" s="514">
        <f>B144+B146</f>
        <v>1.881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75" thickBot="1">
      <c r="A150" s="420" t="s">
        <v>204</v>
      </c>
      <c r="B150" s="517">
        <f>PGL_Deliveries!AE5</f>
        <v>67765</v>
      </c>
      <c r="C150" s="518"/>
      <c r="D150" s="518"/>
      <c r="E150" s="519"/>
      <c r="F150" s="560" t="s">
        <v>430</v>
      </c>
      <c r="G150" s="526"/>
      <c r="H150" s="561" t="s">
        <v>9</v>
      </c>
      <c r="I150" s="562" t="e">
        <f>PGL_Requirements!#REF!/1000</f>
        <v>#REF!</v>
      </c>
    </row>
    <row r="151" spans="1:9" ht="16.5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399</v>
      </c>
      <c r="G151" s="354"/>
      <c r="H151" s="354"/>
      <c r="I151" s="355"/>
    </row>
    <row r="152" spans="1:9" ht="15.75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457</v>
      </c>
      <c r="G152" s="538"/>
      <c r="H152" s="569"/>
      <c r="I152" s="383">
        <f>PGL_Requirements!S7/1000</f>
        <v>0</v>
      </c>
    </row>
    <row r="153" spans="1:9" ht="15">
      <c r="A153" s="420" t="s">
        <v>431</v>
      </c>
      <c r="B153" s="383">
        <f>PGL_Requirements!M7/1000</f>
        <v>0</v>
      </c>
      <c r="C153" s="308"/>
      <c r="D153" s="308"/>
      <c r="E153" s="375"/>
      <c r="F153" s="533" t="s">
        <v>458</v>
      </c>
      <c r="G153" s="540"/>
      <c r="H153" s="535"/>
      <c r="I153" s="383">
        <f>PGL_Requirements!S7/1000</f>
        <v>0</v>
      </c>
    </row>
    <row r="154" spans="1:9" ht="15">
      <c r="A154" s="420" t="s">
        <v>432</v>
      </c>
      <c r="B154" s="319">
        <f>PGL_Supplies!AD7/1000</f>
        <v>0</v>
      </c>
      <c r="C154" s="376" t="s">
        <v>9</v>
      </c>
      <c r="D154" s="308"/>
      <c r="E154" s="377"/>
      <c r="F154" s="532" t="s">
        <v>459</v>
      </c>
      <c r="G154" s="539"/>
      <c r="H154" s="535"/>
      <c r="I154" s="319">
        <f>PGL_Supplies!AK7/1000</f>
        <v>0</v>
      </c>
    </row>
    <row r="155" spans="1:9" ht="15">
      <c r="A155" s="420" t="s">
        <v>433</v>
      </c>
      <c r="B155" s="383">
        <f>PGL_Requirements!E7/1000</f>
        <v>4.4989999999999997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75" thickBot="1">
      <c r="A156" s="420" t="s">
        <v>434</v>
      </c>
      <c r="B156" s="319">
        <f>PGL_Supplies!F7/1000</f>
        <v>0</v>
      </c>
      <c r="C156" s="384" t="s">
        <v>9</v>
      </c>
      <c r="D156" s="308"/>
      <c r="E156" s="377"/>
      <c r="F156" s="365" t="s">
        <v>371</v>
      </c>
      <c r="G156" s="568"/>
      <c r="H156" s="545"/>
      <c r="I156" s="319">
        <f>PGL_Supplies!AK9/1000</f>
        <v>0</v>
      </c>
    </row>
    <row r="157" spans="1:9" ht="15.75">
      <c r="A157" s="420" t="s">
        <v>435</v>
      </c>
      <c r="B157" s="383">
        <f>PGL_Requirements!S7/1000</f>
        <v>0</v>
      </c>
      <c r="C157" s="376" t="s">
        <v>9</v>
      </c>
      <c r="D157" s="308"/>
      <c r="E157" s="377"/>
      <c r="F157" s="570" t="s">
        <v>460</v>
      </c>
      <c r="G157" s="571"/>
      <c r="H157" s="569"/>
      <c r="I157" s="572">
        <v>0</v>
      </c>
    </row>
    <row r="158" spans="1:9" ht="15.75" thickBot="1">
      <c r="A158" s="420" t="s">
        <v>436</v>
      </c>
      <c r="B158" s="319">
        <f>PGL_Supplies!O7/1000</f>
        <v>0</v>
      </c>
      <c r="C158" s="384" t="s">
        <v>9</v>
      </c>
      <c r="D158" s="308"/>
      <c r="E158" s="486"/>
      <c r="F158" s="573" t="s">
        <v>461</v>
      </c>
      <c r="G158" s="387"/>
      <c r="H158" s="574"/>
      <c r="I158" s="575">
        <v>0</v>
      </c>
    </row>
    <row r="159" spans="1:9" ht="16.5" thickBot="1">
      <c r="A159" s="420" t="s">
        <v>104</v>
      </c>
      <c r="B159" s="319">
        <f>PGL_Supplies!AC7/1000</f>
        <v>4.4989999999999997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75" thickBot="1">
      <c r="A160" s="420" t="s">
        <v>371</v>
      </c>
      <c r="B160" s="606">
        <f>PGL_Supplies!X7/1000</f>
        <v>101.19</v>
      </c>
      <c r="C160" s="522" t="s">
        <v>9</v>
      </c>
      <c r="D160" s="344"/>
      <c r="E160" s="520"/>
      <c r="F160" s="576" t="s">
        <v>462</v>
      </c>
      <c r="G160" s="536" t="s">
        <v>9</v>
      </c>
      <c r="H160" s="518"/>
      <c r="I160" s="581"/>
    </row>
    <row r="161" spans="1:9" ht="16.5" thickBot="1">
      <c r="A161" s="590" t="s">
        <v>437</v>
      </c>
      <c r="B161" s="608"/>
      <c r="C161" s="528" t="s">
        <v>9</v>
      </c>
      <c r="D161" s="529"/>
      <c r="E161" s="530"/>
      <c r="F161" s="559" t="s">
        <v>463</v>
      </c>
      <c r="G161" s="344"/>
      <c r="H161" s="579"/>
      <c r="I161" s="580" t="s">
        <v>9</v>
      </c>
    </row>
    <row r="162" spans="1:9" ht="16.5" thickBot="1">
      <c r="A162" s="394" t="s">
        <v>430</v>
      </c>
      <c r="B162" s="607">
        <f>B154+B156+B158+B159+B160-B153-B155-B157-B161</f>
        <v>101.19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.75" thickBot="1">
      <c r="A163" s="591"/>
      <c r="B163" s="592" t="s">
        <v>464</v>
      </c>
      <c r="C163" s="592"/>
      <c r="D163" s="592" t="s">
        <v>465</v>
      </c>
      <c r="E163" s="592"/>
      <c r="F163" s="592"/>
      <c r="G163" s="592"/>
      <c r="H163" s="593" t="s">
        <v>244</v>
      </c>
      <c r="I163" s="594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4" t="s">
        <v>246</v>
      </c>
      <c r="D5" s="122" t="s">
        <v>360</v>
      </c>
      <c r="F5" s="194" t="s">
        <v>247</v>
      </c>
      <c r="G5" s="122" t="s">
        <v>361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362</v>
      </c>
    </row>
    <row r="9" spans="1:10">
      <c r="D9" s="122" t="s">
        <v>364</v>
      </c>
      <c r="G9" s="122" t="s">
        <v>363</v>
      </c>
    </row>
    <row r="10" spans="1:10">
      <c r="D10" s="122" t="s">
        <v>365</v>
      </c>
    </row>
    <row r="11" spans="1:10" ht="15.75">
      <c r="D11" s="194" t="s">
        <v>250</v>
      </c>
    </row>
    <row r="12" spans="1:10" ht="15.75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75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1" t="s">
        <v>369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37097.513168634257</v>
      </c>
      <c r="F22" s="161" t="s">
        <v>257</v>
      </c>
      <c r="G22" s="188">
        <f ca="1">NOW()</f>
        <v>37097.513168634257</v>
      </c>
    </row>
    <row r="24" spans="2:9">
      <c r="B24" s="161" t="s">
        <v>258</v>
      </c>
      <c r="D24" s="225" t="s">
        <v>385</v>
      </c>
      <c r="E24" t="s">
        <v>9</v>
      </c>
      <c r="F24" s="161" t="s">
        <v>259</v>
      </c>
      <c r="G24" s="162" t="s">
        <v>260</v>
      </c>
    </row>
    <row r="25" spans="2:9" ht="15.75" thickBot="1"/>
    <row r="26" spans="2:9" ht="15.75" thickBot="1">
      <c r="B26" s="206" t="s">
        <v>9</v>
      </c>
      <c r="C26" s="161" t="s">
        <v>261</v>
      </c>
    </row>
    <row r="27" spans="2:9" ht="15.75" thickBot="1">
      <c r="B27" s="206" t="s">
        <v>9</v>
      </c>
      <c r="C27" s="161" t="s">
        <v>262</v>
      </c>
    </row>
    <row r="28" spans="2:9" ht="15.75" thickBot="1">
      <c r="B28" s="206" t="s">
        <v>386</v>
      </c>
      <c r="C28" s="122" t="s">
        <v>366</v>
      </c>
    </row>
    <row r="29" spans="2:9">
      <c r="B29" t="s">
        <v>9</v>
      </c>
      <c r="C29" s="161" t="s">
        <v>367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75">
      <c r="B34" s="161" t="s">
        <v>264</v>
      </c>
      <c r="E34" s="187">
        <v>0</v>
      </c>
      <c r="F34" t="s">
        <v>265</v>
      </c>
    </row>
    <row r="36" spans="2:8" ht="15.75">
      <c r="B36" s="161" t="s">
        <v>266</v>
      </c>
      <c r="E36" s="187">
        <v>0</v>
      </c>
      <c r="F36" t="s">
        <v>265</v>
      </c>
    </row>
    <row r="38" spans="2:8" ht="15.75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75">
      <c r="E39" s="163">
        <f>+E38+1</f>
        <v>35917</v>
      </c>
      <c r="F39" s="187">
        <v>0</v>
      </c>
      <c r="G39" t="s">
        <v>265</v>
      </c>
    </row>
    <row r="40" spans="2:8" ht="15.75">
      <c r="E40" s="163">
        <f>+E39+1</f>
        <v>35918</v>
      </c>
      <c r="F40" s="187">
        <v>0</v>
      </c>
      <c r="G40" t="s">
        <v>265</v>
      </c>
    </row>
    <row r="41" spans="2:8" ht="15.75">
      <c r="E41" s="163">
        <f>+E40+1</f>
        <v>35919</v>
      </c>
      <c r="F41" s="187">
        <v>0</v>
      </c>
      <c r="G41" t="s">
        <v>265</v>
      </c>
    </row>
    <row r="42" spans="2:8" ht="15.75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368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Tuesday</v>
      </c>
      <c r="B5" s="21">
        <f>Weather_Input!A5</f>
        <v>37096</v>
      </c>
      <c r="C5" s="15"/>
      <c r="D5" s="22" t="s">
        <v>275</v>
      </c>
      <c r="E5" s="23">
        <f>Weather_Input!B5</f>
        <v>89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0</v>
      </c>
    </row>
    <row r="6" spans="1:109" ht="15">
      <c r="A6" s="18"/>
      <c r="B6" s="21"/>
      <c r="C6" s="15"/>
      <c r="D6" s="22" t="s">
        <v>162</v>
      </c>
      <c r="E6" s="23">
        <f>Weather_Input!C5</f>
        <v>68</v>
      </c>
      <c r="F6" s="24" t="s">
        <v>278</v>
      </c>
      <c r="G6" s="25">
        <f>Weather_Input!F5</f>
        <v>5</v>
      </c>
      <c r="H6" s="26" t="s">
        <v>279</v>
      </c>
      <c r="I6" s="27">
        <f ca="1">G6-(VLOOKUP(B5,DD_Normal_Data,CELL("Col",C7),FALSE))</f>
        <v>5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79.900000000000006</v>
      </c>
      <c r="F7" s="24" t="s">
        <v>281</v>
      </c>
      <c r="G7" s="25">
        <f>Weather_Input!G5</f>
        <v>93</v>
      </c>
      <c r="H7" s="26" t="s">
        <v>281</v>
      </c>
      <c r="I7" s="120">
        <f ca="1">G7-(VLOOKUP(B5,DD_Normal_Data,CELL("Col",D4),FALSE))</f>
        <v>-6329</v>
      </c>
      <c r="J7" s="120"/>
    </row>
    <row r="8" spans="1:109" ht="15">
      <c r="A8" s="18"/>
      <c r="B8" s="20"/>
      <c r="C8" s="15"/>
      <c r="D8" s="32" t="str">
        <f>IF(Weather_Input!I5=""," ",Weather_Input!I5)</f>
        <v>SUNNY LESS HUMID. HIGH NEAR 90 INLAND, LOW 80S NEAR THE LAKE. TONIGHT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INCREASING CLOUDS WITH A 40% CHANCE OF SHOWERS. LOW IN THE 60S.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Wednesday</v>
      </c>
      <c r="B10" s="21">
        <f>Weather_Input!A6</f>
        <v>37097</v>
      </c>
      <c r="C10" s="15"/>
      <c r="D10" s="150" t="s">
        <v>275</v>
      </c>
      <c r="E10" s="23">
        <f>Weather_Input!B6</f>
        <v>75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0</v>
      </c>
    </row>
    <row r="11" spans="1:109" ht="15">
      <c r="A11" s="18"/>
      <c r="B11" s="21"/>
      <c r="C11" s="15"/>
      <c r="D11" s="22" t="s">
        <v>162</v>
      </c>
      <c r="E11" s="23">
        <f>Weather_Input!C6</f>
        <v>60</v>
      </c>
      <c r="F11" s="24" t="s">
        <v>278</v>
      </c>
      <c r="G11" s="25">
        <f>IF(DAY(B10)=1,G10,G6+G10)</f>
        <v>5</v>
      </c>
      <c r="H11" s="30" t="s">
        <v>279</v>
      </c>
      <c r="I11" s="27">
        <f ca="1">G11-(VLOOKUP(B10,DD_Normal_Data,CELL("Col",C12),FALSE))</f>
        <v>5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67.5</v>
      </c>
      <c r="F12" s="24" t="s">
        <v>281</v>
      </c>
      <c r="G12" s="25">
        <f>IF(AND(DAY(B10)=1,MONTH(B10)=8),G10,G7+G10)</f>
        <v>93</v>
      </c>
      <c r="H12" s="26" t="s">
        <v>281</v>
      </c>
      <c r="I12" s="27">
        <f ca="1">G12-(VLOOKUP(B10,DD_Normal_Data,CELL("Col",D9),FALSE))</f>
        <v>-6329</v>
      </c>
    </row>
    <row r="13" spans="1:109" ht="15">
      <c r="A13" s="18"/>
      <c r="B13" s="21"/>
      <c r="C13" s="15"/>
      <c r="D13" s="32" t="str">
        <f>IF(Weather_Input!I6=""," ",Weather_Input!I6)</f>
        <v>CLOUDY WITH SCATTERED SHOWERS IN THE AM. BECOMING CLOUDY IN THE AFT-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TERNOON.COOLER WITH HIGHS IN THE UPPER 70S.  LOW 60-65  AT NIGHT.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Thursday</v>
      </c>
      <c r="B15" s="21">
        <f>Weather_Input!A7</f>
        <v>37098</v>
      </c>
      <c r="C15" s="15"/>
      <c r="D15" s="22" t="s">
        <v>275</v>
      </c>
      <c r="E15" s="23">
        <f>Weather_Input!B7</f>
        <v>75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58</v>
      </c>
      <c r="F16" s="24" t="s">
        <v>278</v>
      </c>
      <c r="G16" s="25">
        <f>IF(DAY(B15)=1,G15,G11+G15)</f>
        <v>5</v>
      </c>
      <c r="H16" s="30" t="s">
        <v>279</v>
      </c>
      <c r="I16" s="27">
        <f ca="1">G16-(VLOOKUP(B15,DD_Normal_Data,CELL("Col",C17),FALSE))</f>
        <v>5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66.5</v>
      </c>
      <c r="F17" s="24" t="s">
        <v>281</v>
      </c>
      <c r="G17" s="25">
        <f>IF(AND(DAY(B15)=1,MONTH(B15)=8),G15,G12+G15)</f>
        <v>93</v>
      </c>
      <c r="H17" s="26" t="s">
        <v>281</v>
      </c>
      <c r="I17" s="27">
        <f ca="1">G17-(VLOOKUP(B15,DD_Normal_Data,CELL("Col",D14),FALSE))</f>
        <v>-6329</v>
      </c>
    </row>
    <row r="18" spans="1:109" ht="15">
      <c r="A18" s="18"/>
      <c r="B18" s="20"/>
      <c r="C18" s="15"/>
      <c r="D18" s="32" t="str">
        <f>IF(Weather_Input!I7=""," ",Weather_Input!I7)</f>
        <v>PARTLY SUNNY. HIGH IN THE UPPER 70S BUT COOLER NEAR THE LAKE. FAIR LOW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>AROUND 60 AT NIGHT.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Friday</v>
      </c>
      <c r="B20" s="21">
        <f>Weather_Input!A8</f>
        <v>37099</v>
      </c>
      <c r="C20" s="15"/>
      <c r="D20" s="22" t="s">
        <v>275</v>
      </c>
      <c r="E20" s="23">
        <f>Weather_Input!B8</f>
        <v>79</v>
      </c>
      <c r="F20" s="24" t="s">
        <v>276</v>
      </c>
      <c r="G20" s="25">
        <f>IF(E22&lt;65,65-(Weather_Input!B8+Weather_Input!C8)/2,0)</f>
        <v>0</v>
      </c>
      <c r="H20" s="26" t="s">
        <v>277</v>
      </c>
      <c r="I20" s="27">
        <f ca="1">G20-(VLOOKUP(B20,DD_Normal_Data,CELL("Col",B21),FALSE))</f>
        <v>-1</v>
      </c>
    </row>
    <row r="21" spans="1:109" ht="15">
      <c r="A21" s="18"/>
      <c r="B21" s="21"/>
      <c r="C21" s="15"/>
      <c r="D21" s="22" t="s">
        <v>162</v>
      </c>
      <c r="E21" s="23">
        <f>Weather_Input!C8</f>
        <v>60</v>
      </c>
      <c r="F21" s="24" t="s">
        <v>278</v>
      </c>
      <c r="G21" s="25">
        <f>IF(DAY(B20)=1,G20,G16+G20)</f>
        <v>5</v>
      </c>
      <c r="H21" s="30" t="s">
        <v>279</v>
      </c>
      <c r="I21" s="27">
        <f ca="1">G21-(VLOOKUP(B20,DD_Normal_Data,CELL("Col",C22),FALSE))</f>
        <v>4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69.5</v>
      </c>
      <c r="F22" s="24" t="s">
        <v>281</v>
      </c>
      <c r="G22" s="25">
        <f>IF(AND(DAY(B20)=1,MONTH(B20)=8),G20,G17+G20)</f>
        <v>93</v>
      </c>
      <c r="H22" s="26" t="s">
        <v>281</v>
      </c>
      <c r="I22" s="27">
        <f ca="1">G22-(VLOOKUP(B20,DD_Normal_Data,CELL("Col",D19),FALSE))</f>
        <v>-6330</v>
      </c>
    </row>
    <row r="23" spans="1:109" ht="15">
      <c r="A23" s="18"/>
      <c r="B23" s="21"/>
      <c r="C23" s="15"/>
      <c r="D23" s="32" t="str">
        <f>IF(Weather_Input!I8=""," ",Weather_Input!I8)</f>
        <v>MOSTLY SUNNY. HIGH 75 TO 80  COOLER NEAR THE LAKE.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Saturday</v>
      </c>
      <c r="B25" s="21">
        <f>Weather_Input!A9</f>
        <v>37100</v>
      </c>
      <c r="C25" s="15"/>
      <c r="D25" s="22" t="s">
        <v>275</v>
      </c>
      <c r="E25" s="23">
        <f>Weather_Input!B9</f>
        <v>82</v>
      </c>
      <c r="F25" s="24" t="s">
        <v>276</v>
      </c>
      <c r="G25" s="25">
        <f>IF(E27&lt;65,65-(Weather_Input!B9+Weather_Input!C9)/2,0)</f>
        <v>0</v>
      </c>
      <c r="H25" s="26" t="s">
        <v>277</v>
      </c>
      <c r="I25" s="27">
        <f ca="1">G25-(VLOOKUP(B25,DD_Normal_Data,CELL("Col",B26),FALSE))</f>
        <v>-1</v>
      </c>
    </row>
    <row r="26" spans="1:109" ht="15">
      <c r="A26" s="18"/>
      <c r="B26" s="21"/>
      <c r="C26" s="15"/>
      <c r="D26" s="22" t="s">
        <v>162</v>
      </c>
      <c r="E26" s="23">
        <f>Weather_Input!C9</f>
        <v>65</v>
      </c>
      <c r="F26" s="24" t="s">
        <v>278</v>
      </c>
      <c r="G26" s="25">
        <f>IF(DAY(B25)=1,G25,G21+G25)</f>
        <v>5</v>
      </c>
      <c r="H26" s="30" t="s">
        <v>279</v>
      </c>
      <c r="I26" s="27">
        <f ca="1">G26-(VLOOKUP(B25,DD_Normal_Data,CELL("Col",C27),FALSE))</f>
        <v>3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73.5</v>
      </c>
      <c r="F27" s="24" t="s">
        <v>281</v>
      </c>
      <c r="G27" s="25">
        <f>IF(AND(DAY(B25)=1,MONTH(B25)=8),G25,G22+G25)</f>
        <v>93</v>
      </c>
      <c r="H27" s="26" t="s">
        <v>281</v>
      </c>
      <c r="I27" s="27">
        <f ca="1">G27-(VLOOKUP(B25,DD_Normal_Data,CELL("Col",D24),FALSE))</f>
        <v>-6331</v>
      </c>
    </row>
    <row r="28" spans="1:109" ht="15">
      <c r="A28" s="18"/>
      <c r="B28" s="20"/>
      <c r="C28" s="15"/>
      <c r="D28" s="32" t="str">
        <f>IF(Weather_Input!I9=""," ",Weather_Input!I9)</f>
        <v xml:space="preserve">PARTLY CLOUDY CHANCE OF T-STORMS. LOW IN THE LOWER 60S. HIGH IN THE 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>LOWER 80S. BUT A LITTLE COOLER NEAR THE LAKE.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Sunday</v>
      </c>
      <c r="B30" s="21">
        <f>Weather_Input!A10</f>
        <v>37101</v>
      </c>
      <c r="C30" s="15"/>
      <c r="D30" s="22" t="s">
        <v>275</v>
      </c>
      <c r="E30" s="23">
        <f>Weather_Input!B10</f>
        <v>87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-1</v>
      </c>
    </row>
    <row r="31" spans="1:109" ht="15">
      <c r="A31" s="15"/>
      <c r="B31" s="15"/>
      <c r="C31" s="15"/>
      <c r="D31" s="22" t="s">
        <v>162</v>
      </c>
      <c r="E31" s="23">
        <f>Weather_Input!C10</f>
        <v>69</v>
      </c>
      <c r="F31" s="24" t="s">
        <v>278</v>
      </c>
      <c r="G31" s="25">
        <f>IF(DAY(B30)=1,G30,G26+G30)</f>
        <v>5</v>
      </c>
      <c r="H31" s="30" t="s">
        <v>279</v>
      </c>
      <c r="I31" s="27">
        <f ca="1">G31-(VLOOKUP(B30,DD_Normal_Data,CELL("Col",C32),FALSE))</f>
        <v>2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78</v>
      </c>
      <c r="F32" s="24" t="s">
        <v>281</v>
      </c>
      <c r="G32" s="25">
        <f>IF(AND(DAY(B30)=1,MONTH(B30)=8),G30,G27+G30)</f>
        <v>93</v>
      </c>
      <c r="H32" s="26" t="s">
        <v>281</v>
      </c>
      <c r="I32" s="27">
        <f ca="1">G32-(VLOOKUP(B30,DD_Normal_Data,CELL("Col",D29),FALSE))</f>
        <v>-6332</v>
      </c>
    </row>
    <row r="33" spans="1:9" ht="15">
      <c r="A33" s="15"/>
      <c r="B33" s="34"/>
      <c r="C33" s="15"/>
      <c r="D33" s="32" t="str">
        <f>IF(Weather_Input!I10=""," ",Weather_Input!I10)</f>
        <v>CHANCE OF T-STORMS. LOW IN THE MIDDLE 60S . HIGH IN THE LOWER 80S.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37096</v>
      </c>
      <c r="C36" s="89">
        <f>B10</f>
        <v>37097</v>
      </c>
      <c r="D36" s="89">
        <f>B15</f>
        <v>37098</v>
      </c>
      <c r="E36" s="89">
        <f xml:space="preserve">       B20</f>
        <v>37099</v>
      </c>
      <c r="F36" s="89">
        <f>B25</f>
        <v>37100</v>
      </c>
      <c r="G36" s="89">
        <f>B30</f>
        <v>37101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220</v>
      </c>
      <c r="C37" s="41">
        <f ca="1">(VLOOKUP(C36,PGL_Sendouts,(CELL("COL",PGL_Deliveries!C7))))/1000</f>
        <v>195</v>
      </c>
      <c r="D37" s="41">
        <f ca="1">(VLOOKUP(D36,PGL_Sendouts,(CELL("COL",PGL_Deliveries!C8))))/1000</f>
        <v>195</v>
      </c>
      <c r="E37" s="41">
        <f ca="1">(VLOOKUP(E36,PGL_Sendouts,(CELL("COL",PGL_Deliveries!C9))))/1000</f>
        <v>185</v>
      </c>
      <c r="F37" s="41">
        <f ca="1">(VLOOKUP(F36,PGL_Sendouts,(CELL("COL",PGL_Deliveries!C10))))/1000</f>
        <v>175</v>
      </c>
      <c r="G37" s="41">
        <f ca="1">(VLOOKUP(G36,PGL_Sendouts,(CELL("COL",PGL_Deliveries!C10))))/1000</f>
        <v>180</v>
      </c>
      <c r="H37" s="14"/>
      <c r="I37" s="15"/>
    </row>
    <row r="38" spans="1:9" ht="15">
      <c r="A38" s="15" t="s">
        <v>286</v>
      </c>
      <c r="B38" s="41">
        <f>PGL_6_Day_Report!D25</f>
        <v>494.11649999999997</v>
      </c>
      <c r="C38" s="41">
        <f>PGL_6_Day_Report!E25</f>
        <v>408.02</v>
      </c>
      <c r="D38" s="41">
        <f>PGL_6_Day_Report!F25</f>
        <v>311.81900000000002</v>
      </c>
      <c r="E38" s="41">
        <f>PGL_6_Day_Report!G25</f>
        <v>291.81900000000002</v>
      </c>
      <c r="F38" s="41">
        <f>PGL_6_Day_Report!H25</f>
        <v>281.81900000000002</v>
      </c>
      <c r="G38" s="41">
        <f>PGL_6_Day_Report!I25</f>
        <v>286.81900000000002</v>
      </c>
      <c r="H38" s="14"/>
      <c r="I38" s="15"/>
    </row>
    <row r="39" spans="1:9" ht="15">
      <c r="A39" s="42" t="s">
        <v>104</v>
      </c>
      <c r="B39" s="41">
        <f>SUM(PGL_Supplies!Y7:AD7)/1000</f>
        <v>213.935</v>
      </c>
      <c r="C39" s="41">
        <f>SUM(PGL_Supplies!Y8:AD8)/1000</f>
        <v>174.86699999999999</v>
      </c>
      <c r="D39" s="41">
        <f>SUM(PGL_Supplies!Y9:AD9)/1000</f>
        <v>174.86699999999999</v>
      </c>
      <c r="E39" s="41">
        <f>SUM(PGL_Supplies!Y10:AD10)/1000</f>
        <v>174.86699999999999</v>
      </c>
      <c r="F39" s="41">
        <f>SUM(PGL_Supplies!Y11:AD11)/1000</f>
        <v>174.86699999999999</v>
      </c>
      <c r="G39" s="41">
        <f>SUM(PGL_Supplies!Y12:AD12)/1000</f>
        <v>174.86699999999999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0.4</v>
      </c>
      <c r="C41" s="41">
        <f>SUM(PGL_Requirements!Q7:T7)/1000</f>
        <v>0.4</v>
      </c>
      <c r="D41" s="41">
        <f>SUM(PGL_Requirements!Q7:T7)/1000</f>
        <v>0.4</v>
      </c>
      <c r="E41" s="41">
        <f>SUM(PGL_Requirements!Q7:T7)/1000</f>
        <v>0.4</v>
      </c>
      <c r="F41" s="41">
        <f>SUM(PGL_Requirements!Q7:T7)/1000</f>
        <v>0.4</v>
      </c>
      <c r="G41" s="41">
        <f>SUM(PGL_Requirements!Q7:T7)/1000</f>
        <v>0.4</v>
      </c>
      <c r="H41" s="14"/>
      <c r="I41" s="15"/>
    </row>
    <row r="42" spans="1:9" ht="15">
      <c r="A42" s="15" t="s">
        <v>127</v>
      </c>
      <c r="B42" s="41">
        <f>PGL_Supplies!U7/1000</f>
        <v>127.611</v>
      </c>
      <c r="C42" s="41">
        <f>PGL_Supplies!U8/1000</f>
        <v>136.959</v>
      </c>
      <c r="D42" s="41">
        <f>PGL_Supplies!U9/1000</f>
        <v>136.959</v>
      </c>
      <c r="E42" s="41">
        <f>PGL_Supplies!U10/1000</f>
        <v>136.959</v>
      </c>
      <c r="F42" s="41">
        <f>PGL_Supplies!U11/1000</f>
        <v>136.959</v>
      </c>
      <c r="G42" s="41">
        <f>PGL_Supplies!U12/1000</f>
        <v>136.959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37096</v>
      </c>
      <c r="C44" s="89">
        <f t="shared" si="0"/>
        <v>37097</v>
      </c>
      <c r="D44" s="89">
        <f t="shared" si="0"/>
        <v>37098</v>
      </c>
      <c r="E44" s="89">
        <f t="shared" si="0"/>
        <v>37099</v>
      </c>
      <c r="F44" s="89">
        <f t="shared" si="0"/>
        <v>37100</v>
      </c>
      <c r="G44" s="89">
        <f t="shared" si="0"/>
        <v>37101</v>
      </c>
      <c r="H44" s="14"/>
      <c r="I44" s="15"/>
    </row>
    <row r="45" spans="1:9" ht="15">
      <c r="A45" s="15" t="s">
        <v>54</v>
      </c>
      <c r="B45" s="41">
        <f ca="1">NSG_6_Day_Report!D6</f>
        <v>33.299999999999997</v>
      </c>
      <c r="C45" s="41">
        <f ca="1">NSG_6_Day_Report!E6</f>
        <v>34</v>
      </c>
      <c r="D45" s="41">
        <f ca="1">NSG_6_Day_Report!F6</f>
        <v>34</v>
      </c>
      <c r="E45" s="41">
        <f ca="1">NSG_6_Day_Report!G6</f>
        <v>32</v>
      </c>
      <c r="F45" s="41">
        <f ca="1">NSG_6_Day_Report!H6</f>
        <v>29</v>
      </c>
      <c r="G45" s="41">
        <f ca="1">NSG_6_Day_Report!I6</f>
        <v>30</v>
      </c>
      <c r="H45" s="14"/>
      <c r="I45" s="15"/>
    </row>
    <row r="46" spans="1:9" ht="15">
      <c r="A46" s="42" t="s">
        <v>286</v>
      </c>
      <c r="B46" s="41">
        <f ca="1">NSG_6_Day_Report!D11</f>
        <v>45.3</v>
      </c>
      <c r="C46" s="41">
        <f ca="1">NSG_6_Day_Report!E11</f>
        <v>41</v>
      </c>
      <c r="D46" s="41">
        <f ca="1">NSG_6_Day_Report!F11</f>
        <v>34</v>
      </c>
      <c r="E46" s="41">
        <f ca="1">NSG_6_Day_Report!G11</f>
        <v>32</v>
      </c>
      <c r="F46" s="41">
        <f ca="1">NSG_6_Day_Report!H11</f>
        <v>29</v>
      </c>
      <c r="G46" s="41">
        <f ca="1">NSG_6_Day_Report!I11</f>
        <v>30</v>
      </c>
      <c r="H46" s="14"/>
      <c r="I46" s="15"/>
    </row>
    <row r="47" spans="1:9" ht="15">
      <c r="A47" s="42" t="s">
        <v>104</v>
      </c>
      <c r="B47" s="41">
        <f>SUM(NSG_Supplies!O7:Q7)/1000</f>
        <v>39.284999999999997</v>
      </c>
      <c r="C47" s="41">
        <f>SUM(NSG_Supplies!O8:Q8)/1000</f>
        <v>33.411000000000001</v>
      </c>
      <c r="D47" s="41">
        <f>SUM(NSG_Supplies!O9:Q9)/1000</f>
        <v>33.411000000000001</v>
      </c>
      <c r="E47" s="41">
        <f>SUM(NSG_Supplies!O10:Q10)/1000</f>
        <v>33.411000000000001</v>
      </c>
      <c r="F47" s="41">
        <f>SUM(NSG_Supplies!O11:Q11)/1000</f>
        <v>33.411000000000001</v>
      </c>
      <c r="G47" s="41">
        <f>SUM(NSG_Supplies!O12:Q12)/1000</f>
        <v>33.411000000000001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15.952</v>
      </c>
      <c r="C50" s="41">
        <f>NSG_Supplies!R8/1000</f>
        <v>15.077999999999999</v>
      </c>
      <c r="D50" s="41">
        <f>NSG_Supplies!R9/1000</f>
        <v>15.077999999999999</v>
      </c>
      <c r="E50" s="41">
        <f>NSG_Supplies!R10/1000</f>
        <v>15.077999999999999</v>
      </c>
      <c r="F50" s="41">
        <f>NSG_Supplies!R11/1000</f>
        <v>15.077999999999999</v>
      </c>
      <c r="G50" s="41">
        <f>NSG_Supplies!R12/1000</f>
        <v>15.077999999999999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37096</v>
      </c>
      <c r="C52" s="89">
        <f t="shared" si="1"/>
        <v>37097</v>
      </c>
      <c r="D52" s="89">
        <f t="shared" si="1"/>
        <v>37098</v>
      </c>
      <c r="E52" s="89">
        <f t="shared" si="1"/>
        <v>37099</v>
      </c>
      <c r="F52" s="89">
        <f t="shared" si="1"/>
        <v>37100</v>
      </c>
      <c r="G52" s="89">
        <f t="shared" si="1"/>
        <v>37101</v>
      </c>
      <c r="H52" s="14"/>
      <c r="I52" s="15"/>
    </row>
    <row r="53" spans="1:9" ht="15">
      <c r="A53" s="92" t="s">
        <v>290</v>
      </c>
      <c r="B53" s="41">
        <f>PGL_Requirements!O7/1000</f>
        <v>92.5</v>
      </c>
      <c r="C53" s="41">
        <f>PGL_Requirements!O8/1000</f>
        <v>100</v>
      </c>
      <c r="D53" s="41">
        <f>PGL_Requirements!O9/1000</f>
        <v>100</v>
      </c>
      <c r="E53" s="41">
        <f>PGL_Requirements!O10/1000</f>
        <v>100</v>
      </c>
      <c r="F53" s="41">
        <f>PGL_Requirements!O11/1000</f>
        <v>100</v>
      </c>
      <c r="G53" s="41">
        <f>PGL_Requirements!O12/1000</f>
        <v>100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38" t="s">
        <v>687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5" t="s">
        <v>9</v>
      </c>
      <c r="B1" s="95"/>
      <c r="C1" s="95" t="s">
        <v>9</v>
      </c>
      <c r="D1" s="95"/>
      <c r="E1" s="95"/>
      <c r="F1" s="6"/>
    </row>
    <row r="2" spans="1:8" ht="15.75">
      <c r="A2" t="s">
        <v>9</v>
      </c>
      <c r="C2" s="94"/>
      <c r="D2" s="94"/>
      <c r="E2" s="94"/>
      <c r="F2" s="1064"/>
    </row>
    <row r="3" spans="1:8" ht="15.75" thickBot="1">
      <c r="A3" s="96" t="s">
        <v>296</v>
      </c>
    </row>
    <row r="4" spans="1:8">
      <c r="A4" s="97"/>
      <c r="B4" s="1065" t="str">
        <f>Six_Day_Summary!A10</f>
        <v>Wednesday</v>
      </c>
      <c r="C4" s="1066" t="str">
        <f>Six_Day_Summary!A15</f>
        <v>Thursday</v>
      </c>
      <c r="D4" s="1066" t="str">
        <f>Six_Day_Summary!A20</f>
        <v>Friday</v>
      </c>
      <c r="E4" s="1066" t="str">
        <f>Six_Day_Summary!A25</f>
        <v>Saturday</v>
      </c>
      <c r="F4" s="1067" t="str">
        <f>Six_Day_Summary!A30</f>
        <v>Sunday</v>
      </c>
      <c r="G4" s="98"/>
    </row>
    <row r="5" spans="1:8">
      <c r="A5" s="101" t="s">
        <v>297</v>
      </c>
      <c r="B5" s="1068">
        <f>Weather_Input!A6</f>
        <v>37097</v>
      </c>
      <c r="C5" s="1069">
        <f>Weather_Input!A7</f>
        <v>37098</v>
      </c>
      <c r="D5" s="1069">
        <f>Weather_Input!A8</f>
        <v>37099</v>
      </c>
      <c r="E5" s="1069">
        <f>Weather_Input!A9</f>
        <v>37100</v>
      </c>
      <c r="F5" s="1070">
        <f>Weather_Input!A10</f>
        <v>37101</v>
      </c>
      <c r="G5" s="98"/>
    </row>
    <row r="6" spans="1:8">
      <c r="A6" s="98" t="s">
        <v>298</v>
      </c>
      <c r="B6" s="1071">
        <f>PGL_Supplies!AB8/1000+PGL_Supplies!K8/1000-PGL_Requirements!N8/1000-PGL_Requirements!S8/1000+B8</f>
        <v>125.39600000000002</v>
      </c>
      <c r="C6" s="1071">
        <f>PGL_Supplies!AB9/1000+PGL_Supplies!K9/1000-PGL_Requirements!N9/1000+C15-PGL_Requirements!S9/1000</f>
        <v>54.636000000000003</v>
      </c>
      <c r="D6" s="1071">
        <f>PGL_Supplies!AB10/1000+PGL_Supplies!K10/1000-PGL_Requirements!N10/1000+D15-PGL_Requirements!S10/1000</f>
        <v>54.636000000000003</v>
      </c>
      <c r="E6" s="1071">
        <f>PGL_Supplies!AB11/1000+PGL_Supplies!K11/1000-PGL_Requirements!N11/1000+E15-PGL_Requirements!S11/1000</f>
        <v>54.636000000000003</v>
      </c>
      <c r="F6" s="1072">
        <f>PGL_Supplies!AB12/1000+PGL_Supplies!K12/1000-PGL_Requirements!N12/1000+F15-PGL_Requirements!S12/1000</f>
        <v>54.636000000000003</v>
      </c>
      <c r="G6" s="98"/>
      <c r="H6" t="s">
        <v>9</v>
      </c>
    </row>
    <row r="7" spans="1:8">
      <c r="A7" s="98" t="s">
        <v>299</v>
      </c>
      <c r="B7" s="1071">
        <f>PGL_Supplies!M8/1000</f>
        <v>0</v>
      </c>
      <c r="C7" s="1071">
        <f>PGL_Supplies!M9/1000</f>
        <v>0</v>
      </c>
      <c r="D7" s="1071">
        <f>PGL_Supplies!M10/1000</f>
        <v>0</v>
      </c>
      <c r="E7" s="1071">
        <f>PGL_Supplies!M11/1000</f>
        <v>0</v>
      </c>
      <c r="F7" s="1073">
        <f>PGL_Supplies!M12/1000</f>
        <v>0</v>
      </c>
      <c r="G7" s="98"/>
    </row>
    <row r="8" spans="1:8">
      <c r="A8" s="98" t="s">
        <v>300</v>
      </c>
      <c r="B8" s="1071">
        <f>PGL_Supplies!N8/1000</f>
        <v>0</v>
      </c>
      <c r="C8" s="1071">
        <f>PGL_Supplies!N9/1000</f>
        <v>0</v>
      </c>
      <c r="D8" s="1071">
        <f>PGL_Supplies!N10/1000</f>
        <v>0</v>
      </c>
      <c r="E8" s="1071">
        <f>PGL_Supplies!N11/1000</f>
        <v>0</v>
      </c>
      <c r="F8" s="1073">
        <f>PGL_Supplies!N12/1000</f>
        <v>0</v>
      </c>
      <c r="G8" s="98"/>
    </row>
    <row r="9" spans="1:8">
      <c r="A9" s="98" t="s">
        <v>301</v>
      </c>
      <c r="B9" s="1071">
        <v>0</v>
      </c>
      <c r="C9" s="1071">
        <v>0</v>
      </c>
      <c r="D9" s="1071">
        <v>0</v>
      </c>
      <c r="E9" s="1071">
        <v>0</v>
      </c>
      <c r="F9" s="1073">
        <v>0</v>
      </c>
      <c r="G9" s="98"/>
    </row>
    <row r="10" spans="1:8">
      <c r="A10" s="99"/>
      <c r="B10" s="1074"/>
      <c r="C10" s="1074"/>
      <c r="D10" s="1074"/>
      <c r="E10" s="1074"/>
      <c r="F10" s="1075"/>
      <c r="G10" s="98"/>
    </row>
    <row r="11" spans="1:8">
      <c r="A11" s="98" t="s">
        <v>302</v>
      </c>
      <c r="B11" s="1071">
        <v>0</v>
      </c>
      <c r="C11" s="1071">
        <v>0</v>
      </c>
      <c r="D11" s="1071">
        <v>0</v>
      </c>
      <c r="E11" s="1071">
        <v>0</v>
      </c>
      <c r="F11" s="1073">
        <v>0</v>
      </c>
      <c r="G11" s="98"/>
      <c r="H11" s="119" t="s">
        <v>9</v>
      </c>
    </row>
    <row r="12" spans="1:8">
      <c r="A12" s="98" t="s">
        <v>303</v>
      </c>
      <c r="B12" s="1071">
        <f>PGL_Requirements!R8/1000</f>
        <v>0</v>
      </c>
      <c r="C12" s="1071">
        <f>PGL_Requirements!R9/1000</f>
        <v>0</v>
      </c>
      <c r="D12" s="1071">
        <f>PGL_Requirements!R10/1000</f>
        <v>0</v>
      </c>
      <c r="E12" s="1071">
        <f>PGL_Requirements!R11/1000</f>
        <v>0</v>
      </c>
      <c r="F12" s="1073">
        <f>PGL_Requirements!R12/1000</f>
        <v>0</v>
      </c>
      <c r="G12" s="98"/>
    </row>
    <row r="13" spans="1:8">
      <c r="A13" s="98" t="s">
        <v>304</v>
      </c>
      <c r="B13" s="1071">
        <v>0</v>
      </c>
      <c r="C13" s="1071">
        <v>0</v>
      </c>
      <c r="D13" s="1071">
        <v>0</v>
      </c>
      <c r="E13" s="1071">
        <v>0</v>
      </c>
      <c r="F13" s="1073">
        <v>0</v>
      </c>
      <c r="G13" s="98"/>
    </row>
    <row r="14" spans="1:8">
      <c r="A14" s="98" t="s">
        <v>175</v>
      </c>
      <c r="B14" s="1071">
        <v>0</v>
      </c>
      <c r="C14" s="1077"/>
      <c r="D14" s="1077"/>
      <c r="E14" s="1077"/>
      <c r="F14" s="1073"/>
      <c r="G14" s="98"/>
    </row>
    <row r="15" spans="1:8">
      <c r="A15" s="98" t="s">
        <v>673</v>
      </c>
      <c r="B15" s="1076">
        <v>0</v>
      </c>
      <c r="C15" s="1076">
        <v>0</v>
      </c>
      <c r="D15" s="1076">
        <v>0</v>
      </c>
      <c r="E15" s="1076">
        <v>0</v>
      </c>
      <c r="F15" s="1106">
        <v>0</v>
      </c>
      <c r="G15" s="119"/>
    </row>
    <row r="16" spans="1:8">
      <c r="A16" s="98" t="s">
        <v>305</v>
      </c>
      <c r="B16" s="1076">
        <v>0</v>
      </c>
      <c r="C16" s="1077"/>
      <c r="D16" s="1077"/>
      <c r="E16" s="1077"/>
      <c r="F16" s="1073"/>
      <c r="G16" s="98"/>
    </row>
    <row r="17" spans="1:7" ht="15.75" thickBot="1">
      <c r="A17" s="100" t="s">
        <v>730</v>
      </c>
      <c r="B17" s="1078">
        <v>0</v>
      </c>
      <c r="C17" s="1079"/>
      <c r="D17" s="1079"/>
      <c r="E17" s="1079"/>
      <c r="F17" s="1080"/>
      <c r="G17" s="98"/>
    </row>
    <row r="20" spans="1:7" ht="15.75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1" t="str">
        <f t="shared" ref="B21:F22" si="0">B4</f>
        <v>Wednesday</v>
      </c>
      <c r="C21" s="1081" t="str">
        <f t="shared" si="0"/>
        <v>Thursday</v>
      </c>
      <c r="D21" s="1081" t="str">
        <f t="shared" si="0"/>
        <v>Friday</v>
      </c>
      <c r="E21" s="1081" t="str">
        <f t="shared" si="0"/>
        <v>Saturday</v>
      </c>
      <c r="F21" s="1082" t="str">
        <f t="shared" si="0"/>
        <v>Sunday</v>
      </c>
      <c r="G21" s="98"/>
    </row>
    <row r="22" spans="1:7">
      <c r="A22" s="105" t="s">
        <v>297</v>
      </c>
      <c r="B22" s="1083">
        <f t="shared" si="0"/>
        <v>37097</v>
      </c>
      <c r="C22" s="1083">
        <f t="shared" si="0"/>
        <v>37098</v>
      </c>
      <c r="D22" s="1083">
        <f t="shared" si="0"/>
        <v>37099</v>
      </c>
      <c r="E22" s="1083">
        <f t="shared" si="0"/>
        <v>37100</v>
      </c>
      <c r="F22" s="1084">
        <f t="shared" si="0"/>
        <v>37101</v>
      </c>
      <c r="G22" s="98"/>
    </row>
    <row r="23" spans="1:7">
      <c r="A23" s="98" t="s">
        <v>298</v>
      </c>
      <c r="B23" s="1077">
        <f>NSG_Supplies!Q8/1000+NSG_Supplies!F8/1000-NSG_Requirements!H8/1000</f>
        <v>34.001000000000005</v>
      </c>
      <c r="C23" s="1077">
        <f>NSG_Supplies!Q9/1000+NSG_Supplies!F9/1000-NSG_Requirements!H9/1000</f>
        <v>26.411000000000001</v>
      </c>
      <c r="D23" s="1077">
        <f>NSG_Supplies!Q10/1000+NSG_Supplies!F10/1000-NSG_Requirements!H10/1000</f>
        <v>26.411000000000001</v>
      </c>
      <c r="E23" s="1077">
        <f>NSG_Supplies!Q12/1000+NSG_Supplies!F11/1000-NSG_Requirements!H11/1000</f>
        <v>26.411000000000001</v>
      </c>
      <c r="F23" s="1072">
        <f>NSG_Supplies!Q12/1000+NSG_Supplies!F12/1000-NSG_Requirements!H12/1000</f>
        <v>26.411000000000001</v>
      </c>
      <c r="G23" s="98"/>
    </row>
    <row r="24" spans="1:7">
      <c r="A24" s="98" t="s">
        <v>307</v>
      </c>
      <c r="B24" s="1077">
        <f>NSG_Supplies!G8/1000</f>
        <v>0</v>
      </c>
      <c r="C24" s="1077">
        <f>NSG_Supplies!G9/1000</f>
        <v>0</v>
      </c>
      <c r="D24" s="1077">
        <f>NSG_Supplies!G10/1000</f>
        <v>0</v>
      </c>
      <c r="E24" s="1077">
        <f>NSG_Supplies!G11/1000</f>
        <v>0</v>
      </c>
      <c r="F24" s="1073">
        <f>NSG_Supplies!G12/1000</f>
        <v>0</v>
      </c>
      <c r="G24" s="98"/>
    </row>
    <row r="25" spans="1:7">
      <c r="A25" s="98" t="s">
        <v>299</v>
      </c>
      <c r="B25" s="1077">
        <f>NSG_Supplies!H8/1000</f>
        <v>0</v>
      </c>
      <c r="C25" s="1077">
        <f>NSG_Supplies!H9/1000</f>
        <v>0</v>
      </c>
      <c r="D25" s="1077">
        <f>NSG_Supplies!H10/1000</f>
        <v>0</v>
      </c>
      <c r="E25" s="1077">
        <f>NSG_Supplies!H11/1000</f>
        <v>0</v>
      </c>
      <c r="F25" s="1073">
        <f>NSG_Supplies!H12/1000</f>
        <v>0</v>
      </c>
      <c r="G25" s="98"/>
    </row>
    <row r="26" spans="1:7">
      <c r="A26" s="102" t="s">
        <v>300</v>
      </c>
      <c r="B26" s="1077">
        <f>NSG_Supplies!I8/1000</f>
        <v>0</v>
      </c>
      <c r="C26" s="1077">
        <f>NSG_Supplies!I9/1000</f>
        <v>0</v>
      </c>
      <c r="D26" s="1077">
        <f>NSG_Supplies!I10/1000</f>
        <v>0</v>
      </c>
      <c r="E26" s="1077">
        <f>NSG_Supplies!I11/1000</f>
        <v>0</v>
      </c>
      <c r="F26" s="1073">
        <f>NSG_Supplies!I12/1000</f>
        <v>0</v>
      </c>
      <c r="G26" s="98"/>
    </row>
    <row r="27" spans="1:7">
      <c r="A27" s="98" t="s">
        <v>301</v>
      </c>
      <c r="B27" s="1077">
        <f>NSG_Supplies!J8/1000</f>
        <v>0</v>
      </c>
      <c r="C27" s="1077">
        <f>NSG_Supplies!J9/1000</f>
        <v>0</v>
      </c>
      <c r="D27" s="1077">
        <f>NSG_Supplies!J10/1000</f>
        <v>0</v>
      </c>
      <c r="E27" s="1077">
        <f>NSG_Supplies!J11/1000</f>
        <v>0</v>
      </c>
      <c r="F27" s="1073">
        <f>NSG_Supplies!J12/1000</f>
        <v>0</v>
      </c>
      <c r="G27" s="98"/>
    </row>
    <row r="28" spans="1:7">
      <c r="A28" s="98" t="s">
        <v>308</v>
      </c>
      <c r="B28" s="1077" t="s">
        <v>9</v>
      </c>
      <c r="C28" s="1077"/>
      <c r="D28" s="1077"/>
      <c r="E28" s="1077"/>
      <c r="F28" s="1073"/>
      <c r="G28" s="98"/>
    </row>
    <row r="29" spans="1:7">
      <c r="A29" s="99"/>
      <c r="B29" s="1074"/>
      <c r="C29" s="1074"/>
      <c r="D29" s="1074"/>
      <c r="E29" s="1074"/>
      <c r="F29" s="1075"/>
      <c r="G29" s="98"/>
    </row>
    <row r="30" spans="1:7">
      <c r="A30" s="98" t="s">
        <v>302</v>
      </c>
      <c r="B30" s="1077">
        <f>NSG_Requirements!P8/1000</f>
        <v>0</v>
      </c>
      <c r="C30" s="1077">
        <f>NSG_Requirements!P9/1000</f>
        <v>0</v>
      </c>
      <c r="D30" s="1077">
        <f>NSG_Requirements!P10/1000</f>
        <v>0</v>
      </c>
      <c r="E30" s="1077">
        <f>NSG_Requirements!P11/1000</f>
        <v>0</v>
      </c>
      <c r="F30" s="1073">
        <f>NSG_Supplies!J12/1000</f>
        <v>0</v>
      </c>
      <c r="G30" s="98"/>
    </row>
    <row r="31" spans="1:7">
      <c r="A31" s="98" t="s">
        <v>303</v>
      </c>
      <c r="B31" s="1077">
        <f>NSG_Requirements!R8/1000</f>
        <v>0</v>
      </c>
      <c r="C31" s="1077">
        <f>NSG_Requirements!R9/1000</f>
        <v>0</v>
      </c>
      <c r="D31" s="1077">
        <f>NSG_Requirements!R10/1000</f>
        <v>0</v>
      </c>
      <c r="E31" s="1077">
        <f>NSG_Requirements!R11/1000</f>
        <v>0</v>
      </c>
      <c r="F31" s="1073">
        <f>NSG_Supplies!L12/1000</f>
        <v>0</v>
      </c>
      <c r="G31" s="98"/>
    </row>
    <row r="32" spans="1:7">
      <c r="A32" s="98" t="s">
        <v>304</v>
      </c>
      <c r="B32" s="1077">
        <f>NSG_Requirements!Q8/1000</f>
        <v>0</v>
      </c>
      <c r="C32" s="1077">
        <f>NSG_Requirements!Q9/1000</f>
        <v>0</v>
      </c>
      <c r="D32" s="1077">
        <f>NSG_Requirements!Q10/1000</f>
        <v>0</v>
      </c>
      <c r="E32" s="1077">
        <f>NSG_Requirements!Q11/1000</f>
        <v>0</v>
      </c>
      <c r="F32" s="1073">
        <f>NSG_Requirements!Q12/1000</f>
        <v>0</v>
      </c>
      <c r="G32" s="98"/>
    </row>
    <row r="33" spans="1:7" ht="15.75" thickBot="1">
      <c r="A33" s="100" t="s">
        <v>309</v>
      </c>
      <c r="B33" s="1079">
        <f>NSG_Requirements!L8/1000</f>
        <v>0</v>
      </c>
      <c r="C33" s="1079">
        <f>NSG_Requirements!L9/1000</f>
        <v>0</v>
      </c>
      <c r="D33" s="1079">
        <f>NSG_Requirements!L10/1000</f>
        <v>0</v>
      </c>
      <c r="E33" s="1079">
        <f>NSG_Requirements!L11/1000</f>
        <v>0</v>
      </c>
      <c r="F33" s="1080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0" t="s">
        <v>9</v>
      </c>
      <c r="B1" s="796" t="s">
        <v>359</v>
      </c>
      <c r="C1" s="892">
        <f>Weather_Input!A6</f>
        <v>37097</v>
      </c>
      <c r="D1" s="893" t="s">
        <v>352</v>
      </c>
      <c r="E1" s="797"/>
      <c r="F1" s="1015"/>
      <c r="G1" s="425"/>
      <c r="H1" s="425"/>
      <c r="I1" s="1016"/>
    </row>
    <row r="2" spans="1:11" ht="15.75" customHeight="1" thickBot="1">
      <c r="A2" s="428"/>
      <c r="B2" s="1013" t="s">
        <v>607</v>
      </c>
      <c r="E2" s="158"/>
      <c r="I2" s="158"/>
    </row>
    <row r="3" spans="1:11" ht="15.75" customHeight="1" thickTop="1">
      <c r="B3" s="169" t="s">
        <v>104</v>
      </c>
      <c r="C3" s="887">
        <f>NSG_Supplies!P8/1000</f>
        <v>7</v>
      </c>
      <c r="E3" s="158"/>
      <c r="F3" s="779" t="s">
        <v>155</v>
      </c>
      <c r="G3" s="778"/>
      <c r="H3" s="791" t="s">
        <v>541</v>
      </c>
      <c r="I3" s="790" t="s">
        <v>540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62">
        <f>NSG_Supplies!E8/1000</f>
        <v>0</v>
      </c>
      <c r="D4" s="132">
        <f>NSG_Requirements!J8/1000</f>
        <v>7</v>
      </c>
      <c r="E4" s="789"/>
      <c r="F4" s="169" t="s">
        <v>520</v>
      </c>
      <c r="G4" s="60"/>
      <c r="H4" s="151">
        <f>PGL_Requirements!O8/1000</f>
        <v>100</v>
      </c>
      <c r="I4" s="173">
        <f>AVERAGE(H4/1.025)</f>
        <v>97.560975609756099</v>
      </c>
      <c r="J4" t="s">
        <v>9</v>
      </c>
    </row>
    <row r="5" spans="1:11" ht="15.75" customHeight="1" thickTop="1" thickBot="1">
      <c r="B5" s="432" t="s">
        <v>608</v>
      </c>
      <c r="C5" s="443">
        <f>C3+C4-D4</f>
        <v>0</v>
      </c>
      <c r="D5" s="433"/>
      <c r="E5" s="435">
        <f>AVERAGE(C5/24)</f>
        <v>0</v>
      </c>
      <c r="F5" s="167" t="s">
        <v>426</v>
      </c>
      <c r="G5" s="207">
        <f>PGL_Supplies!L8/1000</f>
        <v>0</v>
      </c>
      <c r="H5" s="165"/>
      <c r="I5" s="974">
        <f>AVERAGE(G5/1.025)</f>
        <v>0</v>
      </c>
      <c r="K5" t="s">
        <v>9</v>
      </c>
    </row>
    <row r="6" spans="1:11" ht="15.75" customHeight="1" thickTop="1" thickBot="1">
      <c r="B6" s="890" t="s">
        <v>370</v>
      </c>
      <c r="C6" s="891"/>
      <c r="D6" s="119"/>
      <c r="E6" s="788"/>
      <c r="F6" t="s">
        <v>725</v>
      </c>
      <c r="G6" s="891">
        <f>AVERAGE(H4/24)</f>
        <v>4.166666666666667</v>
      </c>
      <c r="H6" s="425"/>
      <c r="I6" s="1016"/>
    </row>
    <row r="7" spans="1:11" ht="15.75" customHeight="1">
      <c r="B7" s="169" t="s">
        <v>353</v>
      </c>
      <c r="C7" s="151">
        <f>NSG_Supplies!K8/1000</f>
        <v>0</v>
      </c>
      <c r="D7" s="60"/>
      <c r="E7" s="445"/>
      <c r="F7" s="1013" t="s">
        <v>589</v>
      </c>
      <c r="G7" s="1014"/>
      <c r="H7" s="60"/>
      <c r="I7" s="158"/>
    </row>
    <row r="8" spans="1:11" ht="15.75" customHeight="1">
      <c r="B8" s="169" t="s">
        <v>501</v>
      </c>
      <c r="C8" s="151">
        <f>PGL_Requirements!V8/1000</f>
        <v>0</v>
      </c>
      <c r="D8" s="60"/>
      <c r="E8" s="445"/>
      <c r="F8" s="169" t="s">
        <v>588</v>
      </c>
      <c r="G8" s="151">
        <f>PGL_Supplies!S8/1000</f>
        <v>60</v>
      </c>
      <c r="H8" s="60"/>
      <c r="I8" s="158"/>
    </row>
    <row r="9" spans="1:11" ht="15.75" customHeight="1" thickBot="1">
      <c r="B9" s="169" t="s">
        <v>716</v>
      </c>
      <c r="C9" s="151">
        <f>NSG_Requirements!B8/1000</f>
        <v>0</v>
      </c>
      <c r="D9" s="60"/>
      <c r="E9" s="445"/>
      <c r="F9" s="1" t="s">
        <v>670</v>
      </c>
      <c r="G9" s="151">
        <f>PGL_Supplies!T8/1000</f>
        <v>0</v>
      </c>
      <c r="I9" s="158"/>
    </row>
    <row r="10" spans="1:11" ht="15.75" customHeight="1" thickTop="1" thickBot="1">
      <c r="B10" s="432" t="s">
        <v>525</v>
      </c>
      <c r="C10" s="443">
        <f>C7+C8-C9</f>
        <v>0</v>
      </c>
      <c r="D10" s="433"/>
      <c r="E10" s="435">
        <f>AVERAGE(C10/24)</f>
        <v>0</v>
      </c>
      <c r="F10" s="169" t="s">
        <v>423</v>
      </c>
      <c r="G10" s="151">
        <f>PGL_Supplies!AA8/1000</f>
        <v>116.03100000000001</v>
      </c>
      <c r="H10" s="151" t="s">
        <v>9</v>
      </c>
      <c r="I10" s="158"/>
    </row>
    <row r="11" spans="1:11" ht="15.75" customHeight="1" thickTop="1">
      <c r="A11" t="s">
        <v>9</v>
      </c>
      <c r="B11" s="1055" t="s">
        <v>700</v>
      </c>
      <c r="C11" s="151">
        <f>PGL_Supplies!X8/1000</f>
        <v>95.39</v>
      </c>
      <c r="D11" s="778"/>
      <c r="E11" s="1056"/>
      <c r="F11" s="430" t="s">
        <v>356</v>
      </c>
      <c r="G11" s="442">
        <f>G8+G10</f>
        <v>176.03100000000001</v>
      </c>
      <c r="H11" s="429"/>
      <c r="I11" s="431"/>
    </row>
    <row r="12" spans="1:11" ht="15.75" customHeight="1">
      <c r="B12" s="244" t="s">
        <v>729</v>
      </c>
      <c r="C12" s="151">
        <v>0</v>
      </c>
      <c r="D12" s="119"/>
      <c r="E12" s="158"/>
      <c r="F12" s="170" t="s">
        <v>504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701</v>
      </c>
      <c r="C13" s="119"/>
      <c r="D13" s="151">
        <f>PGL_Requirements!I8/1000</f>
        <v>0</v>
      </c>
      <c r="E13" s="158"/>
      <c r="F13" s="170" t="s">
        <v>505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57" t="s">
        <v>708</v>
      </c>
      <c r="C14" s="443">
        <f>C11-C12</f>
        <v>95.39</v>
      </c>
      <c r="D14" s="433"/>
      <c r="E14" s="435">
        <f>AVERAGE(C14/24)</f>
        <v>3.9745833333333334</v>
      </c>
      <c r="F14" s="772" t="s">
        <v>523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706</v>
      </c>
      <c r="C15" s="151">
        <f>PGL_Supplies!Y8/1000</f>
        <v>0.2</v>
      </c>
      <c r="D15" s="60"/>
      <c r="E15" s="158"/>
      <c r="F15" s="772" t="s">
        <v>532</v>
      </c>
      <c r="G15" s="442">
        <f>SUM(G11)-G16-G17</f>
        <v>-15.369</v>
      </c>
      <c r="H15" s="433" t="s">
        <v>9</v>
      </c>
      <c r="I15" s="435">
        <f>AVERAGE(G15/24)</f>
        <v>-0.64037500000000003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PGL_Supplies!Q8/1000</f>
        <v>0</v>
      </c>
      <c r="D16" s="151">
        <f>PGL_Requirements!T8/1000</f>
        <v>0.2</v>
      </c>
      <c r="E16" s="158"/>
      <c r="F16" s="772" t="s">
        <v>537</v>
      </c>
      <c r="G16" s="443">
        <f>PGL_Requirements!G8/1000</f>
        <v>161.4</v>
      </c>
      <c r="H16" s="443" t="s">
        <v>9</v>
      </c>
      <c r="I16" s="435">
        <f>AVERAGE(G16/24)</f>
        <v>6.7250000000000005</v>
      </c>
    </row>
    <row r="17" spans="1:9" ht="15.75" customHeight="1" thickTop="1" thickBot="1">
      <c r="B17" s="430" t="s">
        <v>356</v>
      </c>
      <c r="C17" s="442">
        <f>SUM(C15:C16)-SUM(D15:D16)</f>
        <v>0</v>
      </c>
      <c r="D17" s="429"/>
      <c r="E17" s="431"/>
      <c r="F17" s="1025" t="s">
        <v>671</v>
      </c>
      <c r="G17" s="443">
        <f>PGL_Requirements!J8/1000</f>
        <v>30</v>
      </c>
      <c r="H17" s="1024"/>
      <c r="I17" s="1104">
        <f>AVERAGE(G17/24)</f>
        <v>1.25</v>
      </c>
    </row>
    <row r="18" spans="1:9" ht="15.75" customHeight="1">
      <c r="B18" s="1255"/>
      <c r="C18" s="1256"/>
      <c r="D18" s="624"/>
      <c r="E18" s="1257"/>
      <c r="F18" s="1023" t="s">
        <v>521</v>
      </c>
      <c r="G18" s="60" t="s">
        <v>9</v>
      </c>
      <c r="H18" s="60"/>
      <c r="I18" s="158"/>
    </row>
    <row r="19" spans="1:9" ht="15.75" customHeight="1" thickBot="1">
      <c r="B19" s="1255"/>
      <c r="C19" s="624"/>
      <c r="D19" s="1256"/>
      <c r="E19" s="1257"/>
      <c r="F19" s="167" t="s">
        <v>522</v>
      </c>
      <c r="G19" s="165"/>
      <c r="H19" s="207">
        <v>0</v>
      </c>
      <c r="I19" s="438"/>
    </row>
    <row r="20" spans="1:9" ht="15.75" customHeight="1" thickTop="1" thickBot="1">
      <c r="B20" s="432" t="s">
        <v>527</v>
      </c>
      <c r="C20" s="443">
        <f>C17+C18-D19</f>
        <v>0</v>
      </c>
      <c r="D20" s="436" t="s">
        <v>9</v>
      </c>
      <c r="E20" s="435">
        <f>AVERAGE(C20/24)</f>
        <v>0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707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4</v>
      </c>
      <c r="H21" s="151" t="s">
        <v>9</v>
      </c>
      <c r="I21" s="158"/>
    </row>
    <row r="22" spans="1:9" ht="15.75" customHeight="1">
      <c r="B22" s="430" t="s">
        <v>356</v>
      </c>
      <c r="C22" s="442">
        <f>SUM(C21:C21)-SUM(D21)</f>
        <v>0</v>
      </c>
      <c r="D22" s="429"/>
      <c r="E22" s="431"/>
      <c r="F22" s="430" t="s">
        <v>356</v>
      </c>
      <c r="G22" s="442">
        <f>G21</f>
        <v>4</v>
      </c>
      <c r="H22" s="429"/>
      <c r="I22" s="431"/>
    </row>
    <row r="23" spans="1:9" ht="15.75" customHeight="1">
      <c r="B23" s="169" t="s">
        <v>354</v>
      </c>
      <c r="C23" s="151">
        <f>PGL_Supplies!C8/1000</f>
        <v>0</v>
      </c>
      <c r="D23" s="60"/>
      <c r="E23" s="158"/>
      <c r="F23" s="169" t="s">
        <v>357</v>
      </c>
      <c r="G23" s="151">
        <f>PGL_Supplies!F8/1000</f>
        <v>21</v>
      </c>
      <c r="H23" s="60"/>
      <c r="I23" s="158"/>
    </row>
    <row r="24" spans="1:9" ht="15.75" customHeight="1" thickBot="1">
      <c r="B24" s="169" t="s">
        <v>355</v>
      </c>
      <c r="C24" s="60">
        <v>0</v>
      </c>
      <c r="D24" s="151">
        <f>PGL_Requirements!C8/1000</f>
        <v>0</v>
      </c>
      <c r="E24" s="158"/>
      <c r="F24" s="169" t="s">
        <v>358</v>
      </c>
      <c r="G24" s="60"/>
      <c r="H24" s="151">
        <f>PGL_Requirements!E8/1000</f>
        <v>0</v>
      </c>
      <c r="I24" s="158"/>
    </row>
    <row r="25" spans="1:9" ht="15.75" customHeight="1" thickTop="1" thickBot="1">
      <c r="B25" s="432" t="s">
        <v>526</v>
      </c>
      <c r="C25" s="443">
        <f>C22+C23-D24</f>
        <v>0</v>
      </c>
      <c r="D25" s="433"/>
      <c r="E25" s="435">
        <f>AVERAGE(C25/24)</f>
        <v>0</v>
      </c>
      <c r="F25" s="546" t="s">
        <v>524</v>
      </c>
      <c r="G25" s="888">
        <f>G22+G23-H24+G20</f>
        <v>25</v>
      </c>
      <c r="H25" s="425"/>
      <c r="I25" s="889">
        <f>AVERAGE(G25/24)</f>
        <v>1.0416666666666667</v>
      </c>
    </row>
    <row r="26" spans="1:9" ht="15.75" customHeight="1" thickTop="1">
      <c r="B26" t="s">
        <v>668</v>
      </c>
    </row>
    <row r="27" spans="1:9" ht="15.75" customHeight="1">
      <c r="B27" t="s">
        <v>667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609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981" customWidth="1"/>
    <col min="2" max="2" width="8.109375" style="981" customWidth="1"/>
    <col min="3" max="3" width="7.88671875" style="981" customWidth="1"/>
    <col min="4" max="4" width="5.88671875" style="981" customWidth="1"/>
    <col min="5" max="5" width="4.44140625" style="981" customWidth="1"/>
    <col min="6" max="6" width="5.21875" style="981" customWidth="1"/>
    <col min="7" max="7" width="9" style="981" customWidth="1"/>
    <col min="8" max="11" width="8.88671875" style="981"/>
    <col min="12" max="12" width="14.88671875" style="981" customWidth="1"/>
    <col min="13" max="13" width="5.6640625" style="981" customWidth="1"/>
    <col min="14" max="16384" width="8.88671875" style="981"/>
  </cols>
  <sheetData>
    <row r="1" spans="1:22" ht="22.5">
      <c r="A1" s="921"/>
      <c r="B1" s="917"/>
      <c r="C1" s="928" t="s">
        <v>613</v>
      </c>
      <c r="D1" s="925"/>
      <c r="E1" s="925" t="s">
        <v>614</v>
      </c>
      <c r="F1" s="925"/>
      <c r="G1" s="979" t="s">
        <v>310</v>
      </c>
      <c r="H1" s="980">
        <f>Weather_Input!A6</f>
        <v>37097</v>
      </c>
      <c r="I1" s="914"/>
      <c r="J1" s="916"/>
      <c r="K1" s="916"/>
    </row>
    <row r="2" spans="1:22" ht="16.5" customHeight="1">
      <c r="A2" s="934" t="s">
        <v>641</v>
      </c>
      <c r="C2" s="982">
        <v>346</v>
      </c>
      <c r="F2" s="983">
        <v>349</v>
      </c>
      <c r="H2" s="916"/>
      <c r="I2" s="914" t="s">
        <v>643</v>
      </c>
      <c r="J2" s="936">
        <f>NSG_Supplies!P8/1000</f>
        <v>7</v>
      </c>
    </row>
    <row r="3" spans="1:22" ht="16.5" customHeight="1">
      <c r="A3" s="984">
        <f>PGL_Supplies!I8/1000</f>
        <v>0</v>
      </c>
      <c r="C3" s="981" t="s">
        <v>9</v>
      </c>
      <c r="G3" s="914"/>
      <c r="H3" s="916"/>
    </row>
    <row r="4" spans="1:22" ht="16.5" customHeight="1">
      <c r="A4" s="924" t="s">
        <v>615</v>
      </c>
      <c r="G4" s="942"/>
      <c r="H4" s="916"/>
      <c r="I4" s="914"/>
      <c r="J4" s="914" t="s">
        <v>639</v>
      </c>
      <c r="K4" s="936">
        <f>Billy_Sheet!C5</f>
        <v>0</v>
      </c>
      <c r="N4" s="936"/>
    </row>
    <row r="5" spans="1:22" ht="16.5" customHeight="1">
      <c r="A5" s="985">
        <f>PGL_Supplies!J7/1000</f>
        <v>0</v>
      </c>
      <c r="B5" s="986"/>
      <c r="G5" s="917"/>
      <c r="H5" s="936"/>
      <c r="U5" s="916"/>
      <c r="V5" s="916"/>
    </row>
    <row r="6" spans="1:22" ht="16.5" customHeight="1">
      <c r="A6" s="923" t="s">
        <v>611</v>
      </c>
      <c r="G6" s="917"/>
      <c r="H6" s="936"/>
      <c r="U6" s="916"/>
      <c r="V6" s="936"/>
    </row>
    <row r="7" spans="1:22" ht="18.75" customHeight="1">
      <c r="A7" s="936">
        <f>Billy_Sheet!G14</f>
        <v>0</v>
      </c>
      <c r="G7" s="917"/>
      <c r="H7" s="915"/>
      <c r="U7" s="916"/>
      <c r="V7" s="915"/>
    </row>
    <row r="8" spans="1:22" ht="14.45" customHeight="1">
      <c r="A8" s="914" t="s">
        <v>72</v>
      </c>
      <c r="G8" s="917"/>
      <c r="H8" s="914" t="s">
        <v>164</v>
      </c>
      <c r="I8" s="914"/>
      <c r="K8" s="914"/>
      <c r="L8" s="914"/>
      <c r="N8" s="914"/>
      <c r="O8" s="914"/>
      <c r="U8" s="916"/>
      <c r="V8" s="936"/>
    </row>
    <row r="9" spans="1:22" ht="14.45" customHeight="1">
      <c r="A9" s="936">
        <f>PGL_Supplies!H8/1000</f>
        <v>15</v>
      </c>
      <c r="H9" s="936">
        <f>NSG_Supplies!Q8/1000+NSG_Supplies!F8/1000-NSG_Requirements!H8/1000</f>
        <v>34.001000000000005</v>
      </c>
      <c r="I9" s="987"/>
      <c r="K9" s="914" t="s">
        <v>645</v>
      </c>
      <c r="L9" s="936">
        <f>NSG_Deliveries!C6/1000</f>
        <v>34</v>
      </c>
      <c r="N9" s="914"/>
      <c r="O9" s="936"/>
      <c r="U9" s="916"/>
      <c r="V9" s="936"/>
    </row>
    <row r="10" spans="1:22" ht="18" customHeight="1">
      <c r="A10" s="914" t="s">
        <v>66</v>
      </c>
      <c r="H10" s="943" t="s">
        <v>644</v>
      </c>
      <c r="U10" s="916"/>
      <c r="V10" s="936"/>
    </row>
    <row r="11" spans="1:22" ht="14.45" customHeight="1">
      <c r="A11" s="936">
        <f>Billy_Sheet!C17</f>
        <v>0</v>
      </c>
      <c r="B11" s="987"/>
      <c r="H11" s="936">
        <f>NSG_Supplies!T8/1000</f>
        <v>0</v>
      </c>
      <c r="K11" s="917" t="s">
        <v>646</v>
      </c>
      <c r="L11" s="942">
        <f>SUM(K4+K17+K19+H11+H9-L9)</f>
        <v>1.0000000000047748E-3</v>
      </c>
      <c r="N11" s="917"/>
      <c r="O11" s="942"/>
      <c r="U11" s="916"/>
      <c r="V11" s="930"/>
    </row>
    <row r="12" spans="1:22" ht="14.45" customHeight="1">
      <c r="A12" s="914" t="s">
        <v>697</v>
      </c>
      <c r="H12" s="936"/>
      <c r="U12" s="916"/>
      <c r="V12" s="936"/>
    </row>
    <row r="13" spans="1:22" ht="14.45" customHeight="1">
      <c r="A13" s="985">
        <f>PGL_Supplies!X8/1000</f>
        <v>95.39</v>
      </c>
      <c r="H13" s="936"/>
      <c r="U13" s="916"/>
      <c r="V13" s="936"/>
    </row>
    <row r="14" spans="1:22" ht="14.45" customHeight="1">
      <c r="H14" s="936"/>
      <c r="U14" s="916"/>
      <c r="V14" s="936"/>
    </row>
    <row r="15" spans="1:22" ht="15.6" customHeight="1">
      <c r="B15" s="981" t="s">
        <v>9</v>
      </c>
      <c r="C15" s="988">
        <v>350</v>
      </c>
      <c r="F15" s="988">
        <v>350</v>
      </c>
      <c r="H15" s="942"/>
      <c r="U15" s="926"/>
      <c r="V15" s="942"/>
    </row>
    <row r="16" spans="1:22" ht="42.75" customHeight="1">
      <c r="A16" s="927"/>
      <c r="B16" s="942"/>
      <c r="C16" s="989"/>
      <c r="D16" s="990"/>
      <c r="E16" s="990"/>
      <c r="F16" s="989"/>
    </row>
    <row r="17" spans="1:17" ht="38.25" customHeight="1">
      <c r="B17" s="990"/>
      <c r="C17" s="990"/>
      <c r="D17" s="991"/>
      <c r="E17" s="990"/>
      <c r="F17" s="990"/>
      <c r="G17" s="990"/>
      <c r="J17" s="914" t="s">
        <v>311</v>
      </c>
      <c r="K17" s="936">
        <f>NSG_Supplies!K8/1000</f>
        <v>0</v>
      </c>
      <c r="N17" s="936"/>
    </row>
    <row r="18" spans="1:17" ht="15" customHeight="1">
      <c r="A18" s="922"/>
      <c r="C18" s="988">
        <v>451</v>
      </c>
      <c r="D18" s="990"/>
      <c r="E18" s="990"/>
      <c r="F18" s="983">
        <v>793</v>
      </c>
    </row>
    <row r="19" spans="1:17">
      <c r="A19" s="923" t="s">
        <v>612</v>
      </c>
      <c r="C19" s="981" t="s">
        <v>9</v>
      </c>
      <c r="J19" s="914" t="s">
        <v>640</v>
      </c>
      <c r="K19" s="936"/>
      <c r="N19" s="993"/>
    </row>
    <row r="20" spans="1:17" ht="17.25" customHeight="1">
      <c r="A20" s="936">
        <f>Billy_Sheet!G15</f>
        <v>-15.369</v>
      </c>
      <c r="G20" s="428"/>
      <c r="J20" s="914"/>
    </row>
    <row r="21" spans="1:17" ht="11.25" customHeight="1">
      <c r="G21" s="915"/>
      <c r="H21" s="915"/>
      <c r="I21" s="917"/>
      <c r="J21" s="942"/>
    </row>
    <row r="22" spans="1:17">
      <c r="A22" s="916" t="s">
        <v>167</v>
      </c>
      <c r="G22" s="914"/>
      <c r="I22" s="917"/>
      <c r="J22" s="914"/>
      <c r="M22" s="917"/>
      <c r="N22" s="942"/>
    </row>
    <row r="23" spans="1:17">
      <c r="A23" s="936">
        <f>Billy_Sheet!C25</f>
        <v>0</v>
      </c>
      <c r="G23" s="914" t="s">
        <v>709</v>
      </c>
      <c r="H23" s="916"/>
      <c r="I23" s="917"/>
      <c r="J23" s="942"/>
      <c r="M23" s="914"/>
      <c r="N23" s="942"/>
      <c r="Q23" s="994"/>
    </row>
    <row r="24" spans="1:17" ht="9" customHeight="1">
      <c r="G24" s="936">
        <f>PGL_Requirements!J7/1000</f>
        <v>84.765000000000001</v>
      </c>
      <c r="H24" s="917"/>
      <c r="I24" s="917"/>
      <c r="J24" s="917"/>
    </row>
    <row r="25" spans="1:17" ht="10.5" customHeight="1">
      <c r="A25" s="916" t="s">
        <v>169</v>
      </c>
      <c r="B25" s="916"/>
      <c r="C25" s="916"/>
      <c r="D25" s="916"/>
      <c r="F25" s="916"/>
      <c r="G25" s="914" t="s">
        <v>648</v>
      </c>
      <c r="H25" s="917"/>
      <c r="I25" s="917"/>
      <c r="J25" s="917"/>
    </row>
    <row r="26" spans="1:17" ht="14.25" customHeight="1">
      <c r="A26" s="936">
        <f>Billy_Sheet!G25</f>
        <v>25</v>
      </c>
      <c r="B26" s="916"/>
      <c r="C26" s="917"/>
      <c r="D26" s="917"/>
      <c r="F26" s="917"/>
      <c r="G26" s="992">
        <v>0</v>
      </c>
      <c r="H26" s="917"/>
      <c r="I26" s="917"/>
      <c r="J26" s="917" t="s">
        <v>542</v>
      </c>
      <c r="K26" s="995">
        <f>PGL_Deliveries!C6/1000</f>
        <v>195</v>
      </c>
      <c r="L26" s="914" t="s">
        <v>645</v>
      </c>
      <c r="M26" s="936">
        <f>NSG_Deliveries!C6/1000</f>
        <v>34</v>
      </c>
      <c r="N26" s="936"/>
    </row>
    <row r="27" spans="1:17" ht="8.25" customHeight="1">
      <c r="A27" s="917"/>
      <c r="B27" s="938"/>
      <c r="C27" s="917"/>
      <c r="D27" s="917"/>
      <c r="F27" s="917"/>
      <c r="G27" s="917"/>
      <c r="H27" s="918"/>
      <c r="I27" s="917"/>
      <c r="J27" s="918"/>
    </row>
    <row r="28" spans="1:17" ht="12.75" customHeight="1">
      <c r="A28" s="925" t="s">
        <v>616</v>
      </c>
      <c r="B28" s="936"/>
      <c r="C28" s="916"/>
      <c r="D28" s="917"/>
      <c r="F28" s="914"/>
      <c r="G28" s="926" t="s">
        <v>621</v>
      </c>
      <c r="H28" s="428"/>
      <c r="J28" s="917" t="s">
        <v>647</v>
      </c>
      <c r="K28" s="942">
        <f>SUM(A42)</f>
        <v>-140.37899999999996</v>
      </c>
      <c r="L28" s="917" t="s">
        <v>689</v>
      </c>
      <c r="M28" s="942">
        <f>SUM(J2+K17+K19+H11+H9-M26)</f>
        <v>7.0010000000000048</v>
      </c>
      <c r="N28" s="942"/>
    </row>
    <row r="29" spans="1:17">
      <c r="A29" s="936">
        <f>PGL_Supplies!L8/1000</f>
        <v>0</v>
      </c>
      <c r="B29" s="936"/>
      <c r="C29" s="917"/>
      <c r="D29" s="996"/>
      <c r="F29" s="1041">
        <f>PGL_Requirements!A7</f>
        <v>37096</v>
      </c>
      <c r="G29" s="936">
        <f>PGL_Requirements!G7/1000</f>
        <v>180.75</v>
      </c>
      <c r="H29" s="915"/>
      <c r="J29" s="917" t="s">
        <v>649</v>
      </c>
      <c r="K29" s="936">
        <f>PGL_Supplies!AB8/1000+PGL_Supplies!K8/1000-PGL_Requirements!N8/1000</f>
        <v>125.39600000000002</v>
      </c>
    </row>
    <row r="30" spans="1:17" ht="10.5" customHeight="1">
      <c r="A30" s="919"/>
      <c r="B30" s="936"/>
      <c r="C30" s="917"/>
      <c r="D30" s="936"/>
      <c r="F30" s="1041">
        <f>PGL_Requirements!A8</f>
        <v>37097</v>
      </c>
      <c r="G30" s="936">
        <f>PGL_Requirements!G8/1000</f>
        <v>161.4</v>
      </c>
    </row>
    <row r="31" spans="1:17" ht="17.25" customHeight="1">
      <c r="A31" s="925" t="s">
        <v>618</v>
      </c>
      <c r="B31" s="997"/>
      <c r="C31" s="920"/>
      <c r="D31" s="942"/>
      <c r="G31" s="926" t="s">
        <v>619</v>
      </c>
      <c r="H31" s="942"/>
      <c r="J31" s="917" t="s">
        <v>646</v>
      </c>
      <c r="K31" s="942">
        <f>SUM(K28+K29-K26)</f>
        <v>-209.98299999999995</v>
      </c>
    </row>
    <row r="32" spans="1:17">
      <c r="A32" s="936">
        <f>PGL_Supplies!G8/1000</f>
        <v>1</v>
      </c>
      <c r="G32" s="936">
        <f>PGL_Requirements!O8/1000</f>
        <v>100</v>
      </c>
    </row>
    <row r="33" spans="1:11" ht="6.75" customHeight="1"/>
    <row r="34" spans="1:11">
      <c r="A34" s="914" t="s">
        <v>617</v>
      </c>
      <c r="G34" s="917" t="s">
        <v>620</v>
      </c>
    </row>
    <row r="35" spans="1:11">
      <c r="A35" s="992">
        <v>0</v>
      </c>
      <c r="G35" s="936">
        <f>PGL_Requirements!B8/1000</f>
        <v>0</v>
      </c>
    </row>
    <row r="36" spans="1:11">
      <c r="G36" s="936"/>
    </row>
    <row r="37" spans="1:11">
      <c r="C37" s="914" t="s">
        <v>623</v>
      </c>
      <c r="F37" s="914" t="s">
        <v>624</v>
      </c>
      <c r="G37" s="936"/>
    </row>
    <row r="38" spans="1:11">
      <c r="C38" s="988">
        <v>451</v>
      </c>
      <c r="F38" s="988">
        <v>754</v>
      </c>
    </row>
    <row r="39" spans="1:11">
      <c r="A39" s="934" t="s">
        <v>688</v>
      </c>
      <c r="E39" s="916" t="s">
        <v>622</v>
      </c>
      <c r="F39" s="916"/>
    </row>
    <row r="40" spans="1:11">
      <c r="A40" s="942">
        <f>SUM(A3:A35)</f>
        <v>121.021</v>
      </c>
      <c r="B40" s="930"/>
      <c r="C40" s="929"/>
      <c r="D40" s="930"/>
      <c r="E40" s="930"/>
      <c r="F40" s="998"/>
      <c r="G40" s="998">
        <f>SUM(G30:G35)</f>
        <v>261.39999999999998</v>
      </c>
      <c r="H40" s="932"/>
      <c r="I40" s="931"/>
    </row>
    <row r="41" spans="1:11">
      <c r="A41" s="933" t="s">
        <v>638</v>
      </c>
      <c r="B41" s="936"/>
      <c r="C41" s="930"/>
      <c r="D41" s="930"/>
      <c r="E41" s="930"/>
      <c r="F41" s="930"/>
      <c r="G41" s="930"/>
      <c r="H41" s="930"/>
      <c r="I41" s="929"/>
    </row>
    <row r="42" spans="1:11">
      <c r="A42" s="936">
        <f>SUM(A40-G40)</f>
        <v>-140.37899999999996</v>
      </c>
      <c r="B42" s="936"/>
      <c r="C42" s="930"/>
      <c r="D42" s="930"/>
      <c r="E42" s="930"/>
      <c r="F42" s="939"/>
      <c r="G42" s="941" t="s">
        <v>642</v>
      </c>
      <c r="H42" s="999"/>
      <c r="I42" s="1000"/>
      <c r="J42" s="999"/>
      <c r="K42" s="990"/>
    </row>
    <row r="43" spans="1:11" ht="14.25" customHeight="1">
      <c r="A43" s="936"/>
      <c r="B43" s="936"/>
      <c r="C43" s="936"/>
      <c r="D43" s="936"/>
      <c r="E43" s="939"/>
      <c r="F43" s="938" t="s">
        <v>637</v>
      </c>
      <c r="G43" s="939" t="s">
        <v>636</v>
      </c>
      <c r="I43" s="936"/>
    </row>
    <row r="44" spans="1:11" ht="12.75" customHeight="1">
      <c r="A44" s="933" t="s">
        <v>625</v>
      </c>
      <c r="B44" s="936" t="s">
        <v>630</v>
      </c>
      <c r="C44" s="936" t="s">
        <v>631</v>
      </c>
      <c r="D44" s="936" t="s">
        <v>632</v>
      </c>
      <c r="E44" s="937"/>
      <c r="F44" s="937" t="s">
        <v>633</v>
      </c>
      <c r="G44" s="930" t="s">
        <v>635</v>
      </c>
      <c r="H44" s="916" t="s">
        <v>634</v>
      </c>
      <c r="I44" s="936"/>
      <c r="K44" s="916"/>
    </row>
    <row r="45" spans="1:11">
      <c r="A45" s="933" t="s">
        <v>629</v>
      </c>
      <c r="B45" s="1001">
        <v>275</v>
      </c>
      <c r="C45" s="1001">
        <v>450</v>
      </c>
      <c r="D45" s="1002">
        <f>SUM(F2+F15)/2</f>
        <v>349.5</v>
      </c>
      <c r="E45" s="1003"/>
      <c r="F45" s="1004">
        <v>6.7000000000000004E-2</v>
      </c>
      <c r="G45" s="1005">
        <f>(C45-D45)*F45</f>
        <v>6.7335000000000003</v>
      </c>
      <c r="H45" s="1005">
        <f>(D45-B45)*F45</f>
        <v>4.9915000000000003</v>
      </c>
      <c r="I45" s="936"/>
      <c r="J45" s="1006"/>
    </row>
    <row r="46" spans="1:11">
      <c r="A46" s="916" t="s">
        <v>626</v>
      </c>
      <c r="B46" s="1007">
        <v>797</v>
      </c>
      <c r="C46" s="1001">
        <v>797</v>
      </c>
      <c r="D46" s="1002">
        <v>797</v>
      </c>
      <c r="E46" s="1003"/>
      <c r="F46" s="1004">
        <v>0.13900000000000001</v>
      </c>
      <c r="G46" s="1005">
        <f>(C46-D46)*F46</f>
        <v>0</v>
      </c>
      <c r="H46" s="1005">
        <f>(D46-B46)*F46</f>
        <v>0</v>
      </c>
      <c r="I46" s="936"/>
    </row>
    <row r="47" spans="1:11">
      <c r="A47" s="916" t="s">
        <v>627</v>
      </c>
      <c r="B47" s="1007">
        <v>275</v>
      </c>
      <c r="C47" s="1001">
        <v>450</v>
      </c>
      <c r="D47" s="1002">
        <f>SUM(C2+C15)/2</f>
        <v>348</v>
      </c>
      <c r="E47" s="1003"/>
      <c r="F47" s="1004">
        <v>0.14099999999999999</v>
      </c>
      <c r="G47" s="1005">
        <f>(C47-D47)*F47</f>
        <v>14.381999999999998</v>
      </c>
      <c r="H47" s="1005">
        <f>(D47-B47)*F47</f>
        <v>10.292999999999999</v>
      </c>
      <c r="I47" s="936"/>
    </row>
    <row r="48" spans="1:11">
      <c r="A48" s="916" t="s">
        <v>628</v>
      </c>
      <c r="B48" s="1007">
        <v>285</v>
      </c>
      <c r="C48" s="1001">
        <v>750</v>
      </c>
      <c r="D48" s="1002">
        <f>SUM(C18+C38)/2</f>
        <v>451</v>
      </c>
      <c r="E48" s="1003"/>
      <c r="F48" s="1004">
        <v>0.161</v>
      </c>
      <c r="G48" s="1005">
        <f>(C48-D48)*F48</f>
        <v>48.139000000000003</v>
      </c>
      <c r="H48" s="1005">
        <f>(D48-B48)*F48</f>
        <v>26.725999999999999</v>
      </c>
    </row>
    <row r="49" spans="1:8">
      <c r="B49" s="987"/>
      <c r="C49" s="987"/>
      <c r="D49" s="987"/>
      <c r="E49" s="987"/>
      <c r="F49" s="940" t="s">
        <v>339</v>
      </c>
      <c r="G49" s="1005">
        <f>SUM(G45:G48)</f>
        <v>69.254500000000007</v>
      </c>
      <c r="H49" s="1005">
        <f>SUM(H45:H48)</f>
        <v>42.0105</v>
      </c>
    </row>
    <row r="55" spans="1:8">
      <c r="A55" s="1008"/>
      <c r="G55" s="100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F5" sqref="F5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37096</v>
      </c>
      <c r="B5" s="11">
        <v>89</v>
      </c>
      <c r="C5" s="49">
        <v>68</v>
      </c>
      <c r="D5" s="49">
        <v>7.3</v>
      </c>
      <c r="E5" s="11">
        <v>79.900000000000006</v>
      </c>
      <c r="F5" s="11">
        <v>5</v>
      </c>
      <c r="G5" s="11">
        <v>93</v>
      </c>
      <c r="H5" s="11">
        <v>0</v>
      </c>
      <c r="I5" s="894" t="s">
        <v>809</v>
      </c>
      <c r="J5" s="894" t="s">
        <v>810</v>
      </c>
      <c r="K5" s="11">
        <v>1</v>
      </c>
      <c r="L5" s="11">
        <v>1</v>
      </c>
      <c r="N5" s="15" t="str">
        <f>I5&amp;" "&amp;I5</f>
        <v>SUNNY LESS HUMID. HIGH NEAR 90 INLAND, LOW 80S NEAR THE LAKE. TONIGHT SUNNY LESS HUMID. HIGH NEAR 90 INLAND, LOW 80S NEAR THE LAKE. TONIGHT</v>
      </c>
      <c r="AE5" s="15">
        <v>1</v>
      </c>
      <c r="AH5" s="15" t="s">
        <v>32</v>
      </c>
    </row>
    <row r="6" spans="1:34" ht="16.5" customHeight="1">
      <c r="A6" s="86">
        <f>A5+1</f>
        <v>37097</v>
      </c>
      <c r="B6" s="11">
        <v>75</v>
      </c>
      <c r="C6" s="49">
        <v>60</v>
      </c>
      <c r="D6" s="49">
        <v>10</v>
      </c>
      <c r="E6" s="11" t="s">
        <v>9</v>
      </c>
      <c r="F6" s="11" t="s">
        <v>9</v>
      </c>
      <c r="G6" s="11"/>
      <c r="H6" s="11"/>
      <c r="I6" s="894" t="s">
        <v>811</v>
      </c>
      <c r="J6" s="894" t="s">
        <v>812</v>
      </c>
      <c r="K6" s="11">
        <v>5</v>
      </c>
      <c r="L6" s="11" t="s">
        <v>590</v>
      </c>
      <c r="N6" s="15" t="str">
        <f>I6&amp;" "&amp;J6</f>
        <v>CLOUDY WITH SCATTERED SHOWERS IN THE AM. BECOMING CLOUDY IN THE AFT- TERNOON.COOLER WITH HIGHS IN THE UPPER 70S.  LOW 60-65  AT NIGHT.</v>
      </c>
      <c r="AE6" s="15">
        <v>1</v>
      </c>
      <c r="AH6" s="15" t="s">
        <v>33</v>
      </c>
    </row>
    <row r="7" spans="1:34" ht="16.5" customHeight="1">
      <c r="A7" s="86">
        <f>A6+1</f>
        <v>37098</v>
      </c>
      <c r="B7" s="11">
        <v>75</v>
      </c>
      <c r="C7" s="49">
        <v>58</v>
      </c>
      <c r="D7" s="49">
        <v>12</v>
      </c>
      <c r="E7" s="11" t="s">
        <v>9</v>
      </c>
      <c r="F7" s="11" t="s">
        <v>9</v>
      </c>
      <c r="G7" s="11"/>
      <c r="H7" s="11" t="s">
        <v>9</v>
      </c>
      <c r="I7" s="894" t="s">
        <v>813</v>
      </c>
      <c r="J7" s="894" t="s">
        <v>814</v>
      </c>
      <c r="K7" s="11">
        <v>3</v>
      </c>
      <c r="L7" s="11" t="s">
        <v>20</v>
      </c>
      <c r="N7" s="15" t="str">
        <f>I7&amp;" "&amp;J7</f>
        <v>PARTLY SUNNY. HIGH IN THE UPPER 70S BUT COOLER NEAR THE LAKE. FAIR LOW AROUND 60 AT NIGHT.</v>
      </c>
    </row>
    <row r="8" spans="1:34" ht="16.5" customHeight="1">
      <c r="A8" s="86">
        <f>A7+1</f>
        <v>37099</v>
      </c>
      <c r="B8" s="11">
        <v>79</v>
      </c>
      <c r="C8" s="49">
        <v>60</v>
      </c>
      <c r="D8" s="49">
        <v>10</v>
      </c>
      <c r="E8" s="11" t="s">
        <v>9</v>
      </c>
      <c r="F8" s="11" t="s">
        <v>9</v>
      </c>
      <c r="G8" s="11"/>
      <c r="H8" s="11" t="s">
        <v>9</v>
      </c>
      <c r="I8" s="894" t="s">
        <v>815</v>
      </c>
      <c r="J8" s="894" t="s">
        <v>9</v>
      </c>
      <c r="K8" s="11">
        <v>1</v>
      </c>
      <c r="L8" s="11"/>
      <c r="N8" s="15" t="str">
        <f>I8&amp;" "&amp;J8</f>
        <v xml:space="preserve">MOSTLY SUNNY. HIGH 75 TO 80  COOLER NEAR THE LAKE.  </v>
      </c>
    </row>
    <row r="9" spans="1:34" ht="16.5" customHeight="1">
      <c r="A9" s="86">
        <f>A8+1</f>
        <v>37100</v>
      </c>
      <c r="B9" s="11">
        <v>82</v>
      </c>
      <c r="C9" s="49">
        <v>65</v>
      </c>
      <c r="D9" s="49">
        <v>10</v>
      </c>
      <c r="E9" s="11" t="s">
        <v>9</v>
      </c>
      <c r="F9" s="11" t="s">
        <v>9</v>
      </c>
      <c r="G9" s="11"/>
      <c r="H9" s="11" t="s">
        <v>9</v>
      </c>
      <c r="I9" s="894" t="s">
        <v>816</v>
      </c>
      <c r="J9" s="894" t="s">
        <v>817</v>
      </c>
      <c r="K9" s="11">
        <v>6</v>
      </c>
      <c r="L9" s="11">
        <v>0</v>
      </c>
      <c r="M9" s="87"/>
      <c r="N9" s="15" t="str">
        <f>I9&amp;" "&amp;J9</f>
        <v>PARTLY CLOUDY CHANCE OF T-STORMS. LOW IN THE LOWER 60S. HIGH IN THE  LOWER 80S. BUT A LITTLE COOLER NEAR THE LAKE.</v>
      </c>
    </row>
    <row r="10" spans="1:34" ht="16.5" customHeight="1">
      <c r="A10" s="86">
        <f>A9+1</f>
        <v>37101</v>
      </c>
      <c r="B10" s="11">
        <v>87</v>
      </c>
      <c r="C10" s="49">
        <v>69</v>
      </c>
      <c r="D10" s="49">
        <v>10</v>
      </c>
      <c r="E10" s="11" t="s">
        <v>9</v>
      </c>
      <c r="F10" s="11" t="s">
        <v>9</v>
      </c>
      <c r="G10" s="11"/>
      <c r="H10" s="11" t="s">
        <v>9</v>
      </c>
      <c r="I10" s="894" t="s">
        <v>818</v>
      </c>
      <c r="J10" s="894" t="s">
        <v>9</v>
      </c>
      <c r="K10" s="11">
        <v>6</v>
      </c>
      <c r="L10" s="11" t="s">
        <v>392</v>
      </c>
      <c r="N10" s="15" t="str">
        <f>I10&amp;" "&amp;J10</f>
        <v xml:space="preserve">CHANCE OF T-STORMS. LOW IN THE MIDDLE 60S . HIGH IN THE LOWER 80S.  </v>
      </c>
    </row>
    <row r="11" spans="1:34" ht="16.5" customHeight="1">
      <c r="G11"/>
    </row>
    <row r="12" spans="1:34" ht="15.75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5" thickBot="1">
      <c r="A2" s="121" t="s">
        <v>542</v>
      </c>
      <c r="B2" s="183">
        <f>PGL_Deliveries!U5/1000</f>
        <v>226.721</v>
      </c>
      <c r="C2" s="60"/>
      <c r="D2" s="118" t="s">
        <v>310</v>
      </c>
      <c r="E2" s="421">
        <f>Weather_Input!A5</f>
        <v>37096</v>
      </c>
      <c r="F2" s="60"/>
      <c r="H2"/>
      <c r="I2"/>
      <c r="J2"/>
      <c r="K2"/>
      <c r="L2"/>
      <c r="M2"/>
    </row>
    <row r="3" spans="1:13" ht="15">
      <c r="A3" s="97" t="s">
        <v>543</v>
      </c>
      <c r="B3" s="627">
        <f>PGL_Supplies!I7/1000</f>
        <v>0</v>
      </c>
      <c r="C3" s="182"/>
      <c r="D3" s="1054" t="s">
        <v>717</v>
      </c>
      <c r="E3" s="794">
        <f>PGL_Deliveries!T5/1000</f>
        <v>0</v>
      </c>
      <c r="F3" s="181"/>
      <c r="H3"/>
      <c r="I3"/>
      <c r="J3"/>
      <c r="K3"/>
      <c r="L3"/>
      <c r="M3"/>
    </row>
    <row r="4" spans="1:13" ht="15.75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546</v>
      </c>
      <c r="B5" s="151">
        <f>PGL_Deliveries!D5/1000</f>
        <v>10.331</v>
      </c>
      <c r="C5" s="63"/>
      <c r="D5" s="59" t="s">
        <v>544</v>
      </c>
      <c r="E5" s="151">
        <f>PGL_Deliveries!O5/1000</f>
        <v>1E-3</v>
      </c>
      <c r="F5" s="168"/>
      <c r="H5"/>
      <c r="I5"/>
      <c r="J5"/>
      <c r="K5"/>
      <c r="L5"/>
      <c r="M5"/>
    </row>
    <row r="6" spans="1:13" ht="15.75" thickBot="1">
      <c r="A6" s="179" t="s">
        <v>240</v>
      </c>
      <c r="B6" s="151">
        <f>PGL_Deliveries!I5/1000</f>
        <v>113.791</v>
      </c>
      <c r="C6" s="166"/>
      <c r="D6" s="59" t="s">
        <v>545</v>
      </c>
      <c r="E6" s="151">
        <f>PGL_Deliveries!P5/1000</f>
        <v>0.745</v>
      </c>
      <c r="F6" s="168"/>
      <c r="H6"/>
      <c r="I6"/>
      <c r="J6"/>
      <c r="K6"/>
      <c r="L6"/>
      <c r="M6"/>
    </row>
    <row r="7" spans="1:13" ht="16.5" thickBot="1">
      <c r="A7" s="178" t="s">
        <v>548</v>
      </c>
      <c r="B7" s="224">
        <f>SUM(B5:B6)</f>
        <v>124.122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697</v>
      </c>
      <c r="B8" s="151">
        <f>PGL_Deliveries!V5/1000</f>
        <v>98.38</v>
      </c>
      <c r="C8" s="626"/>
      <c r="D8" s="115" t="s">
        <v>547</v>
      </c>
      <c r="E8" s="151">
        <f>PGL_Deliveries!N5/1000</f>
        <v>4.1539999999999999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4.984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23.193000000000001</v>
      </c>
      <c r="C11" s="63"/>
      <c r="D11" s="115" t="s">
        <v>549</v>
      </c>
      <c r="E11" s="151">
        <f>PGL_Deliveries!R5/1000</f>
        <v>1.3680000000000001</v>
      </c>
      <c r="F11" s="168"/>
      <c r="H11"/>
      <c r="I11"/>
      <c r="J11"/>
      <c r="K11"/>
      <c r="L11"/>
      <c r="M11"/>
    </row>
    <row r="12" spans="1:13" ht="15">
      <c r="A12" s="169" t="s">
        <v>550</v>
      </c>
      <c r="B12" s="151">
        <f>PGL_Supplies!J7/1000</f>
        <v>0</v>
      </c>
      <c r="C12" s="63"/>
      <c r="D12" s="115" t="s">
        <v>203</v>
      </c>
      <c r="E12" s="151">
        <f>PGL_Deliveries!G5/1000</f>
        <v>11.971</v>
      </c>
      <c r="F12" s="168"/>
      <c r="H12"/>
      <c r="I12"/>
      <c r="J12"/>
      <c r="K12"/>
      <c r="L12"/>
      <c r="M12"/>
    </row>
    <row r="13" spans="1:13" ht="15">
      <c r="A13" s="169" t="s">
        <v>551</v>
      </c>
      <c r="B13" s="151">
        <f>PGL_Deliveries!Y5/1000+PGL_Deliveries!Z5/1000+PGL_Deliveries!AA5/1000-PGL_Deliveries!BE5/1000-PGL_Deliveries!BF5/1000</f>
        <v>25.792999999999992</v>
      </c>
      <c r="C13" s="63"/>
      <c r="D13" s="115" t="s">
        <v>205</v>
      </c>
      <c r="E13" s="151">
        <f>PGL_Deliveries!F5/1000</f>
        <v>58.353999999999999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0</v>
      </c>
      <c r="C14" s="63"/>
      <c r="D14" s="115" t="s">
        <v>206</v>
      </c>
      <c r="E14" s="151">
        <f>PGL_Deliveries!H5/1000</f>
        <v>19.617000000000001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-23.053999999999998</v>
      </c>
      <c r="C15" s="63"/>
      <c r="D15" s="59" t="s">
        <v>380</v>
      </c>
      <c r="E15" s="151">
        <f>PGL_Deliveries!K5/1000</f>
        <v>0</v>
      </c>
      <c r="F15" s="168"/>
      <c r="H15"/>
      <c r="I15"/>
      <c r="J15"/>
      <c r="K15"/>
      <c r="L15"/>
      <c r="M15"/>
    </row>
    <row r="16" spans="1:13" ht="15">
      <c r="A16" s="169" t="s">
        <v>552</v>
      </c>
      <c r="B16" s="60"/>
      <c r="C16" s="222">
        <f>PGL_Deliveries!AO5/1000</f>
        <v>0.19</v>
      </c>
      <c r="D16" s="115" t="s">
        <v>209</v>
      </c>
      <c r="E16" s="151">
        <f>PGL_Deliveries!L5/1000</f>
        <v>6.0000000000000001E-3</v>
      </c>
      <c r="F16" s="168"/>
      <c r="H16"/>
      <c r="I16"/>
      <c r="J16"/>
      <c r="K16"/>
      <c r="L16"/>
      <c r="M16"/>
    </row>
    <row r="17" spans="1:13" ht="15.75" thickBot="1">
      <c r="A17" s="167" t="s">
        <v>172</v>
      </c>
      <c r="B17" s="151">
        <f>PGL_Deliveries!AP5/1000</f>
        <v>0</v>
      </c>
      <c r="C17" s="166" t="s">
        <v>9</v>
      </c>
      <c r="D17" s="1086" t="s">
        <v>208</v>
      </c>
      <c r="E17" s="207">
        <f>PGL_Deliveries!M5/1000</f>
        <v>1.399</v>
      </c>
      <c r="F17" s="164"/>
      <c r="H17"/>
      <c r="I17"/>
      <c r="J17"/>
      <c r="K17"/>
      <c r="L17"/>
      <c r="M17"/>
    </row>
    <row r="18" spans="1:13" ht="16.5" thickBot="1">
      <c r="A18" s="177" t="s">
        <v>553</v>
      </c>
      <c r="B18" s="888">
        <f>SUM(B8:B17)-C16</f>
        <v>124.12199999999999</v>
      </c>
      <c r="C18" s="166"/>
      <c r="D18" s="176" t="s">
        <v>554</v>
      </c>
      <c r="E18" s="175">
        <f>SUM(E5:E17)</f>
        <v>102.599</v>
      </c>
      <c r="F18" s="164"/>
      <c r="H18"/>
      <c r="I18"/>
      <c r="J18"/>
      <c r="K18"/>
      <c r="L18"/>
      <c r="M18"/>
    </row>
    <row r="19" spans="1:13" ht="15">
      <c r="A19" s="439" t="s">
        <v>700</v>
      </c>
      <c r="B19" s="151">
        <f>PGL_Supplies!X7/1000</f>
        <v>101.19</v>
      </c>
      <c r="C19" s="626"/>
      <c r="D19" s="115" t="s">
        <v>305</v>
      </c>
      <c r="E19" s="151">
        <f>PGL_Deliveries!AI5/1000</f>
        <v>0</v>
      </c>
      <c r="F19" s="168"/>
      <c r="H19"/>
      <c r="I19"/>
      <c r="J19"/>
      <c r="K19"/>
      <c r="L19"/>
      <c r="M19"/>
    </row>
    <row r="20" spans="1:13" ht="15">
      <c r="A20" s="169" t="s">
        <v>698</v>
      </c>
      <c r="B20" s="151">
        <f>PGL_Supplies!W7/1000</f>
        <v>0</v>
      </c>
      <c r="C20" s="63"/>
      <c r="D20" s="115" t="s">
        <v>175</v>
      </c>
      <c r="E20" s="151">
        <f>PGL_Deliveries!AW5/1000+B41</f>
        <v>69.152500000000003</v>
      </c>
      <c r="F20" s="168"/>
      <c r="H20"/>
      <c r="I20"/>
      <c r="J20"/>
      <c r="K20"/>
      <c r="L20"/>
      <c r="M20"/>
    </row>
    <row r="21" spans="1:13" ht="16.5" thickBot="1">
      <c r="A21" s="169" t="s">
        <v>701</v>
      </c>
      <c r="C21" s="173">
        <f>PGL_Requirements!I7/1000</f>
        <v>0</v>
      </c>
      <c r="D21" s="625" t="s">
        <v>555</v>
      </c>
      <c r="E21" s="208">
        <f>SUM(E18:E20)</f>
        <v>171.75150000000002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59">
        <f>+B19+B20-C21</f>
        <v>101.19</v>
      </c>
      <c r="C22" s="1053"/>
      <c r="D22" s="246" t="s">
        <v>556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0.2</v>
      </c>
      <c r="C23" s="63"/>
      <c r="D23" s="246" t="s">
        <v>557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711</v>
      </c>
      <c r="B24" s="628"/>
      <c r="C24" s="222">
        <f>PGL_Requirements!T7/1000</f>
        <v>0.2</v>
      </c>
      <c r="D24" s="60" t="s">
        <v>558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710</v>
      </c>
      <c r="B25" s="151">
        <f>PGL_Supplies!Q7/1000</f>
        <v>0</v>
      </c>
      <c r="C25" s="63"/>
      <c r="D25" s="246" t="s">
        <v>560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562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559</v>
      </c>
      <c r="B27" s="151">
        <f>PGL_Supplies!Z7/1000</f>
        <v>0</v>
      </c>
      <c r="C27" s="63"/>
      <c r="D27" s="246" t="s">
        <v>565</v>
      </c>
      <c r="E27" s="60" t="s">
        <v>9</v>
      </c>
      <c r="F27" s="173">
        <f>PGL_Deliveries!AQ5/1000</f>
        <v>0</v>
      </c>
      <c r="H27"/>
      <c r="I27"/>
      <c r="J27"/>
      <c r="K27"/>
      <c r="L27"/>
      <c r="M27"/>
    </row>
    <row r="28" spans="1:13" ht="15">
      <c r="A28" s="169" t="s">
        <v>561</v>
      </c>
      <c r="B28" s="151">
        <v>0</v>
      </c>
      <c r="C28" s="63"/>
      <c r="D28" s="171" t="s">
        <v>566</v>
      </c>
      <c r="E28" s="151">
        <f>PGL_Deliveries!AR5/1000</f>
        <v>131.02099999999999</v>
      </c>
      <c r="F28" s="168"/>
      <c r="H28"/>
      <c r="I28"/>
      <c r="J28"/>
      <c r="K28"/>
      <c r="L28"/>
      <c r="M28"/>
    </row>
    <row r="29" spans="1:13" ht="15">
      <c r="A29" s="169" t="s">
        <v>563</v>
      </c>
      <c r="B29" s="1017">
        <f>PGL_Supplies!AC7/1000</f>
        <v>4.4989999999999997</v>
      </c>
      <c r="C29" s="63"/>
      <c r="D29" s="246" t="s">
        <v>685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564</v>
      </c>
      <c r="B30" s="151">
        <f>PGL_Supplies!AD7/1000</f>
        <v>0</v>
      </c>
      <c r="C30" s="63"/>
      <c r="D30" s="60" t="s">
        <v>183</v>
      </c>
      <c r="E30" s="151">
        <f>PGL_Supplies!AB7/1000</f>
        <v>40.731000000000002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569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571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567</v>
      </c>
      <c r="B33" s="629">
        <f>(PGL_Deliveries!AB5+PGL_Deliveries!AC5+PGL_Deliveries!AD5)/1000</f>
        <v>0</v>
      </c>
      <c r="C33" s="63"/>
      <c r="D33" s="246" t="s">
        <v>573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568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570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572</v>
      </c>
      <c r="B36" s="151" t="s">
        <v>9</v>
      </c>
      <c r="C36" s="222">
        <f>PGL_Deliveries!AU5/1000</f>
        <v>92.5</v>
      </c>
      <c r="F36" s="168"/>
      <c r="H36"/>
      <c r="I36"/>
      <c r="J36"/>
      <c r="K36"/>
      <c r="L36"/>
      <c r="M36"/>
    </row>
    <row r="37" spans="1:13" ht="15">
      <c r="A37" s="170" t="s">
        <v>574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575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5" thickBot="1">
      <c r="A39" s="169" t="s">
        <v>195</v>
      </c>
      <c r="B39" s="151">
        <f>PGL_Deliveries!AT5/1000</f>
        <v>1.881</v>
      </c>
      <c r="C39" s="63"/>
      <c r="D39" s="209" t="s">
        <v>210</v>
      </c>
      <c r="E39" s="208">
        <f>SUM(E22:E33)-SUM(F23:F38)-E29</f>
        <v>171.75199999999998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576</v>
      </c>
      <c r="E40" s="794"/>
      <c r="F40" s="173">
        <f>PGL_Requirements!J7/1000</f>
        <v>84.765000000000001</v>
      </c>
      <c r="H40"/>
      <c r="I40"/>
      <c r="J40"/>
      <c r="K40"/>
      <c r="L40"/>
      <c r="M40"/>
    </row>
    <row r="41" spans="1:13" ht="15">
      <c r="A41" s="170" t="s">
        <v>577</v>
      </c>
      <c r="B41" s="151">
        <f>PGL_Deliveries!AE5/1000</f>
        <v>67.765000000000001</v>
      </c>
      <c r="C41" s="63"/>
      <c r="D41" s="246" t="s">
        <v>498</v>
      </c>
      <c r="E41" s="795">
        <f>PGL_Supplies!AA7/1000</f>
        <v>168.505</v>
      </c>
      <c r="F41" s="168"/>
      <c r="H41"/>
      <c r="I41"/>
      <c r="J41"/>
      <c r="K41"/>
      <c r="L41"/>
      <c r="M41"/>
    </row>
    <row r="42" spans="1:13" ht="15">
      <c r="A42" s="1" t="s">
        <v>793</v>
      </c>
      <c r="B42" s="151">
        <f>PGL_Deliveries!BI5/1000</f>
        <v>0</v>
      </c>
      <c r="C42" s="222">
        <f>PGL_Deliveries!BH5/1000</f>
        <v>0</v>
      </c>
      <c r="D42" s="60" t="s">
        <v>371</v>
      </c>
      <c r="E42" s="795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578</v>
      </c>
      <c r="B43" s="151">
        <f>PGL_Deliveries!AW5/1000</f>
        <v>1.3875</v>
      </c>
      <c r="C43" s="63"/>
      <c r="D43" s="60" t="s">
        <v>501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75" thickBot="1">
      <c r="A44" s="169" t="s">
        <v>694</v>
      </c>
      <c r="B44" s="165"/>
      <c r="C44" s="222">
        <f>PGL_Requirements!Q7/1000</f>
        <v>0.2</v>
      </c>
      <c r="D44" s="60" t="s">
        <v>502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579</v>
      </c>
      <c r="B45" s="60">
        <f>Weather_Input!B5</f>
        <v>89</v>
      </c>
      <c r="C45" s="182"/>
      <c r="D45" s="60" t="s">
        <v>587</v>
      </c>
      <c r="E45" s="795">
        <f>PGL_Supplies!S7/1000</f>
        <v>70</v>
      </c>
      <c r="F45" s="168"/>
    </row>
    <row r="46" spans="1:13" ht="15">
      <c r="A46" s="169" t="s">
        <v>580</v>
      </c>
      <c r="B46" s="234">
        <f>Weather_Input!C5</f>
        <v>68</v>
      </c>
      <c r="C46" s="159"/>
      <c r="D46" s="72" t="s">
        <v>791</v>
      </c>
      <c r="E46" s="60"/>
      <c r="F46" s="173">
        <f>PGL_Deliveries!BE5/1000</f>
        <v>180.75</v>
      </c>
    </row>
    <row r="47" spans="1:13" ht="15">
      <c r="A47" s="170" t="s">
        <v>581</v>
      </c>
      <c r="B47" s="60">
        <f>Weather_Input!E5</f>
        <v>79.900000000000006</v>
      </c>
      <c r="C47" s="159"/>
      <c r="D47" s="769" t="s">
        <v>792</v>
      </c>
      <c r="E47" s="67"/>
      <c r="F47" s="1244">
        <f>PGL_Deliveries!BF5/1000</f>
        <v>88.873000000000005</v>
      </c>
    </row>
    <row r="48" spans="1:13" ht="15">
      <c r="A48" s="169" t="s">
        <v>582</v>
      </c>
      <c r="B48" s="223">
        <f>Weather_Input!D5</f>
        <v>7.3</v>
      </c>
      <c r="C48" s="159"/>
      <c r="D48" s="246" t="s">
        <v>231</v>
      </c>
      <c r="E48" s="151">
        <f>PGL_Deliveries!AI5/1000</f>
        <v>0</v>
      </c>
      <c r="F48" s="158"/>
    </row>
    <row r="49" spans="1:6" ht="15">
      <c r="A49" s="169" t="s">
        <v>583</v>
      </c>
      <c r="B49" s="151">
        <f>PGL_Deliveries!AM5/1000</f>
        <v>1.0289999999999999</v>
      </c>
      <c r="C49" s="159"/>
      <c r="D49" s="60" t="s">
        <v>727</v>
      </c>
      <c r="E49" s="151">
        <f>PGL_Deliveries!AJ5/1000</f>
        <v>23.193000000000001</v>
      </c>
      <c r="F49" s="158"/>
    </row>
    <row r="50" spans="1:6" ht="15.75" outlineLevel="2" thickBot="1">
      <c r="A50" s="100" t="s">
        <v>584</v>
      </c>
      <c r="B50" s="160"/>
      <c r="C50" s="157"/>
      <c r="D50" s="165" t="s">
        <v>585</v>
      </c>
      <c r="E50" s="207">
        <f>PGL_Deliveries!AK5/1000</f>
        <v>0</v>
      </c>
      <c r="F50" s="438"/>
    </row>
    <row r="51" spans="1:6" ht="15" outlineLevel="2">
      <c r="A51" s="416" t="s">
        <v>586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75" thickBot="1">
      <c r="A3" s="1060" t="s">
        <v>4</v>
      </c>
      <c r="B3" s="239">
        <f>NSG_Deliveries!H5/1000</f>
        <v>32.454999999999998</v>
      </c>
      <c r="C3" s="117"/>
      <c r="D3" s="226" t="s">
        <v>310</v>
      </c>
      <c r="E3" s="424">
        <f>Weather_Input!A5</f>
        <v>37096</v>
      </c>
      <c r="F3" s="117"/>
      <c r="G3"/>
      <c r="J3"/>
      <c r="K3"/>
    </row>
    <row r="4" spans="1:11" ht="15.75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32.454999999999998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0</v>
      </c>
      <c r="C7" s="805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32.454999999999998</v>
      </c>
      <c r="C8" s="158"/>
      <c r="D8" s="806" t="s">
        <v>603</v>
      </c>
      <c r="E8" s="800">
        <f>NSG_Deliveries!F5/1000</f>
        <v>0</v>
      </c>
      <c r="F8" s="799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594</v>
      </c>
      <c r="E9" s="801" t="s">
        <v>9</v>
      </c>
      <c r="F9" s="976">
        <f>NSG_Deliveries!M5/1000</f>
        <v>12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78" t="s">
        <v>595</v>
      </c>
      <c r="E10" s="441">
        <f>NSG_Deliveries!N5/1000</f>
        <v>0</v>
      </c>
      <c r="F10" s="802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604</v>
      </c>
      <c r="E11" s="803">
        <f>NSG_Supplies!P7/1000</f>
        <v>12</v>
      </c>
      <c r="F11" s="804"/>
      <c r="G11"/>
    </row>
    <row r="12" spans="1:11" ht="15" customHeight="1">
      <c r="A12" s="125" t="s">
        <v>372</v>
      </c>
      <c r="B12" s="215">
        <v>0</v>
      </c>
      <c r="C12" s="129"/>
      <c r="D12" t="s">
        <v>314</v>
      </c>
      <c r="E12" s="237"/>
      <c r="F12" s="785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27.285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0</v>
      </c>
      <c r="D15" s="233" t="s">
        <v>320</v>
      </c>
      <c r="E15" s="762">
        <f>+NSG_Supplies!N7/1000</f>
        <v>0</v>
      </c>
      <c r="F15" s="212"/>
    </row>
    <row r="16" spans="1:11" ht="15" customHeight="1" thickBot="1">
      <c r="A16" s="127" t="s">
        <v>322</v>
      </c>
      <c r="B16" s="441">
        <f>NSG_Deliveries!L5/1000</f>
        <v>5.17</v>
      </c>
      <c r="C16" s="977"/>
      <c r="D16" s="814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54" t="s">
        <v>9</v>
      </c>
      <c r="B19" s="441" t="s">
        <v>9</v>
      </c>
      <c r="C19" s="440" t="s">
        <v>9</v>
      </c>
      <c r="D19" s="228" t="s">
        <v>327</v>
      </c>
      <c r="E19" s="159"/>
      <c r="F19" s="126">
        <f>NSG_Requirements!S7/1000</f>
        <v>0</v>
      </c>
    </row>
    <row r="20" spans="1:8" ht="15" customHeight="1">
      <c r="A20" s="1254" t="s">
        <v>9</v>
      </c>
      <c r="B20" s="441" t="s">
        <v>9</v>
      </c>
      <c r="C20" s="440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54" t="s">
        <v>9</v>
      </c>
      <c r="B21" s="441" t="s">
        <v>9</v>
      </c>
      <c r="C21" s="440" t="s">
        <v>9</v>
      </c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 t="s">
        <v>9</v>
      </c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 t="s">
        <v>9</v>
      </c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 t="s">
        <v>9</v>
      </c>
      <c r="D24" s="227" t="s">
        <v>331</v>
      </c>
      <c r="E24" s="220">
        <f>NSG_Supplies!O7/1000</f>
        <v>0</v>
      </c>
      <c r="F24" s="124"/>
    </row>
    <row r="25" spans="1:8" ht="15" customHeight="1">
      <c r="A25" s="1254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63" t="s">
        <v>333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32.454999999999998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373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1" t="s">
        <v>9</v>
      </c>
    </row>
    <row r="2" spans="1:3" ht="15.75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87" customWidth="1"/>
    <col min="3" max="3" width="20.6640625" customWidth="1"/>
  </cols>
  <sheetData>
    <row r="1" spans="2:7">
      <c r="E1" s="787" t="s">
        <v>9</v>
      </c>
    </row>
    <row r="2" spans="2:7">
      <c r="B2" s="911" t="s">
        <v>9</v>
      </c>
      <c r="C2" s="911" t="s">
        <v>9</v>
      </c>
      <c r="D2" s="911" t="s">
        <v>158</v>
      </c>
      <c r="E2" s="911" t="s">
        <v>9</v>
      </c>
      <c r="F2" s="911" t="s">
        <v>158</v>
      </c>
      <c r="G2" s="911" t="s">
        <v>9</v>
      </c>
    </row>
    <row r="4" spans="2:7">
      <c r="B4" s="912" t="s">
        <v>158</v>
      </c>
    </row>
    <row r="6" spans="2:7">
      <c r="B6" s="911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1"/>
    </row>
    <row r="8" spans="2:7">
      <c r="B8" s="911" t="s">
        <v>9</v>
      </c>
    </row>
    <row r="9" spans="2:7">
      <c r="B9" s="911"/>
    </row>
    <row r="10" spans="2:7">
      <c r="B10" s="911" t="s">
        <v>9</v>
      </c>
      <c r="C10" t="b">
        <f>TRUE()</f>
        <v>1</v>
      </c>
    </row>
    <row r="11" spans="2:7">
      <c r="B11" s="911" t="s">
        <v>9</v>
      </c>
    </row>
    <row r="12" spans="2:7">
      <c r="B12" s="911" t="s">
        <v>9</v>
      </c>
    </row>
    <row r="13" spans="2:7">
      <c r="B13" s="911"/>
    </row>
    <row r="14" spans="2:7">
      <c r="B14" s="911" t="s">
        <v>9</v>
      </c>
    </row>
    <row r="15" spans="2:7">
      <c r="B15" s="911"/>
    </row>
    <row r="16" spans="2:7">
      <c r="B16" s="911" t="s">
        <v>9</v>
      </c>
    </row>
    <row r="17" spans="2:5">
      <c r="B17" s="911"/>
    </row>
    <row r="18" spans="2:5">
      <c r="B18" s="911" t="s">
        <v>9</v>
      </c>
    </row>
    <row r="19" spans="2:5">
      <c r="B19" s="911"/>
    </row>
    <row r="20" spans="2:5">
      <c r="B20" s="911" t="s">
        <v>9</v>
      </c>
    </row>
    <row r="21" spans="2:5">
      <c r="B21" s="911"/>
    </row>
    <row r="22" spans="2:5">
      <c r="B22" s="911" t="s">
        <v>9</v>
      </c>
    </row>
    <row r="24" spans="2:5">
      <c r="B24" s="911" t="s">
        <v>9</v>
      </c>
    </row>
    <row r="25" spans="2:5">
      <c r="E25" s="911" t="s">
        <v>9</v>
      </c>
    </row>
    <row r="27" spans="2:5">
      <c r="B27" s="911" t="s">
        <v>9</v>
      </c>
    </row>
    <row r="29" spans="2:5">
      <c r="B29" s="911" t="s">
        <v>9</v>
      </c>
    </row>
    <row r="30" spans="2:5">
      <c r="B30" s="911"/>
    </row>
    <row r="31" spans="2:5">
      <c r="B31" s="911" t="s">
        <v>9</v>
      </c>
    </row>
    <row r="32" spans="2:5">
      <c r="B32" s="911"/>
    </row>
    <row r="33" spans="2:2">
      <c r="B33" s="911" t="s">
        <v>9</v>
      </c>
    </row>
    <row r="34" spans="2:2">
      <c r="B34" s="911"/>
    </row>
    <row r="35" spans="2:2">
      <c r="B35" s="911" t="s">
        <v>9</v>
      </c>
    </row>
    <row r="36" spans="2:2">
      <c r="B36" s="911"/>
    </row>
    <row r="37" spans="2:2">
      <c r="B37" s="911" t="s">
        <v>9</v>
      </c>
    </row>
    <row r="38" spans="2:2">
      <c r="B38" s="911"/>
    </row>
    <row r="39" spans="2:2">
      <c r="B39" s="911" t="s">
        <v>9</v>
      </c>
    </row>
    <row r="40" spans="2:2">
      <c r="B40" s="911"/>
    </row>
    <row r="41" spans="2:2">
      <c r="B41" s="911" t="s">
        <v>9</v>
      </c>
    </row>
    <row r="42" spans="2:2">
      <c r="B42" s="911"/>
    </row>
    <row r="43" spans="2:2">
      <c r="B43" s="911" t="s">
        <v>9</v>
      </c>
    </row>
    <row r="44" spans="2:2">
      <c r="B44" s="911"/>
    </row>
    <row r="45" spans="2:2">
      <c r="B45" s="911" t="s">
        <v>9</v>
      </c>
    </row>
    <row r="47" spans="2:2">
      <c r="B47" s="911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38"/>
    <col min="2" max="16384" width="8.88671875" style="135"/>
  </cols>
  <sheetData>
    <row r="1" spans="1:131" ht="15.75">
      <c r="A1" s="133"/>
      <c r="B1" s="134"/>
      <c r="D1" s="136"/>
    </row>
    <row r="2" spans="1:131" ht="15.75">
      <c r="A2" s="137"/>
      <c r="G2" s="134"/>
    </row>
    <row r="3" spans="1:131" ht="15">
      <c r="DZ3"/>
      <c r="EA3" s="149"/>
    </row>
    <row r="5" spans="1:131" ht="15.75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0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336</v>
      </c>
      <c r="B1" s="51">
        <f>Weather_Input!A5</f>
        <v>37096</v>
      </c>
      <c r="C1" s="4"/>
    </row>
    <row r="2" spans="1:19">
      <c r="A2" s="109" t="s">
        <v>337</v>
      </c>
      <c r="B2" s="4"/>
      <c r="C2" s="4"/>
    </row>
    <row r="3" spans="1:19" ht="15.75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37095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112671</v>
      </c>
      <c r="O6" s="201">
        <v>0</v>
      </c>
      <c r="P6" s="201">
        <v>55571894</v>
      </c>
      <c r="Q6" s="201">
        <v>15045098</v>
      </c>
      <c r="R6" s="201">
        <v>40526796</v>
      </c>
      <c r="S6" s="201">
        <v>0</v>
      </c>
    </row>
    <row r="7" spans="1:19">
      <c r="A7" s="4">
        <f>B1</f>
        <v>37096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105689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55677583</v>
      </c>
      <c r="Q7">
        <f>IF(O7&gt;0,Q6+O7,Q6)</f>
        <v>15045098</v>
      </c>
      <c r="R7">
        <f>IF(P7&gt;Q7,P7-Q7,0)</f>
        <v>40632485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E1" zoomScale="75" workbookViewId="0">
      <selection activeCell="AM6" sqref="AM6"/>
    </sheetView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  <col min="59" max="59" width="4.7773437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1" t="s">
        <v>683</v>
      </c>
      <c r="BE1" t="s">
        <v>684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680</v>
      </c>
      <c r="BC2" t="s">
        <v>681</v>
      </c>
      <c r="BE2" s="1029">
        <v>1</v>
      </c>
      <c r="BF2" s="195" t="s">
        <v>681</v>
      </c>
      <c r="BH2" t="s">
        <v>795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381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381</v>
      </c>
      <c r="U3" s="3" t="s">
        <v>13</v>
      </c>
      <c r="V3" s="3"/>
      <c r="W3" s="109"/>
      <c r="X3" s="1"/>
      <c r="Y3" s="1" t="s">
        <v>499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2" t="s">
        <v>664</v>
      </c>
      <c r="AP3" s="1010"/>
      <c r="AQ3" s="782" t="s">
        <v>665</v>
      </c>
      <c r="AR3" s="1010"/>
      <c r="AS3" s="782" t="s">
        <v>666</v>
      </c>
      <c r="AT3" s="1010"/>
      <c r="AU3" s="428" t="s">
        <v>170</v>
      </c>
      <c r="AV3" s="428" t="s">
        <v>170</v>
      </c>
      <c r="AW3" s="428"/>
      <c r="AX3" s="428" t="s">
        <v>170</v>
      </c>
      <c r="AZ3" s="119" t="s">
        <v>678</v>
      </c>
      <c r="BA3" s="119"/>
      <c r="BB3" s="159"/>
      <c r="BC3" s="119" t="s">
        <v>41</v>
      </c>
      <c r="BE3" s="1029" t="s">
        <v>500</v>
      </c>
      <c r="BH3" t="s">
        <v>794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382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378</v>
      </c>
      <c r="U4" s="3" t="s">
        <v>54</v>
      </c>
      <c r="V4" s="3" t="s">
        <v>695</v>
      </c>
      <c r="W4" s="3" t="s">
        <v>66</v>
      </c>
      <c r="X4" s="3" t="s">
        <v>67</v>
      </c>
      <c r="Y4" s="3" t="s">
        <v>538</v>
      </c>
      <c r="Z4" s="3" t="s">
        <v>539</v>
      </c>
      <c r="AA4" s="3" t="s">
        <v>724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09" t="s">
        <v>662</v>
      </c>
      <c r="AP4" s="3" t="s">
        <v>663</v>
      </c>
      <c r="AQ4" s="3" t="s">
        <v>662</v>
      </c>
      <c r="AR4" s="3" t="s">
        <v>663</v>
      </c>
      <c r="AS4" s="3" t="s">
        <v>662</v>
      </c>
      <c r="AT4" s="3" t="s">
        <v>663</v>
      </c>
      <c r="AU4" s="428" t="s">
        <v>189</v>
      </c>
      <c r="AV4" s="428" t="s">
        <v>693</v>
      </c>
      <c r="AW4" s="428" t="s">
        <v>198</v>
      </c>
      <c r="AX4" s="428" t="s">
        <v>661</v>
      </c>
      <c r="AY4" s="1"/>
      <c r="AZ4" s="1030" t="s">
        <v>40</v>
      </c>
      <c r="BA4" s="1031" t="s">
        <v>41</v>
      </c>
      <c r="BB4" s="1032" t="s">
        <v>677</v>
      </c>
      <c r="BC4" s="1032" t="s">
        <v>682</v>
      </c>
      <c r="BE4" s="195" t="s">
        <v>378</v>
      </c>
      <c r="BF4" s="195" t="s">
        <v>679</v>
      </c>
      <c r="BG4" s="1"/>
      <c r="BH4" s="1" t="s">
        <v>796</v>
      </c>
      <c r="BI4" s="1" t="s">
        <v>797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37096</v>
      </c>
      <c r="B5" s="1">
        <f>(Weather_Input!B5+Weather_Input!C5)/2</f>
        <v>78.5</v>
      </c>
      <c r="C5" s="895">
        <v>220000</v>
      </c>
      <c r="D5" s="896">
        <v>10331</v>
      </c>
      <c r="E5" s="896">
        <v>0</v>
      </c>
      <c r="F5" s="896">
        <v>58354</v>
      </c>
      <c r="G5" s="896">
        <v>11971</v>
      </c>
      <c r="H5" s="896">
        <v>19617</v>
      </c>
      <c r="I5" s="896">
        <v>113791</v>
      </c>
      <c r="J5" s="896">
        <v>0</v>
      </c>
      <c r="K5" s="896">
        <v>0</v>
      </c>
      <c r="L5" s="896">
        <v>6</v>
      </c>
      <c r="M5" s="896">
        <v>1399</v>
      </c>
      <c r="N5" s="896">
        <v>4154</v>
      </c>
      <c r="O5" s="896">
        <v>1</v>
      </c>
      <c r="P5" s="896">
        <v>745</v>
      </c>
      <c r="Q5" s="896">
        <v>0</v>
      </c>
      <c r="R5" s="896">
        <v>1368</v>
      </c>
      <c r="S5" s="901">
        <v>4984</v>
      </c>
      <c r="T5" s="1085">
        <v>0</v>
      </c>
      <c r="U5" s="895">
        <f>SUM(D5:S5)-T5</f>
        <v>226721</v>
      </c>
      <c r="V5" s="895">
        <v>98380</v>
      </c>
      <c r="W5" s="11">
        <v>0</v>
      </c>
      <c r="X5" s="11">
        <v>0</v>
      </c>
      <c r="Y5" s="11">
        <v>0</v>
      </c>
      <c r="Z5" s="11">
        <v>38022</v>
      </c>
      <c r="AA5" s="11">
        <v>257394</v>
      </c>
      <c r="AB5" s="11">
        <v>0</v>
      </c>
      <c r="AC5" s="11">
        <v>0</v>
      </c>
      <c r="AD5" s="11">
        <v>0</v>
      </c>
      <c r="AE5" s="11">
        <v>67765</v>
      </c>
      <c r="AF5" s="11">
        <v>0</v>
      </c>
      <c r="AG5" s="11">
        <v>0</v>
      </c>
      <c r="AH5" s="11">
        <v>0</v>
      </c>
      <c r="AI5" s="11">
        <v>0</v>
      </c>
      <c r="AJ5" s="11">
        <v>23193</v>
      </c>
      <c r="AK5" s="11">
        <v>0</v>
      </c>
      <c r="AL5" s="11">
        <v>0</v>
      </c>
      <c r="AM5" s="1">
        <v>1029</v>
      </c>
      <c r="AN5" s="1"/>
      <c r="AO5" s="1">
        <v>190</v>
      </c>
      <c r="AP5" s="1">
        <v>0</v>
      </c>
      <c r="AQ5" s="1">
        <v>0</v>
      </c>
      <c r="AR5" s="1">
        <v>131021</v>
      </c>
      <c r="AS5" s="1">
        <v>0</v>
      </c>
      <c r="AT5" s="1">
        <v>1881</v>
      </c>
      <c r="AU5" s="1">
        <v>92500</v>
      </c>
      <c r="AV5" s="1">
        <v>200</v>
      </c>
      <c r="AW5" s="622">
        <f>AU5*0.015</f>
        <v>1387.5</v>
      </c>
      <c r="AX5" s="1">
        <v>0</v>
      </c>
      <c r="AY5" s="1"/>
      <c r="AZ5" s="1">
        <v>12008</v>
      </c>
      <c r="BA5" s="1">
        <v>19845</v>
      </c>
      <c r="BB5" s="1">
        <v>0</v>
      </c>
      <c r="BC5" s="1">
        <v>0</v>
      </c>
      <c r="BD5" s="1"/>
      <c r="BE5" s="1">
        <v>180750</v>
      </c>
      <c r="BF5" s="1">
        <v>88873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37097</v>
      </c>
      <c r="B6" s="913">
        <f>(Weather_Input!B6+Weather_Input!C6)/2</f>
        <v>67.5</v>
      </c>
      <c r="C6" s="895">
        <v>195000</v>
      </c>
      <c r="D6" s="897" t="s">
        <v>9</v>
      </c>
      <c r="E6" s="898"/>
      <c r="F6" s="898"/>
      <c r="G6" s="898"/>
      <c r="H6" s="898"/>
      <c r="I6" s="898" t="s">
        <v>9</v>
      </c>
      <c r="J6" s="898"/>
      <c r="K6" s="898"/>
      <c r="L6" s="898" t="s">
        <v>9</v>
      </c>
      <c r="M6" s="898"/>
      <c r="N6" s="898"/>
      <c r="O6" s="898"/>
      <c r="P6" s="898"/>
      <c r="Q6" s="898"/>
      <c r="R6" s="898"/>
      <c r="S6" s="898"/>
      <c r="T6" s="898"/>
      <c r="U6" s="898"/>
      <c r="V6" s="898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660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37098</v>
      </c>
      <c r="B7" s="913">
        <f>(Weather_Input!B7+Weather_Input!C7)/2</f>
        <v>66.5</v>
      </c>
      <c r="C7" s="895">
        <v>195000</v>
      </c>
      <c r="D7" s="897" t="s">
        <v>9</v>
      </c>
      <c r="E7" s="898"/>
      <c r="F7" s="898"/>
      <c r="G7" s="898"/>
      <c r="H7" s="899" t="s">
        <v>75</v>
      </c>
      <c r="I7" s="898"/>
      <c r="J7" s="898"/>
      <c r="K7" s="898"/>
      <c r="L7" s="898"/>
      <c r="M7" s="898"/>
      <c r="N7" s="898"/>
      <c r="O7" s="898"/>
      <c r="P7" s="898"/>
      <c r="Q7" s="898"/>
      <c r="R7" s="898" t="s">
        <v>511</v>
      </c>
      <c r="S7" s="902">
        <v>0</v>
      </c>
      <c r="T7" s="902"/>
      <c r="U7" s="898"/>
      <c r="V7" s="89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37099</v>
      </c>
      <c r="B8" s="913">
        <f>(Weather_Input!B8+Weather_Input!C8)/2</f>
        <v>69.5</v>
      </c>
      <c r="C8" s="895">
        <v>185000</v>
      </c>
      <c r="D8" s="897" t="s">
        <v>9</v>
      </c>
      <c r="E8" s="898" t="s">
        <v>9</v>
      </c>
      <c r="F8" s="898"/>
      <c r="G8" s="898"/>
      <c r="H8" s="900" t="s">
        <v>76</v>
      </c>
      <c r="I8" s="898"/>
      <c r="J8" s="898"/>
      <c r="K8" s="898"/>
      <c r="L8" s="898"/>
      <c r="M8" s="898"/>
      <c r="N8" s="898"/>
      <c r="O8" s="898"/>
      <c r="P8" s="898"/>
      <c r="Q8" s="898"/>
      <c r="R8" s="898" t="s">
        <v>512</v>
      </c>
      <c r="S8" s="902">
        <v>0</v>
      </c>
      <c r="T8" s="902"/>
      <c r="U8" s="898"/>
      <c r="V8" s="89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37100</v>
      </c>
      <c r="B9" s="913">
        <f>(Weather_Input!B9+Weather_Input!C9)/2</f>
        <v>73.5</v>
      </c>
      <c r="C9" s="895">
        <v>175000</v>
      </c>
      <c r="D9" s="897" t="s">
        <v>9</v>
      </c>
      <c r="E9" s="898"/>
      <c r="F9" s="898"/>
      <c r="G9" s="898"/>
      <c r="H9" s="898" t="s">
        <v>77</v>
      </c>
      <c r="I9" s="898"/>
      <c r="J9" s="898"/>
      <c r="K9" s="898"/>
      <c r="L9" s="898"/>
      <c r="M9" s="898"/>
      <c r="N9" s="898"/>
      <c r="O9" s="898"/>
      <c r="P9" s="898"/>
      <c r="Q9" s="898"/>
      <c r="R9" s="898" t="s">
        <v>513</v>
      </c>
      <c r="S9" s="902">
        <v>0</v>
      </c>
      <c r="T9" s="902"/>
      <c r="U9" s="898"/>
      <c r="V9" s="89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37101</v>
      </c>
      <c r="B10" s="913">
        <f>(Weather_Input!B10+Weather_Input!C10)/2</f>
        <v>78</v>
      </c>
      <c r="C10" s="895">
        <v>180000</v>
      </c>
      <c r="D10" s="897" t="s">
        <v>9</v>
      </c>
      <c r="E10" s="898" t="s">
        <v>9</v>
      </c>
      <c r="F10" s="898"/>
      <c r="G10" s="898"/>
      <c r="H10" s="898" t="s">
        <v>78</v>
      </c>
      <c r="I10" s="898"/>
      <c r="J10" s="898"/>
      <c r="K10" s="898"/>
      <c r="L10" s="898"/>
      <c r="M10" s="898"/>
      <c r="N10" s="898"/>
      <c r="O10" s="898"/>
      <c r="P10" s="898"/>
      <c r="Q10" s="898"/>
      <c r="R10" s="898" t="s">
        <v>516</v>
      </c>
      <c r="S10" s="902">
        <v>0</v>
      </c>
      <c r="T10" s="902"/>
      <c r="U10" s="898"/>
      <c r="V10" s="89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514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515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517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518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519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18" t="s">
        <v>9</v>
      </c>
      <c r="T16" s="81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4"/>
      <c r="T29" s="784"/>
    </row>
    <row r="30" spans="3:92">
      <c r="S30" s="784"/>
      <c r="T30" s="784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D1" zoomScale="75" workbookViewId="0">
      <selection activeCell="I6" sqref="I6"/>
    </sheetView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658</v>
      </c>
      <c r="L2" t="s">
        <v>658</v>
      </c>
      <c r="M2" t="s">
        <v>658</v>
      </c>
      <c r="N2" t="s">
        <v>658</v>
      </c>
    </row>
    <row r="3" spans="1:14" ht="15">
      <c r="B3" s="11" t="s">
        <v>37</v>
      </c>
      <c r="C3" s="1" t="s">
        <v>54</v>
      </c>
      <c r="D3" s="3" t="s">
        <v>79</v>
      </c>
      <c r="F3" s="3" t="s">
        <v>598</v>
      </c>
      <c r="G3" s="153" t="s">
        <v>80</v>
      </c>
      <c r="H3" s="3" t="s">
        <v>13</v>
      </c>
      <c r="I3" s="153" t="s">
        <v>81</v>
      </c>
      <c r="K3" t="s">
        <v>659</v>
      </c>
      <c r="L3" t="s">
        <v>659</v>
      </c>
      <c r="M3" t="s">
        <v>659</v>
      </c>
      <c r="N3" t="s">
        <v>659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656</v>
      </c>
      <c r="L4" s="1" t="s">
        <v>657</v>
      </c>
      <c r="M4" s="1" t="s">
        <v>656</v>
      </c>
      <c r="N4" s="1" t="s">
        <v>657</v>
      </c>
    </row>
    <row r="5" spans="1:14">
      <c r="A5" s="12">
        <f>Weather_Input!A5</f>
        <v>37096</v>
      </c>
      <c r="B5" s="1">
        <f>(Weather_Input!B5+Weather_Input!C5)/2</f>
        <v>78.5</v>
      </c>
      <c r="C5" s="895">
        <v>33300</v>
      </c>
      <c r="D5" s="895">
        <v>0</v>
      </c>
      <c r="E5" s="895">
        <v>32455</v>
      </c>
      <c r="F5" s="895">
        <v>0</v>
      </c>
      <c r="G5" s="895">
        <v>0</v>
      </c>
      <c r="H5" s="903">
        <f>SUM(D5:G5)</f>
        <v>32455</v>
      </c>
      <c r="I5" s="1">
        <v>999</v>
      </c>
      <c r="J5" s="1" t="s">
        <v>9</v>
      </c>
      <c r="K5" s="1">
        <v>0</v>
      </c>
      <c r="L5" s="1">
        <v>5170</v>
      </c>
      <c r="M5" s="1">
        <v>12000</v>
      </c>
      <c r="N5" s="1">
        <v>0</v>
      </c>
    </row>
    <row r="6" spans="1:14">
      <c r="A6" s="12">
        <f>A5+1</f>
        <v>37097</v>
      </c>
      <c r="B6" s="913">
        <f>(Weather_Input!B6+Weather_Input!C6)/2</f>
        <v>67.5</v>
      </c>
      <c r="C6" s="895">
        <v>34000</v>
      </c>
      <c r="D6" s="898" t="s">
        <v>9</v>
      </c>
      <c r="E6" s="898"/>
      <c r="F6" s="898"/>
      <c r="G6" s="898"/>
      <c r="H6" s="15"/>
      <c r="I6" s="1" t="s">
        <v>9</v>
      </c>
    </row>
    <row r="7" spans="1:14">
      <c r="A7" s="12">
        <f>A6+1</f>
        <v>37098</v>
      </c>
      <c r="B7" s="913">
        <f>(Weather_Input!B7+Weather_Input!C7)/2</f>
        <v>66.5</v>
      </c>
      <c r="C7" s="895">
        <v>34000</v>
      </c>
      <c r="D7" s="898" t="s">
        <v>9</v>
      </c>
      <c r="E7" s="898" t="s">
        <v>9</v>
      </c>
      <c r="F7" s="898"/>
      <c r="G7" s="898"/>
      <c r="H7" s="15"/>
    </row>
    <row r="8" spans="1:14">
      <c r="A8" s="12">
        <f>A7+1</f>
        <v>37099</v>
      </c>
      <c r="B8" s="913">
        <f>(Weather_Input!B8+Weather_Input!C8)/2</f>
        <v>69.5</v>
      </c>
      <c r="C8" s="895">
        <v>32000</v>
      </c>
      <c r="D8" s="898" t="s">
        <v>9</v>
      </c>
      <c r="E8" s="898"/>
      <c r="F8" s="898"/>
      <c r="G8" s="898"/>
      <c r="H8" s="15"/>
    </row>
    <row r="9" spans="1:14">
      <c r="A9" s="12">
        <f>A8+1</f>
        <v>37100</v>
      </c>
      <c r="B9" s="913">
        <f>(Weather_Input!B9+Weather_Input!C9)/2</f>
        <v>73.5</v>
      </c>
      <c r="C9" s="895">
        <v>29000</v>
      </c>
      <c r="D9" s="898" t="s">
        <v>9</v>
      </c>
      <c r="E9" s="898"/>
      <c r="F9" s="898"/>
      <c r="G9" s="898"/>
      <c r="H9" s="15"/>
    </row>
    <row r="10" spans="1:14">
      <c r="A10" s="12">
        <f>A9+1</f>
        <v>37101</v>
      </c>
      <c r="B10" s="913">
        <f>(Weather_Input!B10+Weather_Input!C10)/2</f>
        <v>78</v>
      </c>
      <c r="C10" s="895">
        <v>30000</v>
      </c>
      <c r="D10" s="898" t="s">
        <v>9</v>
      </c>
      <c r="E10" s="898"/>
      <c r="F10" s="898"/>
      <c r="G10" s="898"/>
      <c r="H10" s="15"/>
    </row>
    <row r="11" spans="1:14">
      <c r="A11" s="1" t="s">
        <v>158</v>
      </c>
      <c r="C11" s="1108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zoomScale="75" workbookViewId="0">
      <selection activeCell="G7" sqref="G7"/>
    </sheetView>
  </sheetViews>
  <sheetFormatPr defaultRowHeight="15"/>
  <cols>
    <col min="1" max="7" width="8.6640625" customWidth="1"/>
    <col min="8" max="8" width="9" bestFit="1" customWidth="1"/>
    <col min="9" max="9" width="10.33203125" customWidth="1"/>
    <col min="10" max="20" width="9" bestFit="1" customWidth="1"/>
    <col min="21" max="21" width="9" customWidth="1"/>
    <col min="22" max="34" width="9" bestFit="1" customWidth="1"/>
    <col min="35" max="35" width="10.109375" bestFit="1" customWidth="1"/>
  </cols>
  <sheetData>
    <row r="1" spans="1:88">
      <c r="A1" s="10"/>
      <c r="B1" s="5"/>
      <c r="C1" s="5"/>
      <c r="D1" s="5"/>
      <c r="E1" s="5"/>
      <c r="F1" s="5"/>
      <c r="G1" s="5"/>
    </row>
    <row r="2" spans="1:88" s="1" customFormat="1" ht="12.75">
      <c r="A2" s="10"/>
      <c r="B2" s="10"/>
      <c r="C2" s="10"/>
      <c r="D2" s="10"/>
      <c r="E2" s="10"/>
      <c r="F2" s="10"/>
      <c r="G2" s="10"/>
    </row>
    <row r="3" spans="1:88" s="50" customFormat="1" ht="12.75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2.75">
      <c r="B4" s="63"/>
      <c r="E4" s="63"/>
      <c r="F4" s="63"/>
      <c r="G4" s="1107">
        <v>1</v>
      </c>
      <c r="H4" s="3" t="s">
        <v>1</v>
      </c>
      <c r="I4" s="3" t="s">
        <v>703</v>
      </c>
      <c r="J4" s="3" t="s">
        <v>679</v>
      </c>
      <c r="L4" s="3" t="s">
        <v>785</v>
      </c>
      <c r="M4" s="3" t="s">
        <v>804</v>
      </c>
      <c r="N4" s="58"/>
      <c r="O4" s="65"/>
      <c r="P4" s="65"/>
      <c r="T4" s="1236" t="s">
        <v>798</v>
      </c>
      <c r="U4" s="1053"/>
      <c r="V4" s="1201" t="s">
        <v>762</v>
      </c>
      <c r="W4" s="1202"/>
      <c r="X4" s="1203"/>
      <c r="Y4" s="53"/>
      <c r="Z4" s="53"/>
      <c r="AA4" s="53"/>
      <c r="AB4" s="55" t="s">
        <v>89</v>
      </c>
      <c r="AC4" s="53"/>
      <c r="AD4" s="53"/>
      <c r="AE4" s="72"/>
      <c r="AF4" s="3" t="s">
        <v>394</v>
      </c>
    </row>
    <row r="5" spans="1:88" s="1" customFormat="1" ht="12.75">
      <c r="B5" s="66" t="s">
        <v>90</v>
      </c>
      <c r="E5" s="247"/>
      <c r="F5" s="66" t="s">
        <v>9</v>
      </c>
      <c r="G5" s="792" t="s">
        <v>783</v>
      </c>
      <c r="H5" s="107" t="s">
        <v>675</v>
      </c>
      <c r="I5" s="54" t="s">
        <v>695</v>
      </c>
      <c r="J5" s="3" t="s">
        <v>732</v>
      </c>
      <c r="L5" s="3" t="s">
        <v>786</v>
      </c>
      <c r="M5" s="56" t="s">
        <v>805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763</v>
      </c>
      <c r="W5" s="56" t="s">
        <v>766</v>
      </c>
      <c r="X5" s="3" t="s">
        <v>767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2.75">
      <c r="A6" s="67"/>
      <c r="B6" s="68" t="s">
        <v>94</v>
      </c>
      <c r="C6" s="54" t="s">
        <v>89</v>
      </c>
      <c r="D6" s="54" t="s">
        <v>394</v>
      </c>
      <c r="E6" s="248" t="s">
        <v>92</v>
      </c>
      <c r="F6" s="54" t="s">
        <v>95</v>
      </c>
      <c r="G6" s="793" t="s">
        <v>784</v>
      </c>
      <c r="H6" s="1011" t="s">
        <v>676</v>
      </c>
      <c r="I6" s="54" t="s">
        <v>702</v>
      </c>
      <c r="J6" s="54" t="s">
        <v>731</v>
      </c>
      <c r="K6" s="54" t="s">
        <v>778</v>
      </c>
      <c r="L6" s="54" t="s">
        <v>67</v>
      </c>
      <c r="M6" s="54" t="s">
        <v>803</v>
      </c>
      <c r="N6" s="81" t="s">
        <v>87</v>
      </c>
      <c r="O6" s="54" t="s">
        <v>58</v>
      </c>
      <c r="P6" s="54" t="s">
        <v>97</v>
      </c>
      <c r="Q6" s="54" t="s">
        <v>690</v>
      </c>
      <c r="R6" s="54" t="s">
        <v>99</v>
      </c>
      <c r="S6" s="54" t="s">
        <v>672</v>
      </c>
      <c r="T6" s="54" t="s">
        <v>780</v>
      </c>
      <c r="U6" s="68" t="s">
        <v>799</v>
      </c>
      <c r="V6" s="1204" t="s">
        <v>764</v>
      </c>
      <c r="W6" s="1204" t="s">
        <v>765</v>
      </c>
      <c r="X6" s="54">
        <v>9</v>
      </c>
      <c r="Y6" s="54" t="s">
        <v>66</v>
      </c>
      <c r="Z6" s="54" t="s">
        <v>89</v>
      </c>
      <c r="AA6" s="54" t="s">
        <v>394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394</v>
      </c>
    </row>
    <row r="7" spans="1:88" s="1" customFormat="1" ht="12.75">
      <c r="A7" s="819">
        <f>Weather_Input!A5</f>
        <v>37096</v>
      </c>
      <c r="B7" s="904">
        <v>0</v>
      </c>
      <c r="C7" s="620">
        <v>0</v>
      </c>
      <c r="D7" s="620">
        <v>0</v>
      </c>
      <c r="E7" s="904">
        <v>4499</v>
      </c>
      <c r="F7" s="904">
        <v>190</v>
      </c>
      <c r="G7" s="906">
        <v>180750</v>
      </c>
      <c r="H7" s="619">
        <v>0</v>
      </c>
      <c r="I7" s="619">
        <v>0</v>
      </c>
      <c r="J7" s="620">
        <v>84765</v>
      </c>
      <c r="K7" s="619">
        <v>0</v>
      </c>
      <c r="L7" s="620">
        <v>0</v>
      </c>
      <c r="M7" s="620">
        <v>0</v>
      </c>
      <c r="N7" s="621">
        <v>0</v>
      </c>
      <c r="O7" s="620">
        <v>92500</v>
      </c>
      <c r="P7" s="622">
        <f t="shared" ref="P7:P12" si="0">O7*0.015</f>
        <v>1387.5</v>
      </c>
      <c r="Q7" s="620">
        <v>200</v>
      </c>
      <c r="R7" s="620">
        <v>0</v>
      </c>
      <c r="S7" s="620">
        <v>0</v>
      </c>
      <c r="T7" s="619">
        <v>200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19">
        <f t="shared" ref="AI7:AI12" si="1">AI6+1</f>
        <v>1</v>
      </c>
    </row>
    <row r="8" spans="1:88" s="1" customFormat="1" ht="12.75">
      <c r="A8" s="819">
        <f>A7+1</f>
        <v>37097</v>
      </c>
      <c r="B8" s="904">
        <v>0</v>
      </c>
      <c r="C8" s="620">
        <v>0</v>
      </c>
      <c r="D8" s="620">
        <v>0</v>
      </c>
      <c r="E8" s="904">
        <v>0</v>
      </c>
      <c r="F8" s="904">
        <v>0</v>
      </c>
      <c r="G8" s="906">
        <v>161400</v>
      </c>
      <c r="H8" s="619">
        <v>0</v>
      </c>
      <c r="I8" s="619">
        <v>0</v>
      </c>
      <c r="J8" s="620">
        <v>30000</v>
      </c>
      <c r="K8" s="619">
        <v>0</v>
      </c>
      <c r="L8" s="620">
        <v>0</v>
      </c>
      <c r="M8" s="620">
        <v>0</v>
      </c>
      <c r="N8" s="621">
        <v>0</v>
      </c>
      <c r="O8" s="620">
        <v>100000</v>
      </c>
      <c r="P8" s="622">
        <f t="shared" si="0"/>
        <v>1500</v>
      </c>
      <c r="Q8" s="620">
        <v>620</v>
      </c>
      <c r="R8" s="620">
        <v>0</v>
      </c>
      <c r="S8" s="620">
        <v>0</v>
      </c>
      <c r="T8" s="619">
        <v>200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19">
        <f t="shared" si="1"/>
        <v>2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2.75">
      <c r="A9" s="819">
        <f>A8+1</f>
        <v>37098</v>
      </c>
      <c r="B9" s="904">
        <v>0</v>
      </c>
      <c r="C9" s="620">
        <v>0</v>
      </c>
      <c r="D9" s="620">
        <v>0</v>
      </c>
      <c r="E9" s="904">
        <v>4499</v>
      </c>
      <c r="F9" s="904">
        <v>0</v>
      </c>
      <c r="G9" s="906">
        <v>20000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100000</v>
      </c>
      <c r="P9" s="622">
        <f t="shared" si="0"/>
        <v>1500</v>
      </c>
      <c r="Q9" s="620">
        <v>620</v>
      </c>
      <c r="R9" s="620">
        <v>0</v>
      </c>
      <c r="S9" s="620">
        <v>0</v>
      </c>
      <c r="T9" s="619">
        <v>200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19">
        <f t="shared" si="1"/>
        <v>3</v>
      </c>
      <c r="AM9" s="619"/>
    </row>
    <row r="10" spans="1:88" s="1" customFormat="1" ht="12.75">
      <c r="A10" s="819">
        <f>A9+1</f>
        <v>37099</v>
      </c>
      <c r="B10" s="904">
        <v>0</v>
      </c>
      <c r="C10" s="620">
        <v>0</v>
      </c>
      <c r="D10" s="620">
        <v>0</v>
      </c>
      <c r="E10" s="904">
        <v>4499</v>
      </c>
      <c r="F10" s="904">
        <v>0</v>
      </c>
      <c r="G10" s="906">
        <v>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100000</v>
      </c>
      <c r="P10" s="622">
        <f t="shared" si="0"/>
        <v>1500</v>
      </c>
      <c r="Q10" s="620">
        <v>620</v>
      </c>
      <c r="R10" s="620">
        <v>0</v>
      </c>
      <c r="S10" s="620">
        <v>0</v>
      </c>
      <c r="T10" s="619">
        <v>200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19">
        <f t="shared" si="1"/>
        <v>4</v>
      </c>
    </row>
    <row r="11" spans="1:88" s="1" customFormat="1" ht="12.75">
      <c r="A11" s="819">
        <f>A10+1</f>
        <v>37100</v>
      </c>
      <c r="B11" s="904">
        <v>0</v>
      </c>
      <c r="C11" s="620">
        <v>0</v>
      </c>
      <c r="D11" s="620">
        <v>0</v>
      </c>
      <c r="E11" s="904">
        <v>4499</v>
      </c>
      <c r="F11" s="904">
        <v>0</v>
      </c>
      <c r="G11" s="906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100000</v>
      </c>
      <c r="P11" s="622">
        <f t="shared" si="0"/>
        <v>1500</v>
      </c>
      <c r="Q11" s="620">
        <v>620</v>
      </c>
      <c r="R11" s="620">
        <v>0</v>
      </c>
      <c r="S11" s="620">
        <v>0</v>
      </c>
      <c r="T11" s="619">
        <v>200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19">
        <f t="shared" si="1"/>
        <v>5</v>
      </c>
    </row>
    <row r="12" spans="1:88" s="1" customFormat="1" ht="12.75">
      <c r="A12" s="819">
        <f>A11+1</f>
        <v>37101</v>
      </c>
      <c r="B12" s="904">
        <v>0</v>
      </c>
      <c r="C12" s="620">
        <v>0</v>
      </c>
      <c r="D12" s="620">
        <v>0</v>
      </c>
      <c r="E12" s="904">
        <v>4499</v>
      </c>
      <c r="F12" s="904">
        <v>0</v>
      </c>
      <c r="G12" s="906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100000</v>
      </c>
      <c r="P12" s="622">
        <f t="shared" si="0"/>
        <v>1500</v>
      </c>
      <c r="Q12" s="620">
        <v>620</v>
      </c>
      <c r="R12" s="620">
        <v>0</v>
      </c>
      <c r="S12" s="620">
        <v>0</v>
      </c>
      <c r="T12" s="619">
        <v>200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19">
        <f t="shared" si="1"/>
        <v>6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651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topLeftCell="D1" zoomScale="75" workbookViewId="0">
      <selection activeCell="K8" sqref="K8"/>
    </sheetView>
  </sheetViews>
  <sheetFormatPr defaultColWidth="8.77734375" defaultRowHeight="12.75"/>
  <cols>
    <col min="1" max="15" width="8.77734375" style="1" customWidth="1"/>
    <col min="16" max="16" width="9.5546875" style="1" customWidth="1"/>
    <col min="17" max="18" width="8.77734375" style="1" customWidth="1"/>
    <col min="19" max="19" width="8.77734375" style="3" customWidth="1"/>
    <col min="20" max="22" width="8.77734375" style="1" customWidth="1"/>
    <col min="23" max="23" width="10.5546875" style="1" customWidth="1"/>
    <col min="24" max="16384" width="8.7773437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804</v>
      </c>
      <c r="Q4" s="1236" t="s">
        <v>782</v>
      </c>
      <c r="R4" s="1053"/>
      <c r="S4" s="792" t="s">
        <v>597</v>
      </c>
      <c r="U4" s="3" t="s">
        <v>714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802</v>
      </c>
      <c r="N5" s="3" t="s">
        <v>9</v>
      </c>
      <c r="O5" s="3" t="s">
        <v>9</v>
      </c>
      <c r="P5" s="3" t="s">
        <v>6</v>
      </c>
      <c r="Q5" s="107" t="s">
        <v>780</v>
      </c>
      <c r="R5" s="1237" t="s">
        <v>781</v>
      </c>
      <c r="S5" s="792" t="s">
        <v>378</v>
      </c>
      <c r="T5" s="107" t="s">
        <v>675</v>
      </c>
      <c r="U5" s="3" t="s">
        <v>712</v>
      </c>
      <c r="V5" s="3"/>
      <c r="W5" s="59" t="s">
        <v>695</v>
      </c>
      <c r="X5" s="63"/>
      <c r="Y5" s="3"/>
      <c r="Z5" s="3"/>
      <c r="AA5" s="3"/>
      <c r="AD5" s="66" t="s">
        <v>470</v>
      </c>
    </row>
    <row r="6" spans="1:36">
      <c r="B6" s="54" t="s">
        <v>105</v>
      </c>
      <c r="C6" s="54" t="s">
        <v>89</v>
      </c>
      <c r="D6" s="54" t="s">
        <v>394</v>
      </c>
      <c r="E6" s="54" t="s">
        <v>378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652</v>
      </c>
      <c r="L6" s="57" t="s">
        <v>58</v>
      </c>
      <c r="M6" s="54" t="s">
        <v>803</v>
      </c>
      <c r="N6" s="54" t="s">
        <v>9</v>
      </c>
      <c r="O6" s="54" t="s">
        <v>9</v>
      </c>
      <c r="P6" s="1063" t="s">
        <v>5</v>
      </c>
      <c r="Q6" s="1012" t="s">
        <v>87</v>
      </c>
      <c r="R6" s="1012" t="s">
        <v>87</v>
      </c>
      <c r="S6" s="793" t="s">
        <v>733</v>
      </c>
      <c r="T6" s="1012" t="s">
        <v>676</v>
      </c>
      <c r="U6" s="54" t="s">
        <v>713</v>
      </c>
      <c r="V6" s="54" t="s">
        <v>9</v>
      </c>
      <c r="W6" s="1052" t="s">
        <v>699</v>
      </c>
      <c r="X6" s="68" t="s">
        <v>695</v>
      </c>
      <c r="Y6" s="54" t="s">
        <v>66</v>
      </c>
      <c r="Z6" s="54" t="s">
        <v>89</v>
      </c>
      <c r="AA6" s="54" t="s">
        <v>394</v>
      </c>
      <c r="AB6" s="54" t="s">
        <v>36</v>
      </c>
      <c r="AC6" s="54" t="s">
        <v>92</v>
      </c>
      <c r="AD6" s="68" t="s">
        <v>469</v>
      </c>
      <c r="AE6" s="819"/>
    </row>
    <row r="7" spans="1:36">
      <c r="A7" s="819">
        <f>Weather_Input!A5</f>
        <v>37096</v>
      </c>
      <c r="B7" s="622">
        <v>0</v>
      </c>
      <c r="C7" s="622">
        <v>0</v>
      </c>
      <c r="D7" s="622">
        <v>0</v>
      </c>
      <c r="E7" s="622">
        <v>0</v>
      </c>
      <c r="F7" s="904">
        <v>0</v>
      </c>
      <c r="G7" s="620">
        <v>1881</v>
      </c>
      <c r="H7" s="620">
        <v>23193</v>
      </c>
      <c r="I7" s="620">
        <v>0</v>
      </c>
      <c r="J7" s="907">
        <v>0</v>
      </c>
      <c r="K7" s="621">
        <v>131021</v>
      </c>
      <c r="L7" s="908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7">
        <v>0</v>
      </c>
      <c r="S7" s="1239">
        <v>70000</v>
      </c>
      <c r="T7" s="620">
        <v>0</v>
      </c>
      <c r="U7" s="621">
        <v>127611</v>
      </c>
      <c r="V7" s="621">
        <v>0</v>
      </c>
      <c r="W7" s="619">
        <v>0</v>
      </c>
      <c r="X7" s="907">
        <v>101190</v>
      </c>
      <c r="Y7" s="621">
        <v>200</v>
      </c>
      <c r="Z7" s="1">
        <v>0</v>
      </c>
      <c r="AA7" s="619">
        <v>168505</v>
      </c>
      <c r="AB7" s="619">
        <v>40731</v>
      </c>
      <c r="AC7" s="619">
        <v>4499</v>
      </c>
      <c r="AD7" s="907">
        <v>0</v>
      </c>
      <c r="AE7" s="819">
        <f t="shared" ref="AE7:AE12" si="0">AE6+1</f>
        <v>1</v>
      </c>
      <c r="AH7" s="619"/>
      <c r="AI7" s="619"/>
      <c r="AJ7" s="619"/>
    </row>
    <row r="8" spans="1:36">
      <c r="A8" s="819">
        <f>A7+1</f>
        <v>37097</v>
      </c>
      <c r="B8" s="622">
        <v>0</v>
      </c>
      <c r="C8" s="622">
        <v>0</v>
      </c>
      <c r="D8" s="622">
        <v>0</v>
      </c>
      <c r="E8" s="622">
        <v>0</v>
      </c>
      <c r="F8" s="904">
        <v>21000</v>
      </c>
      <c r="G8" s="620">
        <v>1000</v>
      </c>
      <c r="H8" s="620">
        <v>15000</v>
      </c>
      <c r="I8" s="620">
        <v>0</v>
      </c>
      <c r="J8" s="907">
        <v>0</v>
      </c>
      <c r="K8" s="621">
        <v>70760</v>
      </c>
      <c r="L8" s="908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7">
        <v>0</v>
      </c>
      <c r="S8" s="1239">
        <v>60000</v>
      </c>
      <c r="T8" s="620">
        <v>0</v>
      </c>
      <c r="U8" s="621">
        <v>136959</v>
      </c>
      <c r="V8" s="621">
        <v>0</v>
      </c>
      <c r="W8" s="619">
        <v>0</v>
      </c>
      <c r="X8" s="907">
        <v>95390</v>
      </c>
      <c r="Y8" s="621">
        <v>200</v>
      </c>
      <c r="Z8" s="1">
        <v>0</v>
      </c>
      <c r="AA8" s="619">
        <v>116031</v>
      </c>
      <c r="AB8" s="619">
        <v>54636</v>
      </c>
      <c r="AC8" s="619">
        <v>4000</v>
      </c>
      <c r="AD8" s="907">
        <v>0</v>
      </c>
      <c r="AE8" s="819">
        <f t="shared" si="0"/>
        <v>2</v>
      </c>
      <c r="AH8" s="619"/>
      <c r="AI8" s="619"/>
      <c r="AJ8" s="619"/>
    </row>
    <row r="9" spans="1:36" s="619" customFormat="1">
      <c r="A9" s="819">
        <f>A8+1</f>
        <v>37098</v>
      </c>
      <c r="B9" s="622">
        <v>0</v>
      </c>
      <c r="C9" s="622">
        <v>0</v>
      </c>
      <c r="D9" s="622">
        <v>0</v>
      </c>
      <c r="E9" s="622">
        <v>0</v>
      </c>
      <c r="F9" s="904">
        <v>0</v>
      </c>
      <c r="G9" s="620">
        <v>1000</v>
      </c>
      <c r="H9" s="620">
        <v>15000</v>
      </c>
      <c r="I9" s="620">
        <v>0</v>
      </c>
      <c r="J9" s="907">
        <v>0</v>
      </c>
      <c r="K9" s="621">
        <v>0</v>
      </c>
      <c r="L9" s="908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7">
        <v>0</v>
      </c>
      <c r="S9" s="1239">
        <v>0</v>
      </c>
      <c r="T9" s="620">
        <v>0</v>
      </c>
      <c r="U9" s="621">
        <v>136959</v>
      </c>
      <c r="V9" s="621">
        <v>0</v>
      </c>
      <c r="W9" s="619">
        <v>0</v>
      </c>
      <c r="X9" s="907">
        <v>95390</v>
      </c>
      <c r="Y9" s="621">
        <v>200</v>
      </c>
      <c r="Z9" s="1">
        <v>0</v>
      </c>
      <c r="AA9" s="619">
        <v>116031</v>
      </c>
      <c r="AB9" s="619">
        <v>54636</v>
      </c>
      <c r="AC9" s="619">
        <v>4000</v>
      </c>
      <c r="AD9" s="907">
        <v>0</v>
      </c>
      <c r="AE9" s="819">
        <f t="shared" si="0"/>
        <v>3</v>
      </c>
    </row>
    <row r="10" spans="1:36">
      <c r="A10" s="819">
        <f>A9+1</f>
        <v>37099</v>
      </c>
      <c r="B10" s="622">
        <v>0</v>
      </c>
      <c r="C10" s="622">
        <v>0</v>
      </c>
      <c r="D10" s="622">
        <v>0</v>
      </c>
      <c r="E10" s="622">
        <v>0</v>
      </c>
      <c r="F10" s="904">
        <v>0</v>
      </c>
      <c r="G10" s="620">
        <v>1000</v>
      </c>
      <c r="H10" s="620">
        <v>15000</v>
      </c>
      <c r="I10" s="620">
        <v>0</v>
      </c>
      <c r="J10" s="907">
        <v>0</v>
      </c>
      <c r="K10" s="621">
        <v>0</v>
      </c>
      <c r="L10" s="908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7">
        <v>0</v>
      </c>
      <c r="S10" s="1239">
        <v>0</v>
      </c>
      <c r="T10" s="620">
        <v>0</v>
      </c>
      <c r="U10" s="621">
        <v>136959</v>
      </c>
      <c r="V10" s="621">
        <v>0</v>
      </c>
      <c r="W10" s="619">
        <v>0</v>
      </c>
      <c r="X10" s="907">
        <v>95390</v>
      </c>
      <c r="Y10" s="621">
        <v>200</v>
      </c>
      <c r="Z10" s="1">
        <v>0</v>
      </c>
      <c r="AA10" s="619">
        <v>116031</v>
      </c>
      <c r="AB10" s="619">
        <v>54636</v>
      </c>
      <c r="AC10" s="619">
        <v>4000</v>
      </c>
      <c r="AD10" s="907">
        <v>0</v>
      </c>
      <c r="AE10" s="819">
        <f t="shared" si="0"/>
        <v>4</v>
      </c>
      <c r="AH10" s="619"/>
      <c r="AI10" s="619"/>
      <c r="AJ10" s="619"/>
    </row>
    <row r="11" spans="1:36">
      <c r="A11" s="819">
        <f>A10+1</f>
        <v>37100</v>
      </c>
      <c r="B11" s="622">
        <v>0</v>
      </c>
      <c r="C11" s="622">
        <v>0</v>
      </c>
      <c r="D11" s="622">
        <v>0</v>
      </c>
      <c r="E11" s="622">
        <v>0</v>
      </c>
      <c r="F11" s="904">
        <v>0</v>
      </c>
      <c r="G11" s="620">
        <v>1000</v>
      </c>
      <c r="H11" s="620">
        <v>15000</v>
      </c>
      <c r="I11" s="620">
        <v>0</v>
      </c>
      <c r="J11" s="907">
        <v>0</v>
      </c>
      <c r="K11" s="621">
        <v>0</v>
      </c>
      <c r="L11" s="908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7">
        <v>0</v>
      </c>
      <c r="S11" s="1239">
        <v>0</v>
      </c>
      <c r="T11" s="620">
        <v>0</v>
      </c>
      <c r="U11" s="621">
        <v>136959</v>
      </c>
      <c r="V11" s="621">
        <v>0</v>
      </c>
      <c r="W11" s="619">
        <v>0</v>
      </c>
      <c r="X11" s="907">
        <v>95390</v>
      </c>
      <c r="Y11" s="621">
        <v>200</v>
      </c>
      <c r="Z11" s="1">
        <v>0</v>
      </c>
      <c r="AA11" s="619">
        <v>116031</v>
      </c>
      <c r="AB11" s="619">
        <v>54636</v>
      </c>
      <c r="AC11" s="619">
        <v>4000</v>
      </c>
      <c r="AD11" s="907">
        <v>0</v>
      </c>
      <c r="AE11" s="819">
        <f t="shared" si="0"/>
        <v>5</v>
      </c>
    </row>
    <row r="12" spans="1:36">
      <c r="A12" s="819">
        <f>A11+1</f>
        <v>37101</v>
      </c>
      <c r="B12" s="622">
        <v>0</v>
      </c>
      <c r="C12" s="622">
        <v>0</v>
      </c>
      <c r="D12" s="622">
        <v>0</v>
      </c>
      <c r="E12" s="622">
        <v>0</v>
      </c>
      <c r="F12" s="904">
        <v>0</v>
      </c>
      <c r="G12" s="620">
        <v>1000</v>
      </c>
      <c r="H12" s="620">
        <v>15000</v>
      </c>
      <c r="I12" s="620">
        <v>0</v>
      </c>
      <c r="J12" s="907">
        <v>0</v>
      </c>
      <c r="K12" s="621">
        <v>0</v>
      </c>
      <c r="L12" s="908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7">
        <v>0</v>
      </c>
      <c r="S12" s="1239">
        <v>0</v>
      </c>
      <c r="T12" s="620">
        <v>0</v>
      </c>
      <c r="U12" s="621">
        <v>136959</v>
      </c>
      <c r="V12" s="621">
        <v>0</v>
      </c>
      <c r="W12" s="619">
        <v>0</v>
      </c>
      <c r="X12" s="907">
        <v>95390</v>
      </c>
      <c r="Y12" s="621">
        <v>200</v>
      </c>
      <c r="Z12" s="1">
        <v>0</v>
      </c>
      <c r="AA12" s="619">
        <v>116031</v>
      </c>
      <c r="AB12" s="619">
        <v>54636</v>
      </c>
      <c r="AC12" s="619">
        <v>4000</v>
      </c>
      <c r="AD12" s="907">
        <v>0</v>
      </c>
      <c r="AE12" s="819">
        <f t="shared" si="0"/>
        <v>6</v>
      </c>
    </row>
    <row r="13" spans="1:36">
      <c r="F13" s="1" t="s">
        <v>9</v>
      </c>
      <c r="H13" s="11"/>
      <c r="O13" s="1" t="s">
        <v>9</v>
      </c>
      <c r="S13" s="1238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2.75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2.75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496</v>
      </c>
      <c r="AE5" s="53" t="s">
        <v>9</v>
      </c>
    </row>
    <row r="6" spans="1:128" s="1" customFormat="1" ht="12.75">
      <c r="A6" s="67"/>
      <c r="B6" s="68" t="s">
        <v>378</v>
      </c>
      <c r="C6" s="54" t="s">
        <v>36</v>
      </c>
      <c r="D6" s="54" t="s">
        <v>66</v>
      </c>
      <c r="E6" s="54" t="s">
        <v>89</v>
      </c>
      <c r="F6" s="54" t="s">
        <v>394</v>
      </c>
      <c r="G6" s="57" t="s">
        <v>117</v>
      </c>
      <c r="H6" s="54" t="s">
        <v>652</v>
      </c>
      <c r="I6" s="54" t="s">
        <v>96</v>
      </c>
      <c r="J6" s="54" t="s">
        <v>87</v>
      </c>
      <c r="K6" s="54" t="s">
        <v>528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495</v>
      </c>
    </row>
    <row r="7" spans="1:128" s="1" customFormat="1" ht="12.75">
      <c r="A7" s="820">
        <f>Weather_Input!A5</f>
        <v>37096</v>
      </c>
      <c r="B7" s="904">
        <v>0</v>
      </c>
      <c r="C7" s="620">
        <v>0</v>
      </c>
      <c r="D7" s="620">
        <v>0</v>
      </c>
      <c r="E7" s="620">
        <v>0</v>
      </c>
      <c r="F7" s="620">
        <v>0</v>
      </c>
      <c r="G7" s="908">
        <v>0</v>
      </c>
      <c r="H7" s="620">
        <v>0</v>
      </c>
      <c r="I7" s="905">
        <v>7197</v>
      </c>
      <c r="J7" s="905">
        <v>12000</v>
      </c>
      <c r="K7" s="623">
        <v>0</v>
      </c>
      <c r="L7" s="909">
        <v>0</v>
      </c>
      <c r="M7" s="909">
        <v>0</v>
      </c>
      <c r="N7" s="909">
        <v>0</v>
      </c>
      <c r="O7" s="909">
        <v>0</v>
      </c>
      <c r="P7" s="620">
        <v>0</v>
      </c>
      <c r="Q7" s="909">
        <v>0</v>
      </c>
      <c r="R7" s="620">
        <v>0</v>
      </c>
      <c r="S7" s="821">
        <v>0</v>
      </c>
      <c r="T7" s="620">
        <v>0</v>
      </c>
      <c r="U7" s="620">
        <v>0</v>
      </c>
      <c r="V7" s="821">
        <v>0</v>
      </c>
      <c r="W7" s="620">
        <v>0</v>
      </c>
      <c r="X7" s="620">
        <v>0</v>
      </c>
      <c r="Y7" s="821">
        <v>0</v>
      </c>
      <c r="Z7" s="620">
        <v>0</v>
      </c>
      <c r="AA7" s="620">
        <v>0</v>
      </c>
      <c r="AB7" s="908">
        <v>0</v>
      </c>
      <c r="AC7" s="620">
        <v>0</v>
      </c>
      <c r="AD7" s="620">
        <v>0</v>
      </c>
      <c r="AE7" s="620">
        <v>0</v>
      </c>
      <c r="AF7" s="819">
        <f>Weather_Input!A5</f>
        <v>37096</v>
      </c>
      <c r="AG7" s="619"/>
      <c r="AH7" s="619"/>
      <c r="AI7" s="619"/>
      <c r="AJ7" s="619"/>
      <c r="AK7" s="619"/>
    </row>
    <row r="8" spans="1:128" s="1" customFormat="1" ht="12.75">
      <c r="A8" s="820">
        <f>Weather_Input!A6</f>
        <v>37097</v>
      </c>
      <c r="B8" s="904">
        <v>0</v>
      </c>
      <c r="C8" s="620">
        <v>0</v>
      </c>
      <c r="D8" s="620">
        <v>0</v>
      </c>
      <c r="E8" s="620">
        <v>0</v>
      </c>
      <c r="F8" s="620">
        <v>0</v>
      </c>
      <c r="G8" s="908">
        <v>0</v>
      </c>
      <c r="H8" s="620">
        <v>0</v>
      </c>
      <c r="I8" s="905">
        <v>7197</v>
      </c>
      <c r="J8" s="905">
        <v>7000</v>
      </c>
      <c r="K8" s="623">
        <v>0</v>
      </c>
      <c r="L8" s="909">
        <v>0</v>
      </c>
      <c r="M8" s="909">
        <v>0</v>
      </c>
      <c r="N8" s="909">
        <v>0</v>
      </c>
      <c r="O8" s="909">
        <v>0</v>
      </c>
      <c r="P8" s="620">
        <v>0</v>
      </c>
      <c r="Q8" s="909">
        <v>0</v>
      </c>
      <c r="R8" s="620">
        <v>0</v>
      </c>
      <c r="S8" s="821">
        <v>0</v>
      </c>
      <c r="T8" s="620">
        <v>0</v>
      </c>
      <c r="U8" s="620">
        <v>0</v>
      </c>
      <c r="V8" s="821">
        <v>0</v>
      </c>
      <c r="W8" s="620">
        <v>0</v>
      </c>
      <c r="X8" s="620">
        <v>0</v>
      </c>
      <c r="Y8" s="821">
        <v>0</v>
      </c>
      <c r="Z8" s="620">
        <v>0</v>
      </c>
      <c r="AA8" s="620">
        <v>0</v>
      </c>
      <c r="AB8" s="908">
        <v>0</v>
      </c>
      <c r="AC8" s="620">
        <v>0</v>
      </c>
      <c r="AD8" s="620">
        <v>0</v>
      </c>
      <c r="AE8" s="620">
        <v>0</v>
      </c>
      <c r="AF8" s="820">
        <f>AF7+1</f>
        <v>37097</v>
      </c>
      <c r="AG8" s="619"/>
      <c r="AH8" s="619"/>
      <c r="AI8" s="619"/>
      <c r="AJ8" s="619"/>
      <c r="AK8" s="619"/>
    </row>
    <row r="9" spans="1:128" s="1" customFormat="1" ht="12.75">
      <c r="A9" s="819">
        <f>A8+1</f>
        <v>37098</v>
      </c>
      <c r="B9" s="904">
        <v>0</v>
      </c>
      <c r="C9" s="620">
        <v>0</v>
      </c>
      <c r="D9" s="620">
        <v>0</v>
      </c>
      <c r="E9" s="620">
        <v>0</v>
      </c>
      <c r="F9" s="620">
        <v>0</v>
      </c>
      <c r="G9" s="908">
        <v>0</v>
      </c>
      <c r="H9" s="620">
        <v>0</v>
      </c>
      <c r="I9" s="905">
        <v>7197</v>
      </c>
      <c r="J9" s="905">
        <v>0</v>
      </c>
      <c r="K9" s="623">
        <v>0</v>
      </c>
      <c r="L9" s="909">
        <v>0</v>
      </c>
      <c r="M9" s="909">
        <v>0</v>
      </c>
      <c r="N9" s="909">
        <v>0</v>
      </c>
      <c r="O9" s="909">
        <v>0</v>
      </c>
      <c r="P9" s="620">
        <v>0</v>
      </c>
      <c r="Q9" s="909">
        <v>0</v>
      </c>
      <c r="R9" s="620">
        <v>0</v>
      </c>
      <c r="S9" s="821">
        <v>0</v>
      </c>
      <c r="T9" s="620">
        <v>0</v>
      </c>
      <c r="U9" s="620">
        <v>0</v>
      </c>
      <c r="V9" s="821">
        <v>0</v>
      </c>
      <c r="W9" s="620">
        <v>0</v>
      </c>
      <c r="X9" s="620">
        <v>0</v>
      </c>
      <c r="Y9" s="821">
        <v>0</v>
      </c>
      <c r="Z9" s="620">
        <v>0</v>
      </c>
      <c r="AA9" s="620">
        <v>0</v>
      </c>
      <c r="AB9" s="908">
        <v>0</v>
      </c>
      <c r="AC9" s="620">
        <v>0</v>
      </c>
      <c r="AD9" s="620">
        <v>0</v>
      </c>
      <c r="AE9" s="620">
        <v>0</v>
      </c>
      <c r="AF9" s="819">
        <f>AF8+1</f>
        <v>37098</v>
      </c>
      <c r="AG9" s="619"/>
      <c r="AH9" s="619"/>
      <c r="AI9" s="619"/>
      <c r="AJ9" s="619"/>
      <c r="AK9" s="619"/>
    </row>
    <row r="10" spans="1:128" s="1" customFormat="1" ht="12.75">
      <c r="A10" s="819">
        <f>A9+1</f>
        <v>37099</v>
      </c>
      <c r="B10" s="904">
        <v>0</v>
      </c>
      <c r="C10" s="620">
        <v>0</v>
      </c>
      <c r="D10" s="620">
        <v>0</v>
      </c>
      <c r="E10" s="620">
        <v>0</v>
      </c>
      <c r="F10" s="620">
        <v>0</v>
      </c>
      <c r="G10" s="908">
        <v>0</v>
      </c>
      <c r="H10" s="620">
        <v>0</v>
      </c>
      <c r="I10" s="905">
        <v>7197</v>
      </c>
      <c r="J10" s="905">
        <v>0</v>
      </c>
      <c r="K10" s="623">
        <v>0</v>
      </c>
      <c r="L10" s="909">
        <v>0</v>
      </c>
      <c r="M10" s="909">
        <v>0</v>
      </c>
      <c r="N10" s="909">
        <v>0</v>
      </c>
      <c r="O10" s="909">
        <v>0</v>
      </c>
      <c r="P10" s="620">
        <v>0</v>
      </c>
      <c r="Q10" s="909">
        <v>0</v>
      </c>
      <c r="R10" s="620">
        <v>0</v>
      </c>
      <c r="S10" s="821">
        <v>0</v>
      </c>
      <c r="T10" s="620">
        <v>0</v>
      </c>
      <c r="U10" s="620">
        <v>0</v>
      </c>
      <c r="V10" s="821">
        <v>0</v>
      </c>
      <c r="W10" s="620">
        <v>0</v>
      </c>
      <c r="X10" s="620">
        <v>0</v>
      </c>
      <c r="Y10" s="821">
        <v>0</v>
      </c>
      <c r="Z10" s="620">
        <v>0</v>
      </c>
      <c r="AA10" s="620">
        <v>0</v>
      </c>
      <c r="AB10" s="908">
        <v>0</v>
      </c>
      <c r="AC10" s="620">
        <v>0</v>
      </c>
      <c r="AD10" s="620">
        <v>0</v>
      </c>
      <c r="AE10" s="620">
        <v>0</v>
      </c>
      <c r="AF10" s="819">
        <f>AF9+1</f>
        <v>37099</v>
      </c>
      <c r="AG10" s="619"/>
      <c r="AH10" s="619"/>
      <c r="AI10" s="619"/>
      <c r="AJ10" s="619"/>
      <c r="AK10" s="619"/>
    </row>
    <row r="11" spans="1:128" s="1" customFormat="1" ht="12.75">
      <c r="A11" s="819">
        <f>A10+1</f>
        <v>37100</v>
      </c>
      <c r="B11" s="904">
        <v>0</v>
      </c>
      <c r="C11" s="620">
        <v>0</v>
      </c>
      <c r="D11" s="620">
        <v>0</v>
      </c>
      <c r="E11" s="620">
        <v>0</v>
      </c>
      <c r="F11" s="620">
        <v>0</v>
      </c>
      <c r="G11" s="908">
        <v>0</v>
      </c>
      <c r="H11" s="620">
        <v>0</v>
      </c>
      <c r="I11" s="905">
        <v>7197</v>
      </c>
      <c r="J11" s="905">
        <v>0</v>
      </c>
      <c r="K11" s="623">
        <v>0</v>
      </c>
      <c r="L11" s="909">
        <v>0</v>
      </c>
      <c r="M11" s="909">
        <v>0</v>
      </c>
      <c r="N11" s="909">
        <v>0</v>
      </c>
      <c r="O11" s="909">
        <v>0</v>
      </c>
      <c r="P11" s="620">
        <v>0</v>
      </c>
      <c r="Q11" s="909">
        <v>0</v>
      </c>
      <c r="R11" s="620">
        <v>0</v>
      </c>
      <c r="S11" s="821">
        <v>0</v>
      </c>
      <c r="T11" s="620">
        <v>0</v>
      </c>
      <c r="U11" s="620">
        <v>0</v>
      </c>
      <c r="V11" s="821">
        <v>0</v>
      </c>
      <c r="W11" s="620">
        <v>0</v>
      </c>
      <c r="X11" s="620">
        <v>0</v>
      </c>
      <c r="Y11" s="821">
        <v>0</v>
      </c>
      <c r="Z11" s="620">
        <v>0</v>
      </c>
      <c r="AA11" s="620">
        <v>0</v>
      </c>
      <c r="AB11" s="908">
        <v>0</v>
      </c>
      <c r="AC11" s="620">
        <v>0</v>
      </c>
      <c r="AD11" s="620">
        <v>0</v>
      </c>
      <c r="AE11" s="620">
        <v>0</v>
      </c>
      <c r="AF11" s="819">
        <f>AF10+1</f>
        <v>37100</v>
      </c>
      <c r="AG11" s="619"/>
      <c r="AH11" s="619"/>
      <c r="AI11" s="619"/>
      <c r="AJ11" s="619"/>
      <c r="AK11" s="619"/>
    </row>
    <row r="12" spans="1:128" s="1" customFormat="1" ht="12.75">
      <c r="A12" s="819">
        <f>A11+1</f>
        <v>37101</v>
      </c>
      <c r="B12" s="904">
        <v>0</v>
      </c>
      <c r="C12" s="620">
        <v>0</v>
      </c>
      <c r="D12" s="620">
        <v>0</v>
      </c>
      <c r="E12" s="620">
        <v>0</v>
      </c>
      <c r="F12" s="620">
        <v>0</v>
      </c>
      <c r="G12" s="908">
        <v>0</v>
      </c>
      <c r="H12" s="620">
        <v>0</v>
      </c>
      <c r="I12" s="905">
        <v>7197</v>
      </c>
      <c r="J12" s="905">
        <v>0</v>
      </c>
      <c r="K12" s="623">
        <v>0</v>
      </c>
      <c r="L12" s="909">
        <v>0</v>
      </c>
      <c r="M12" s="909">
        <v>0</v>
      </c>
      <c r="N12" s="909">
        <v>0</v>
      </c>
      <c r="O12" s="909">
        <v>0</v>
      </c>
      <c r="P12" s="620">
        <v>0</v>
      </c>
      <c r="Q12" s="909">
        <v>0</v>
      </c>
      <c r="R12" s="620">
        <v>0</v>
      </c>
      <c r="S12" s="821">
        <v>0</v>
      </c>
      <c r="T12" s="620">
        <v>0</v>
      </c>
      <c r="U12" s="620">
        <v>0</v>
      </c>
      <c r="V12" s="821">
        <v>0</v>
      </c>
      <c r="W12" s="620">
        <v>0</v>
      </c>
      <c r="X12" s="620">
        <v>0</v>
      </c>
      <c r="Y12" s="821">
        <v>0</v>
      </c>
      <c r="Z12" s="620">
        <v>0</v>
      </c>
      <c r="AA12" s="620">
        <v>0</v>
      </c>
      <c r="AB12" s="908">
        <v>0</v>
      </c>
      <c r="AC12" s="620">
        <v>0</v>
      </c>
      <c r="AD12" s="620">
        <v>0</v>
      </c>
      <c r="AE12" s="620">
        <v>0</v>
      </c>
      <c r="AF12" s="819">
        <f>AF11+1</f>
        <v>37101</v>
      </c>
      <c r="AG12" s="619"/>
      <c r="AH12" s="619"/>
      <c r="AI12" s="619"/>
      <c r="AJ12" s="619"/>
      <c r="AK12" s="619"/>
    </row>
    <row r="13" spans="1:128" s="1" customFormat="1" ht="12.75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1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2.75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>
      <selection activeCell="F8" sqref="F8"/>
    </sheetView>
  </sheetViews>
  <sheetFormatPr defaultColWidth="8.77734375" defaultRowHeight="12.75"/>
  <cols>
    <col min="1" max="16384" width="8.7773437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596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394</v>
      </c>
      <c r="N5" s="3"/>
      <c r="O5" s="3" t="s">
        <v>126</v>
      </c>
      <c r="P5" s="3" t="s">
        <v>126</v>
      </c>
      <c r="Q5" s="3" t="s">
        <v>36</v>
      </c>
      <c r="R5" s="1" t="s">
        <v>497</v>
      </c>
      <c r="T5" s="66"/>
    </row>
    <row r="6" spans="1:23">
      <c r="B6" s="54" t="s">
        <v>378</v>
      </c>
      <c r="C6" s="57" t="s">
        <v>106</v>
      </c>
      <c r="D6" s="54" t="s">
        <v>107</v>
      </c>
      <c r="E6" s="81" t="s">
        <v>87</v>
      </c>
      <c r="F6" s="54" t="s">
        <v>652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503</v>
      </c>
      <c r="N6" s="54" t="s">
        <v>89</v>
      </c>
      <c r="O6" s="81" t="s">
        <v>128</v>
      </c>
      <c r="P6" s="81" t="s">
        <v>599</v>
      </c>
      <c r="Q6" s="54" t="s">
        <v>126</v>
      </c>
      <c r="R6" s="1012" t="s">
        <v>36</v>
      </c>
      <c r="S6" s="54" t="s">
        <v>394</v>
      </c>
      <c r="T6" s="68" t="s">
        <v>59</v>
      </c>
    </row>
    <row r="7" spans="1:23">
      <c r="A7" s="819">
        <f>Weather_Input!A5</f>
        <v>37096</v>
      </c>
      <c r="B7" s="622">
        <v>0</v>
      </c>
      <c r="C7" s="623">
        <v>0</v>
      </c>
      <c r="D7" s="622">
        <v>0</v>
      </c>
      <c r="E7" s="622">
        <v>0</v>
      </c>
      <c r="F7" s="622">
        <v>51270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5">
        <v>0</v>
      </c>
      <c r="O7" s="622">
        <v>0</v>
      </c>
      <c r="P7" s="622">
        <v>12000</v>
      </c>
      <c r="Q7" s="622">
        <v>27285</v>
      </c>
      <c r="R7" s="622">
        <v>15952</v>
      </c>
      <c r="S7" s="622">
        <v>0</v>
      </c>
      <c r="T7" s="622">
        <v>0</v>
      </c>
      <c r="U7" s="819">
        <f t="shared" ref="U7:U12" si="0">U6+1</f>
        <v>1</v>
      </c>
      <c r="V7" s="619"/>
      <c r="W7" s="619"/>
    </row>
    <row r="8" spans="1:23">
      <c r="A8" s="819">
        <f>A7+1</f>
        <v>37097</v>
      </c>
      <c r="B8" s="622">
        <v>0</v>
      </c>
      <c r="C8" s="623">
        <v>0</v>
      </c>
      <c r="D8" s="622">
        <v>0</v>
      </c>
      <c r="E8" s="622">
        <v>0</v>
      </c>
      <c r="F8" s="622">
        <v>7590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5">
        <v>0</v>
      </c>
      <c r="O8" s="622">
        <v>0</v>
      </c>
      <c r="P8" s="622">
        <v>7000</v>
      </c>
      <c r="Q8" s="622">
        <v>26411</v>
      </c>
      <c r="R8" s="622">
        <v>15078</v>
      </c>
      <c r="S8" s="622">
        <v>0</v>
      </c>
      <c r="T8" s="622">
        <v>0</v>
      </c>
      <c r="U8" s="819">
        <f t="shared" si="0"/>
        <v>2</v>
      </c>
      <c r="V8" s="619"/>
      <c r="W8" s="619"/>
    </row>
    <row r="9" spans="1:23">
      <c r="A9" s="819">
        <f>A8+1</f>
        <v>37098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5">
        <v>0</v>
      </c>
      <c r="O9" s="622">
        <v>0</v>
      </c>
      <c r="P9" s="622">
        <v>7000</v>
      </c>
      <c r="Q9" s="622">
        <v>26411</v>
      </c>
      <c r="R9" s="622">
        <v>15078</v>
      </c>
      <c r="S9" s="622">
        <v>0</v>
      </c>
      <c r="T9" s="622">
        <v>0</v>
      </c>
      <c r="U9" s="819">
        <f t="shared" si="0"/>
        <v>3</v>
      </c>
      <c r="V9" s="619"/>
      <c r="W9" s="619"/>
    </row>
    <row r="10" spans="1:23">
      <c r="A10" s="819">
        <f>A9+1</f>
        <v>37099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5">
        <v>0</v>
      </c>
      <c r="O10" s="622">
        <v>0</v>
      </c>
      <c r="P10" s="622">
        <v>7000</v>
      </c>
      <c r="Q10" s="622">
        <v>26411</v>
      </c>
      <c r="R10" s="622">
        <v>15078</v>
      </c>
      <c r="S10" s="622">
        <v>0</v>
      </c>
      <c r="T10" s="622">
        <v>0</v>
      </c>
      <c r="U10" s="819">
        <f t="shared" si="0"/>
        <v>4</v>
      </c>
      <c r="V10" s="619"/>
      <c r="W10" s="619"/>
    </row>
    <row r="11" spans="1:23">
      <c r="A11" s="819">
        <f>A10+1</f>
        <v>37100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5">
        <v>0</v>
      </c>
      <c r="O11" s="622">
        <v>0</v>
      </c>
      <c r="P11" s="622">
        <v>7000</v>
      </c>
      <c r="Q11" s="622">
        <v>26411</v>
      </c>
      <c r="R11" s="622">
        <v>15078</v>
      </c>
      <c r="S11" s="622">
        <v>0</v>
      </c>
      <c r="T11" s="622">
        <v>0</v>
      </c>
      <c r="U11" s="819">
        <f t="shared" si="0"/>
        <v>5</v>
      </c>
      <c r="V11" s="619"/>
      <c r="W11" s="619"/>
    </row>
    <row r="12" spans="1:23">
      <c r="A12" s="819">
        <f>A11+1</f>
        <v>37101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5">
        <v>0</v>
      </c>
      <c r="O12" s="622">
        <v>0</v>
      </c>
      <c r="P12" s="622">
        <v>7000</v>
      </c>
      <c r="Q12" s="622">
        <v>26411</v>
      </c>
      <c r="R12" s="622">
        <v>15078</v>
      </c>
      <c r="S12" s="622">
        <v>0</v>
      </c>
      <c r="T12" s="622">
        <v>0</v>
      </c>
      <c r="U12" s="819">
        <f t="shared" si="0"/>
        <v>6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topLeftCell="A49" zoomScale="75" workbookViewId="0">
      <selection activeCell="A49" sqref="A49"/>
    </sheetView>
  </sheetViews>
  <sheetFormatPr defaultColWidth="9.77734375" defaultRowHeight="15"/>
  <cols>
    <col min="1" max="1" width="29" style="111" customWidth="1"/>
    <col min="2" max="2" width="12" style="111" customWidth="1"/>
    <col min="3" max="3" width="15.21875" style="111" customWidth="1"/>
    <col min="4" max="8" width="8.6640625" style="111" customWidth="1"/>
    <col min="9" max="9" width="8.5546875" style="111" customWidth="1"/>
    <col min="10" max="10" width="20.33203125" style="111" customWidth="1"/>
    <col min="11" max="11" width="16.5546875" style="111" customWidth="1"/>
    <col min="12" max="12" width="9.77734375" style="111"/>
    <col min="13" max="13" width="13.77734375" style="111" customWidth="1"/>
    <col min="14" max="16384" width="9.77734375" style="111"/>
  </cols>
  <sheetData>
    <row r="1" spans="1:256" ht="18.95" customHeight="1" thickTop="1">
      <c r="A1" s="863" t="s">
        <v>0</v>
      </c>
      <c r="B1" s="822"/>
      <c r="C1" s="886"/>
      <c r="D1" s="822"/>
      <c r="E1" s="822"/>
      <c r="F1" s="822" t="s">
        <v>9</v>
      </c>
      <c r="G1" s="822" t="s">
        <v>130</v>
      </c>
      <c r="H1" s="823" t="str">
        <f>D3</f>
        <v>TUE</v>
      </c>
      <c r="I1" s="824">
        <f>D4</f>
        <v>37096</v>
      </c>
    </row>
    <row r="2" spans="1:256" ht="18.95" customHeight="1">
      <c r="A2" s="825" t="s">
        <v>131</v>
      </c>
      <c r="B2" s="826"/>
      <c r="C2" s="826"/>
      <c r="D2" s="826"/>
      <c r="E2" s="826"/>
      <c r="F2" s="826"/>
      <c r="G2" s="826"/>
      <c r="H2" s="826"/>
      <c r="I2" s="827"/>
    </row>
    <row r="3" spans="1:256" ht="18.95" customHeight="1" thickBot="1">
      <c r="A3" s="828"/>
      <c r="B3" s="826"/>
      <c r="C3" s="826"/>
      <c r="D3" s="829" t="str">
        <f t="shared" ref="D3:I3" si="0">CHOOSE(WEEKDAY(D4),"SUN","MON","TUE","WED","THU","FRI","SAT")</f>
        <v>TUE</v>
      </c>
      <c r="E3" s="829" t="str">
        <f t="shared" si="0"/>
        <v>WED</v>
      </c>
      <c r="F3" s="829" t="str">
        <f t="shared" si="0"/>
        <v>THU</v>
      </c>
      <c r="G3" s="829" t="str">
        <f t="shared" si="0"/>
        <v>FRI</v>
      </c>
      <c r="H3" s="829" t="str">
        <f t="shared" si="0"/>
        <v>SAT</v>
      </c>
      <c r="I3" s="830" t="str">
        <f t="shared" si="0"/>
        <v>SUN</v>
      </c>
    </row>
    <row r="4" spans="1:256" ht="18.95" customHeight="1" thickBot="1">
      <c r="A4" s="831"/>
      <c r="B4" s="832"/>
      <c r="C4" s="832"/>
      <c r="D4" s="461">
        <f>Weather_Input!A5</f>
        <v>37096</v>
      </c>
      <c r="E4" s="461">
        <f>Weather_Input!A6</f>
        <v>37097</v>
      </c>
      <c r="F4" s="461">
        <f>Weather_Input!A7</f>
        <v>37098</v>
      </c>
      <c r="G4" s="461">
        <f>Weather_Input!A8</f>
        <v>37099</v>
      </c>
      <c r="H4" s="461">
        <f>Weather_Input!A9</f>
        <v>37100</v>
      </c>
      <c r="I4" s="462">
        <f>Weather_Input!A10</f>
        <v>37101</v>
      </c>
    </row>
    <row r="5" spans="1:256" ht="18.95" customHeight="1" thickTop="1">
      <c r="A5" s="835" t="s">
        <v>132</v>
      </c>
      <c r="B5" s="826"/>
      <c r="C5" s="826" t="s">
        <v>133</v>
      </c>
      <c r="D5" s="463" t="str">
        <f>TEXT(Weather_Input!B5,"0")&amp;"/"&amp;TEXT(Weather_Input!C5,"0") &amp; "/" &amp; TEXT((Weather_Input!B5+Weather_Input!C5)/2,"0")</f>
        <v>89/68/79</v>
      </c>
      <c r="E5" s="463" t="str">
        <f>TEXT(Weather_Input!B6,"0")&amp;"/"&amp;TEXT(Weather_Input!C6,"0") &amp; "/" &amp; TEXT((Weather_Input!B6+Weather_Input!C6)/2,"0")</f>
        <v>75/60/68</v>
      </c>
      <c r="F5" s="463" t="str">
        <f>TEXT(Weather_Input!B7,"0")&amp;"/"&amp;TEXT(Weather_Input!C7,"0") &amp; "/" &amp; TEXT((Weather_Input!B7+Weather_Input!C7)/2,"0")</f>
        <v>75/58/67</v>
      </c>
      <c r="G5" s="463" t="str">
        <f>TEXT(Weather_Input!B8,"0")&amp;"/"&amp;TEXT(Weather_Input!C8,"0") &amp; "/" &amp; TEXT((Weather_Input!B8+Weather_Input!C8)/2,"0")</f>
        <v>79/60/70</v>
      </c>
      <c r="H5" s="463" t="str">
        <f>TEXT(Weather_Input!B9,"0")&amp;"/"&amp;TEXT(Weather_Input!C9,"0") &amp; "/" &amp; TEXT((Weather_Input!B9+Weather_Input!C9)/2,"0")</f>
        <v>82/65/74</v>
      </c>
      <c r="I5" s="464" t="str">
        <f>TEXT(Weather_Input!B10,"0")&amp;"/"&amp;TEXT(Weather_Input!C10,"0") &amp; "/" &amp; TEXT((Weather_Input!B10+Weather_Input!C10)/2,"0")</f>
        <v>87/69/78</v>
      </c>
    </row>
    <row r="6" spans="1:256" ht="18.95" customHeight="1">
      <c r="A6" s="838" t="s">
        <v>134</v>
      </c>
      <c r="B6" s="826"/>
      <c r="C6" s="826"/>
      <c r="D6" s="463">
        <f>PGL_Deliveries!C5/1000</f>
        <v>220</v>
      </c>
      <c r="E6" s="463">
        <f>PGL_Deliveries!C6/1000</f>
        <v>195</v>
      </c>
      <c r="F6" s="463">
        <f>PGL_Deliveries!C7/1000</f>
        <v>195</v>
      </c>
      <c r="G6" s="463">
        <f>PGL_Deliveries!C8/1000</f>
        <v>185</v>
      </c>
      <c r="H6" s="463">
        <f>PGL_Deliveries!C9/1000</f>
        <v>175</v>
      </c>
      <c r="I6" s="464">
        <f>PGL_Deliveries!C10/1000</f>
        <v>180</v>
      </c>
    </row>
    <row r="7" spans="1:256" ht="18.95" customHeight="1">
      <c r="A7" s="838" t="s">
        <v>536</v>
      </c>
      <c r="B7" s="826" t="s">
        <v>9</v>
      </c>
      <c r="C7" s="826"/>
      <c r="D7" s="463">
        <f>PGL_Requirements!G7/1000*0.5</f>
        <v>90.375</v>
      </c>
      <c r="E7" s="463">
        <f>PGL_Requirements!G8/1000*0.5</f>
        <v>80.7</v>
      </c>
      <c r="F7" s="463">
        <f>PGL_Requirements!G9/1000*0.5</f>
        <v>10</v>
      </c>
      <c r="G7" s="463">
        <f>PGL_Requirements!G10/1000*0.5</f>
        <v>0</v>
      </c>
      <c r="H7" s="463">
        <f>PGL_Requirements!G11/1000*0.5</f>
        <v>0</v>
      </c>
      <c r="I7" s="464">
        <f>PGL_Requirements!G12/1000*0.5</f>
        <v>0</v>
      </c>
    </row>
    <row r="8" spans="1:256" ht="18.95" customHeight="1">
      <c r="A8" s="838" t="s">
        <v>774</v>
      </c>
      <c r="B8" s="826"/>
      <c r="C8" s="826"/>
      <c r="D8" s="463">
        <f>PGL_Requirements!J7/1000</f>
        <v>84.765000000000001</v>
      </c>
      <c r="E8" s="463">
        <f>PGL_Requirements!J8/1000</f>
        <v>30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95" customHeight="1">
      <c r="A9" s="835" t="s">
        <v>775</v>
      </c>
      <c r="B9" s="826" t="s">
        <v>9</v>
      </c>
      <c r="C9" s="839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95" customHeight="1">
      <c r="A10" s="835" t="s">
        <v>790</v>
      </c>
      <c r="B10" s="826"/>
      <c r="C10" s="839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95" customHeight="1">
      <c r="A11" s="835" t="s">
        <v>138</v>
      </c>
      <c r="B11" s="826" t="s">
        <v>139</v>
      </c>
      <c r="C11" s="826" t="s">
        <v>58</v>
      </c>
      <c r="D11" s="463">
        <f>PGL_Requirements!O7/1000</f>
        <v>92.5</v>
      </c>
      <c r="E11" s="463">
        <f>PGL_Requirements!O8/1000</f>
        <v>100</v>
      </c>
      <c r="F11" s="463">
        <f>PGL_Requirements!O9/1000</f>
        <v>100</v>
      </c>
      <c r="G11" s="463">
        <f>PGL_Requirements!O10/1000</f>
        <v>100</v>
      </c>
      <c r="H11" s="463">
        <f>PGL_Requirements!O11/1000</f>
        <v>100</v>
      </c>
      <c r="I11" s="464">
        <f>PGL_Requirements!O12/1000</f>
        <v>100</v>
      </c>
    </row>
    <row r="12" spans="1:256" ht="18.95" customHeight="1">
      <c r="A12" s="835"/>
      <c r="B12" s="826"/>
      <c r="C12" s="826" t="s">
        <v>97</v>
      </c>
      <c r="D12" s="463">
        <f>PGL_Requirements!P7/1000</f>
        <v>1.3875</v>
      </c>
      <c r="E12" s="463">
        <f>PGL_Requirements!P8/1000</f>
        <v>1.5</v>
      </c>
      <c r="F12" s="463">
        <f>PGL_Requirements!P9/1000</f>
        <v>1.5</v>
      </c>
      <c r="G12" s="463">
        <f>PGL_Requirements!P10/1000</f>
        <v>1.5</v>
      </c>
      <c r="H12" s="463">
        <f>PGL_Requirements!P11/1000</f>
        <v>1.5</v>
      </c>
      <c r="I12" s="464">
        <f>PGL_Requirements!P12/1000</f>
        <v>1.5</v>
      </c>
    </row>
    <row r="13" spans="1:256" ht="18.95" customHeight="1">
      <c r="A13" s="835"/>
      <c r="C13" s="826" t="s">
        <v>690</v>
      </c>
      <c r="D13" s="463">
        <f>PGL_Requirements!Q7/1000</f>
        <v>0.2</v>
      </c>
      <c r="E13" s="463">
        <f>PGL_Requirements!Q8/1000</f>
        <v>0.62</v>
      </c>
      <c r="F13" s="463">
        <f>PGL_Requirements!Q9/1000</f>
        <v>0.62</v>
      </c>
      <c r="G13" s="463">
        <f>PGL_Requirements!Q10/1000</f>
        <v>0.62</v>
      </c>
      <c r="H13" s="463">
        <f>PGL_Requirements!Q11/1000</f>
        <v>0.62</v>
      </c>
      <c r="I13" s="464">
        <f>PGL_Requirements!Q12/1000</f>
        <v>0.62</v>
      </c>
    </row>
    <row r="14" spans="1:256" ht="18.95" customHeight="1">
      <c r="A14" s="835"/>
      <c r="C14" s="826" t="s">
        <v>719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95" customHeight="1">
      <c r="A15" s="835"/>
      <c r="B15" s="826" t="s">
        <v>137</v>
      </c>
      <c r="C15" s="826" t="s">
        <v>777</v>
      </c>
      <c r="D15" s="463">
        <f>PGL_Requirements!T7/1000</f>
        <v>0.2</v>
      </c>
      <c r="E15" s="463">
        <f>PGL_Requirements!T8/1000</f>
        <v>0.2</v>
      </c>
      <c r="F15" s="463">
        <f>PGL_Requirements!T9/1000</f>
        <v>0.2</v>
      </c>
      <c r="G15" s="463">
        <f>PGL_Requirements!T10/1000</f>
        <v>0.2</v>
      </c>
      <c r="H15" s="463">
        <f>PGL_Requirements!T11/1000</f>
        <v>0.2</v>
      </c>
      <c r="I15" s="464">
        <f>PGL_Requirements!T12/1000</f>
        <v>0.2</v>
      </c>
    </row>
    <row r="16" spans="1:256" ht="18.95" customHeight="1">
      <c r="A16" s="835"/>
      <c r="B16" s="826"/>
      <c r="C16" s="826" t="s">
        <v>779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95" customHeight="1">
      <c r="A17" s="835"/>
      <c r="B17" s="826" t="s">
        <v>135</v>
      </c>
      <c r="C17" s="826" t="s">
        <v>87</v>
      </c>
      <c r="D17" s="463">
        <f>PGL_Requirements!N7/1000</f>
        <v>0</v>
      </c>
      <c r="E17" s="463">
        <f>PGL_Requirements!N8/1000</f>
        <v>0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95" customHeight="1">
      <c r="A18" s="835" t="s">
        <v>800</v>
      </c>
      <c r="B18" s="842" t="s">
        <v>9</v>
      </c>
      <c r="C18" s="842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95" customHeight="1">
      <c r="A19" s="835" t="s">
        <v>787</v>
      </c>
      <c r="B19" s="840"/>
      <c r="C19" s="842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95" customHeight="1">
      <c r="A20" s="838" t="s">
        <v>141</v>
      </c>
      <c r="B20" s="826"/>
      <c r="C20" s="826"/>
      <c r="D20" s="463">
        <f>PGL_Requirements!F7/1000</f>
        <v>0.19</v>
      </c>
      <c r="E20" s="463">
        <f>PGL_Requirements!F8/1000</f>
        <v>0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95" customHeight="1">
      <c r="A21" s="835" t="s">
        <v>142</v>
      </c>
      <c r="B21" s="826" t="s">
        <v>705</v>
      </c>
      <c r="C21" s="826"/>
      <c r="D21" s="463">
        <f>PGL_Requirements!I7/1000</f>
        <v>0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95" customHeight="1">
      <c r="A22" s="835"/>
      <c r="B22" s="826" t="s">
        <v>89</v>
      </c>
      <c r="C22" s="826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95" customHeight="1">
      <c r="A23" s="835"/>
      <c r="B23" s="826" t="s">
        <v>394</v>
      </c>
      <c r="C23" s="826"/>
      <c r="D23" s="463">
        <f>PGL_Requirements!D7/1000</f>
        <v>0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95" customHeight="1">
      <c r="A24" s="835"/>
      <c r="B24" s="826" t="s">
        <v>92</v>
      </c>
      <c r="C24" s="826"/>
      <c r="D24" s="465">
        <f>PGL_Requirements!E7/1000</f>
        <v>4.4989999999999997</v>
      </c>
      <c r="E24" s="465">
        <f>PGL_Requirements!E8/1000</f>
        <v>0</v>
      </c>
      <c r="F24" s="465">
        <f>PGL_Requirements!E9/1000</f>
        <v>4.4989999999999997</v>
      </c>
      <c r="G24" s="465">
        <f>PGL_Requirements!E10/1000</f>
        <v>4.4989999999999997</v>
      </c>
      <c r="H24" s="465">
        <f>PGL_Requirements!E11/1000</f>
        <v>4.4989999999999997</v>
      </c>
      <c r="I24" s="466">
        <f>PGL_Requirements!E12/1000</f>
        <v>4.4989999999999997</v>
      </c>
    </row>
    <row r="25" spans="1:10" ht="18.95" customHeight="1" thickBot="1">
      <c r="A25" s="843" t="s">
        <v>143</v>
      </c>
      <c r="B25" s="844"/>
      <c r="C25" s="844"/>
      <c r="D25" s="467">
        <f t="shared" ref="D25:I25" si="1">SUM(D6:D24)</f>
        <v>494.11649999999997</v>
      </c>
      <c r="E25" s="467">
        <f t="shared" si="1"/>
        <v>408.02</v>
      </c>
      <c r="F25" s="467">
        <f t="shared" si="1"/>
        <v>311.81900000000002</v>
      </c>
      <c r="G25" s="467">
        <f t="shared" si="1"/>
        <v>291.81900000000002</v>
      </c>
      <c r="H25" s="467">
        <f t="shared" si="1"/>
        <v>281.81900000000002</v>
      </c>
      <c r="I25" s="1099">
        <f t="shared" si="1"/>
        <v>286.81900000000002</v>
      </c>
    </row>
    <row r="26" spans="1:10" ht="18.95" customHeight="1" thickTop="1" thickBot="1">
      <c r="A26" s="847"/>
      <c r="B26" s="826"/>
      <c r="C26" s="826"/>
      <c r="D26" s="468"/>
      <c r="E26" s="469"/>
      <c r="F26" s="469"/>
      <c r="G26" s="469"/>
      <c r="H26" s="469"/>
      <c r="I26" s="470"/>
    </row>
    <row r="27" spans="1:10" ht="18.95" customHeight="1" thickTop="1" thickBot="1">
      <c r="A27" s="848" t="s">
        <v>144</v>
      </c>
      <c r="B27" s="849"/>
      <c r="C27" s="849"/>
      <c r="D27" s="471"/>
      <c r="E27" s="472"/>
      <c r="F27" s="472"/>
      <c r="G27" s="472"/>
      <c r="H27" s="472"/>
      <c r="I27" s="1100"/>
    </row>
    <row r="28" spans="1:10" ht="18.95" customHeight="1" thickTop="1">
      <c r="A28" s="835" t="s">
        <v>145</v>
      </c>
      <c r="B28" s="826" t="s">
        <v>139</v>
      </c>
      <c r="C28" s="826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95" customHeight="1">
      <c r="A29" s="835"/>
      <c r="B29" s="826"/>
      <c r="C29" s="826" t="s">
        <v>90</v>
      </c>
      <c r="D29" s="463">
        <f>PGL_Supplies!G7/1000</f>
        <v>1.881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95" customHeight="1">
      <c r="A30" s="835"/>
      <c r="B30" s="826"/>
      <c r="C30" s="826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95" customHeight="1">
      <c r="A31" s="835"/>
      <c r="B31" s="826" t="s">
        <v>137</v>
      </c>
      <c r="C31" s="826" t="s">
        <v>777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95" customHeight="1">
      <c r="A32" s="835"/>
      <c r="B32" s="826"/>
      <c r="C32" s="826" t="s">
        <v>779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95" customHeight="1">
      <c r="A33" s="835"/>
      <c r="B33" s="826" t="s">
        <v>135</v>
      </c>
      <c r="C33" s="826" t="s">
        <v>87</v>
      </c>
      <c r="D33" s="463">
        <f>PGL_Supplies!K7/1000</f>
        <v>131.02099999999999</v>
      </c>
      <c r="E33" s="463">
        <f>PGL_Supplies!K8/1000</f>
        <v>70.760000000000005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95" customHeight="1">
      <c r="A34" s="835" t="s">
        <v>801</v>
      </c>
      <c r="B34" s="826"/>
      <c r="C34" s="826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95" customHeight="1">
      <c r="A35" s="838" t="s">
        <v>674</v>
      </c>
      <c r="B35" s="826"/>
      <c r="C35" s="826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95" customHeight="1">
      <c r="A36" s="838" t="s">
        <v>776</v>
      </c>
      <c r="B36" s="826" t="s">
        <v>394</v>
      </c>
      <c r="C36" s="826"/>
      <c r="D36" s="463">
        <f>PGL_Supplies!S7/1000*0.5</f>
        <v>35</v>
      </c>
      <c r="E36" s="463">
        <f>PGL_Supplies!S8/1000*0.5</f>
        <v>30</v>
      </c>
      <c r="F36" s="463">
        <f>PGL_Supplies!S9/1000*0.5</f>
        <v>0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95" customHeight="1">
      <c r="A37" s="852" t="s">
        <v>715</v>
      </c>
      <c r="B37" s="826" t="s">
        <v>696</v>
      </c>
      <c r="C37" s="826"/>
      <c r="D37" s="463">
        <f>PGL_Supplies!X7/1000</f>
        <v>101.19</v>
      </c>
      <c r="E37" s="463">
        <f>PGL_Supplies!X8/1000</f>
        <v>95.39</v>
      </c>
      <c r="F37" s="463">
        <f>PGL_Supplies!X9/1000</f>
        <v>95.39</v>
      </c>
      <c r="G37" s="463">
        <f>PGL_Supplies!X10/1000</f>
        <v>95.39</v>
      </c>
      <c r="H37" s="463">
        <f>PGL_Supplies!X11/1000</f>
        <v>95.39</v>
      </c>
      <c r="I37" s="464">
        <f>PGL_Supplies!X12/1000</f>
        <v>95.39</v>
      </c>
    </row>
    <row r="38" spans="1:10" ht="18.95" customHeight="1">
      <c r="A38" s="838"/>
      <c r="B38" s="826" t="s">
        <v>137</v>
      </c>
      <c r="C38" s="839"/>
      <c r="D38" s="463">
        <f>PGL_Supplies!Y7/1000</f>
        <v>0.2</v>
      </c>
      <c r="E38" s="463">
        <f>PGL_Supplies!Y8/1000</f>
        <v>0.2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95" customHeight="1">
      <c r="A39" s="838"/>
      <c r="B39" s="826" t="s">
        <v>140</v>
      </c>
      <c r="C39" s="839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95" customHeight="1">
      <c r="A40" s="838"/>
      <c r="B40" s="826" t="s">
        <v>394</v>
      </c>
      <c r="C40" s="839"/>
      <c r="D40" s="463">
        <f>PGL_Supplies!AA7/1000</f>
        <v>168.505</v>
      </c>
      <c r="E40" s="463">
        <f>PGL_Supplies!AA8/1000</f>
        <v>116.03100000000001</v>
      </c>
      <c r="F40" s="463">
        <f>PGL_Supplies!AA9/1000</f>
        <v>116.03100000000001</v>
      </c>
      <c r="G40" s="463">
        <f>PGL_Supplies!AA10/1000</f>
        <v>116.03100000000001</v>
      </c>
      <c r="H40" s="463">
        <f>PGL_Supplies!AA11/1000</f>
        <v>116.03100000000001</v>
      </c>
      <c r="I40" s="464">
        <f>PGL_Supplies!AA12/1000</f>
        <v>116.03100000000001</v>
      </c>
    </row>
    <row r="41" spans="1:10" ht="18.95" customHeight="1">
      <c r="A41" s="838"/>
      <c r="B41" s="826" t="s">
        <v>135</v>
      </c>
      <c r="C41" s="826"/>
      <c r="D41" s="463">
        <f>PGL_Supplies!AB7/1000</f>
        <v>40.731000000000002</v>
      </c>
      <c r="E41" s="463">
        <f>PGL_Supplies!AB8/1000</f>
        <v>54.636000000000003</v>
      </c>
      <c r="F41" s="463">
        <f>PGL_Supplies!AB9/1000</f>
        <v>54.636000000000003</v>
      </c>
      <c r="G41" s="463">
        <f>PGL_Supplies!AB10/1000</f>
        <v>54.636000000000003</v>
      </c>
      <c r="H41" s="463">
        <f>PGL_Supplies!AB11/1000</f>
        <v>54.636000000000003</v>
      </c>
      <c r="I41" s="464">
        <f>PGL_Supplies!AB12/1000</f>
        <v>54.636000000000003</v>
      </c>
    </row>
    <row r="42" spans="1:10" ht="18.95" customHeight="1">
      <c r="A42" s="838"/>
      <c r="B42" s="826" t="s">
        <v>136</v>
      </c>
      <c r="C42" s="826"/>
      <c r="D42" s="463">
        <f>PGL_Supplies!AC7/1000</f>
        <v>4.4989999999999997</v>
      </c>
      <c r="E42" s="463">
        <f>PGL_Supplies!AC8/1000</f>
        <v>4</v>
      </c>
      <c r="F42" s="463">
        <f>PGL_Supplies!AC9/1000</f>
        <v>4</v>
      </c>
      <c r="G42" s="463">
        <f>PGL_Supplies!AC10/1000</f>
        <v>4</v>
      </c>
      <c r="H42" s="463">
        <f>PGL_Supplies!AC11/1000</f>
        <v>4</v>
      </c>
      <c r="I42" s="464">
        <f>PGL_Supplies!AC12/1000</f>
        <v>4</v>
      </c>
    </row>
    <row r="43" spans="1:10" ht="18.95" customHeight="1">
      <c r="A43" s="852"/>
      <c r="B43" s="826" t="s">
        <v>147</v>
      </c>
      <c r="C43" s="826"/>
      <c r="D43" s="463">
        <f>PGL_Supplies!H7/1000</f>
        <v>23.193000000000001</v>
      </c>
      <c r="E43" s="463">
        <f>PGL_Supplies!H8/1000</f>
        <v>15</v>
      </c>
      <c r="F43" s="463">
        <f>PGL_Supplies!H9/1000</f>
        <v>15</v>
      </c>
      <c r="G43" s="463">
        <f>PGL_Supplies!H10/1000</f>
        <v>15</v>
      </c>
      <c r="H43" s="463">
        <f>PGL_Supplies!H11/1000</f>
        <v>15</v>
      </c>
      <c r="I43" s="464">
        <f>PGL_Supplies!H12/1000</f>
        <v>15</v>
      </c>
      <c r="J43" s="111" t="s">
        <v>9</v>
      </c>
    </row>
    <row r="44" spans="1:10" ht="18.95" customHeight="1">
      <c r="A44" s="835"/>
      <c r="B44" s="826" t="s">
        <v>148</v>
      </c>
      <c r="C44" s="826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95" customHeight="1">
      <c r="A45" s="838" t="s">
        <v>728</v>
      </c>
      <c r="B45" s="826"/>
      <c r="C45" s="826"/>
      <c r="D45" s="463">
        <f>PGL_Supplies!B7/1000</f>
        <v>0</v>
      </c>
      <c r="E45" s="463">
        <f>PGL_Supplies!B8/1000</f>
        <v>0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95" customHeight="1">
      <c r="A46" s="835" t="s">
        <v>704</v>
      </c>
      <c r="B46" s="826" t="s">
        <v>696</v>
      </c>
      <c r="C46" s="826"/>
      <c r="D46" s="463">
        <f>PGL_Supplies!W7/1000</f>
        <v>0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95" customHeight="1">
      <c r="A47" s="835"/>
      <c r="B47" s="840" t="s">
        <v>140</v>
      </c>
      <c r="C47" s="826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95" customHeight="1">
      <c r="A48" s="835"/>
      <c r="B48" s="826" t="s">
        <v>394</v>
      </c>
      <c r="C48" s="826"/>
      <c r="D48" s="463">
        <f>PGL_Supplies!D7/1000</f>
        <v>0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95" customHeight="1">
      <c r="A49" s="853" t="s">
        <v>149</v>
      </c>
      <c r="B49" s="854" t="s">
        <v>136</v>
      </c>
      <c r="C49" s="854"/>
      <c r="D49" s="465">
        <f>PGL_Supplies!F7/1000</f>
        <v>0</v>
      </c>
      <c r="E49" s="465">
        <f>PGL_Supplies!F8/1000</f>
        <v>21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95" customHeight="1" thickBot="1">
      <c r="A50" s="855" t="s">
        <v>149</v>
      </c>
      <c r="B50" s="856"/>
      <c r="C50" s="856"/>
      <c r="D50" s="473">
        <f t="shared" ref="D50:I50" si="2">SUM(D28:D49)</f>
        <v>506.21999999999997</v>
      </c>
      <c r="E50" s="473">
        <f t="shared" si="2"/>
        <v>408.017</v>
      </c>
      <c r="F50" s="473">
        <f t="shared" si="2"/>
        <v>286.25700000000001</v>
      </c>
      <c r="G50" s="473">
        <f t="shared" si="2"/>
        <v>286.25700000000001</v>
      </c>
      <c r="H50" s="473">
        <f t="shared" si="2"/>
        <v>286.25700000000001</v>
      </c>
      <c r="I50" s="1101">
        <f t="shared" si="2"/>
        <v>286.25700000000001</v>
      </c>
    </row>
    <row r="51" spans="1:9" ht="18.95" customHeight="1">
      <c r="A51" s="857" t="s">
        <v>150</v>
      </c>
      <c r="B51" s="858"/>
      <c r="C51" s="858"/>
      <c r="D51" s="474">
        <f t="shared" ref="D51:I51" si="3">IF(D50-D25&lt;0,0,D50-D25)</f>
        <v>12.103499999999997</v>
      </c>
      <c r="E51" s="474">
        <f t="shared" si="3"/>
        <v>0</v>
      </c>
      <c r="F51" s="474">
        <f t="shared" si="3"/>
        <v>0</v>
      </c>
      <c r="G51" s="474">
        <f t="shared" si="3"/>
        <v>0</v>
      </c>
      <c r="H51" s="474">
        <f t="shared" si="3"/>
        <v>4.4379999999999882</v>
      </c>
      <c r="I51" s="1102">
        <f t="shared" si="3"/>
        <v>0</v>
      </c>
    </row>
    <row r="52" spans="1:9" ht="18.95" customHeight="1" thickBot="1">
      <c r="A52" s="859" t="s">
        <v>151</v>
      </c>
      <c r="B52" s="844"/>
      <c r="C52" s="860"/>
      <c r="D52" s="475">
        <f t="shared" ref="D52:I52" si="4">IF(D25-D50&lt;0,0,D25-D50)</f>
        <v>0</v>
      </c>
      <c r="E52" s="475">
        <f t="shared" si="4"/>
        <v>2.9999999999859028E-3</v>
      </c>
      <c r="F52" s="475">
        <f t="shared" si="4"/>
        <v>25.562000000000012</v>
      </c>
      <c r="G52" s="475">
        <f t="shared" si="4"/>
        <v>5.5620000000000118</v>
      </c>
      <c r="H52" s="475">
        <f t="shared" si="4"/>
        <v>0</v>
      </c>
      <c r="I52" s="1103">
        <f t="shared" si="4"/>
        <v>0.56200000000001182</v>
      </c>
    </row>
    <row r="53" spans="1:9" ht="18.95" customHeight="1" thickTop="1" thickBot="1">
      <c r="A53" s="1090" t="s">
        <v>718</v>
      </c>
      <c r="B53" s="1091"/>
      <c r="C53" s="1091"/>
      <c r="D53" s="1092">
        <f>PGL_Supplies!U7/1000</f>
        <v>127.611</v>
      </c>
      <c r="E53" s="1092">
        <f>PGL_Supplies!U8/1000</f>
        <v>136.959</v>
      </c>
      <c r="F53" s="1092">
        <f>PGL_Supplies!U9/1000</f>
        <v>136.959</v>
      </c>
      <c r="G53" s="1092">
        <f>PGL_Supplies!U10/1000</f>
        <v>136.959</v>
      </c>
      <c r="H53" s="1092">
        <f>PGL_Supplies!U11/1000</f>
        <v>136.959</v>
      </c>
      <c r="I53" s="1093">
        <f>PGL_Supplies!U12/1000</f>
        <v>136.959</v>
      </c>
    </row>
    <row r="54" spans="1:9" ht="18.95" customHeight="1" thickTop="1"/>
    <row r="56" spans="1:9">
      <c r="C56" s="111" t="s">
        <v>737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2001-07-25T17:18:58Z</cp:lastPrinted>
  <dcterms:created xsi:type="dcterms:W3CDTF">1997-07-16T16:14:22Z</dcterms:created>
  <dcterms:modified xsi:type="dcterms:W3CDTF">2023-09-10T17:02:46Z</dcterms:modified>
</cp:coreProperties>
</file>