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B5263F-C9FB-42AC-974D-FF99851673C1}" xr6:coauthVersionLast="47" xr6:coauthVersionMax="47" xr10:uidLastSave="{00000000-0000-0000-0000-000000000000}"/>
  <bookViews>
    <workbookView xWindow="-120" yWindow="-120" windowWidth="38640" windowHeight="15720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<sst xmlns="http://schemas.openxmlformats.org/spreadsheetml/2006/main" count="2070" uniqueCount="811">
  <si>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</si>
  <si>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</si>
  <si>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</si>
  <si>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</si>
  <si>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</si>
  <si>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</si>
  <si>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</si>
  <si>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</si>
  <si>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</si>
  <si>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</si>
  <si>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</si>
  <si>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</si>
  <si>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</si>
  <si>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</si>
  <si>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</si>
  <si>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</si>
  <si>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</si>
  <si>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</si>
  <si>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</si>
  <si>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</si>
  <si>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</si>
  <si>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</si>
  <si>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</si>
  <si>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</si>
  <si>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</si>
  <si>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</si>
  <si>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</si>
  <si>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</si>
  <si>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</si>
  <si>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</si>
  <si>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</si>
  <si>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</si>
  <si>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</si>
  <si>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</si>
  <si>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</si>
  <si>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</si>
  <si>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</si>
  <si>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</si>
  <si>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</si>
  <si>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</si>
  <si>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</si>
  <si>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</si>
  <si>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</si>
  <si>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</si>
  <si>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</si>
  <si>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</si>
  <si>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</si>
  <si>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</si>
  <si>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</si>
  <si>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</si>
  <si>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</si>
  <si>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</si>
  <si>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</si>
  <si>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</si>
  <si>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</si>
  <si>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</si>
  <si>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</si>
  <si>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</si>
  <si>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</si>
  <si>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</si>
  <si>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</si>
  <si>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</si>
  <si>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</si>
  <si>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</si>
  <si>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</si>
  <si>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</si>
  <si>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</si>
  <si>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</si>
  <si>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</si>
  <si>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</si>
  <si>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</si>
  <si>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</si>
  <si>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</si>
  <si>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</si>
  <si>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</si>
  <si>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</si>
  <si>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</si>
  <si>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</si>
  <si>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</si>
  <si>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</si>
  <si>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</si>
  <si>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</si>
  <si>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</si>
  <si>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</si>
  <si>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</si>
  <si>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</si>
  <si>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</si>
  <si>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</si>
  <si>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</si>
  <si>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</si>
  <si>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</si>
  <si>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</si>
  <si>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</si>
  <si>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</si>
  <si>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</si>
  <si>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</si>
  <si>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</si>
  <si>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</si>
  <si>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</si>
  <si>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</si>
  <si>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</si>
  <si>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</si>
  <si>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</si>
  <si>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</si>
  <si>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</si>
  <si>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</si>
  <si>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</si>
  <si>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</si>
  <si>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</si>
  <si>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</si>
  <si>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</si>
  <si>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</si>
  <si>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</si>
  <si>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</si>
  <si>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</si>
  <si>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</si>
  <si>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</si>
  <si>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</si>
  <si>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</si>
  <si>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</si>
  <si>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</si>
  <si>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</si>
  <si>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</si>
  <si>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</si>
  <si>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</si>
  <si>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</si>
  <si>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</si>
  <si>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</si>
  <si>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</si>
  <si>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</si>
  <si>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</si>
  <si>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</si>
  <si>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</si>
  <si>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</si>
  <si>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</si>
  <si>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</si>
  <si>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</si>
  <si>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</si>
  <si>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</si>
  <si>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</si>
  <si>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</si>
  <si>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</si>
  <si>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</si>
  <si>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</si>
  <si>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</si>
  <si>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</si>
  <si>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</si>
  <si>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</si>
  <si>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</si>
  <si>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</si>
  <si>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</si>
  <si>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</si>
  <si>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</si>
  <si>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</si>
  <si>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</si>
  <si>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</si>
  <si>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</si>
  <si>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</si>
  <si>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</si>
  <si>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</si>
  <si>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</si>
  <si>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</si>
  <si>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</si>
  <si>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</si>
  <si>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</si>
  <si>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</si>
  <si>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</si>
  <si>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</si>
  <si>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</si>
  <si>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</si>
  <si>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</si>
  <si>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</si>
  <si>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</si>
  <si>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</si>
  <si>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</si>
  <si>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</si>
  <si>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</si>
  <si>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</si>
  <si>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</si>
  <si>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</si>
  <si>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</si>
  <si>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</si>
  <si>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</si>
  <si>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</si>
  <si>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</si>
  <si>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</si>
  <si>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</si>
  <si>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</si>
  <si>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</si>
  <si>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</si>
  <si>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</si>
  <si>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</si>
  <si>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</si>
  <si>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</si>
  <si>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</si>
  <si>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</si>
  <si>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</si>
  <si>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</si>
  <si>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</si>
  <si>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</si>
  <si>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</si>
  <si>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</si>
  <si>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</si>
  <si>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</si>
  <si>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</si>
  <si>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</si>
  <si>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</si>
  <si>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</si>
  <si>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</si>
  <si>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</si>
  <si>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</si>
  <si>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</si>
  <si>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</si>
  <si>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</si>
  <si>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</si>
  <si>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</si>
  <si>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</si>
  <si>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</si>
  <si>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</si>
  <si>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</si>
  <si>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</si>
  <si>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</si>
  <si>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</si>
  <si>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</si>
  <si>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</si>
  <si>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</si>
  <si>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</si>
  <si>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</si>
  <si>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</si>
  <si>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</si>
  <si>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</si>
  <si>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</si>
  <si>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</si>
  <si>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</si>
  <si>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</si>
  <si>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</si>
  <si>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</si>
  <si>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</si>
  <si>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</si>
  <si>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</si>
  <si>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</si>
  <si>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</si>
  <si>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</si>
  <si>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</si>
  <si>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</si>
  <si>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</si>
  <si>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</si>
  <si>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</si>
  <si>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</si>
  <si>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</si>
  <si>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</si>
  <si>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</si>
  <si>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</si>
  <si>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</si>
  <si>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</si>
  <si>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</si>
  <si>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</si>
  <si>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</si>
  <si>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</si>
  <si>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</si>
  <si>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</si>
  <si>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</si>
  <si>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</si>
  <si>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</si>
  <si>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</si>
  <si>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</si>
  <si>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</si>
  <si>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</si>
  <si>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</si>
  <si>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</si>
  <si>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</si>
  <si>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</si>
  <si>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</si>
  <si>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</si>
  <si>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</si>
  <si>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</si>
  <si>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</si>
  <si>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</si>
  <si>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</si>
  <si>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</si>
  <si>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</si>
  <si>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</si>
  <si>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</si>
  <si>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</si>
  <si>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</si>
  <si>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</si>
  <si>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</si>
  <si>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</si>
  <si>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</si>
  <si>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</si>
  <si>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</si>
  <si>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</si>
  <si>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</si>
  <si>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</si>
  <si>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</si>
  <si>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</si>
  <si>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</si>
  <si>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</si>
  <si>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</si>
  <si>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</si>
  <si>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</si>
  <si>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</si>
  <si>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</si>
  <si>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</si>
  <si>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</si>
  <si>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</si>
  <si>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</si>
  <si>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</si>
  <si>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</si>
  <si>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</si>
  <si>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</si>
  <si>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</si>
  <si>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</si>
  <si>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</si>
  <si>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</si>
  <si>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</si>
  <si>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</si>
  <si>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</si>
  <si>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</si>
  <si>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</si>
  <si>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</si>
  <si>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</si>
  <si>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</si>
  <si>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</si>
  <si>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</si>
  <si>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</si>
  <si>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</si>
  <si>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</si>
  <si>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</si>
  <si>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</si>
  <si>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</si>
  <si>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</si>
  <si>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</si>
  <si>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</si>
  <si>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</si>
  <si>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</si>
  <si>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</si>
  <si>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</si>
  <si>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</si>
  <si>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</si>
  <si>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</si>
  <si>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</si>
  <si>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</si>
  <si>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</si>
  <si>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</si>
  <si>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</si>
  <si>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</si>
  <si>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</si>
  <si>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</si>
  <si>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</si>
  <si>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</si>
  <si>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</si>
  <si>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</si>
  <si>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</si>
  <si>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</si>
  <si>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</si>
  <si>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</si>
  <si>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</si>
  <si>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</si>
  <si>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</si>
  <si>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</si>
  <si>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</si>
  <si>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</si>
  <si>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</si>
  <si>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</si>
  <si>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</si>
  <si>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</si>
  <si>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</si>
  <si>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</si>
  <si>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</si>
  <si>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</si>
  <si>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</si>
  <si>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</si>
  <si>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</si>
  <si>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</si>
  <si>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</si>
  <si>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</si>
  <si>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</si>
  <si>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</si>
  <si>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</si>
  <si>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</si>
  <si>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</si>
  <si>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</si>
  <si>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</si>
  <si>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</si>
  <si>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</si>
  <si>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</si>
  <si>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</si>
  <si>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</si>
  <si>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</si>
  <si>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</si>
  <si>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</si>
  <si>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</si>
  <si>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</si>
  <si>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</si>
  <si>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</si>
  <si>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</si>
  <si>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</si>
  <si>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</si>
  <si>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</si>
  <si>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</si>
  <si>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</si>
  <si>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</si>
  <si>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</si>
  <si>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</si>
  <si>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</si>
  <si>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</si>
  <si>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</si>
  <si>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</si>
  <si>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</si>
  <si>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</si>
  <si>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</si>
  <si>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</si>
  <si>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</si>
  <si>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</si>
  <si>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</si>
  <si>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</si>
  <si>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</si>
  <si>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</si>
  <si>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</si>
  <si>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</si>
  <si>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</si>
  <si>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</si>
  <si>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</si>
  <si>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</si>
  <si>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</si>
  <si>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</si>
  <si>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</si>
  <si>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</si>
  <si>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</si>
  <si>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</si>
  <si>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</si>
  <si>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</si>
  <si>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</si>
  <si>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</si>
  <si>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</si>
  <si>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</si>
  <si>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</si>
  <si>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</si>
  <si>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</si>
  <si>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</si>
  <si>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</si>
  <si>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</si>
  <si>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</si>
  <si>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</si>
  <si>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</si>
  <si>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</si>
  <si>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</si>
  <si>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</si>
  <si>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</si>
  <si>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</si>
  <si>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</si>
  <si>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</si>
  <si>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</si>
  <si>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</si>
  <si>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</si>
  <si>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</si>
  <si>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</si>
  <si>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</si>
  <si>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</si>
  <si>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</si>
  <si>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</si>
  <si>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</si>
  <si>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</si>
  <si>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</si>
  <si>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</si>
  <si>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</si>
  <si>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</si>
  <si>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</si>
  <si>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</si>
  <si>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</si>
  <si>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</si>
  <si>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</si>
  <si>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</si>
  <si>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</si>
  <si>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</si>
  <si>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</si>
  <si>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</si>
  <si>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</si>
  <si>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</si>
  <si>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</si>
  <si>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</si>
  <si>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</si>
  <si>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</si>
  <si>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</si>
  <si>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</si>
  <si>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</si>
  <si>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</si>
  <si>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</si>
  <si>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</si>
  <si>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</si>
  <si>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</si>
  <si>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</si>
  <si>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</si>
  <si>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</si>
  <si>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</si>
  <si>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</si>
  <si>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</si>
  <si>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</si>
  <si>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</si>
  <si>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</si>
  <si>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</si>
  <si>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</si>
  <si>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</si>
  <si>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</si>
  <si>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</si>
  <si>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</si>
  <si>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</si>
  <si>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</si>
  <si>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</si>
  <si>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</si>
  <si>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</si>
  <si>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</si>
  <si>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</si>
  <si>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</si>
  <si>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</si>
  <si>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</si>
  <si>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</si>
  <si>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</si>
  <si>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</si>
  <si>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</si>
  <si>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</si>
  <si>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</si>
  <si>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</si>
  <si>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</si>
  <si>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</si>
  <si>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</si>
  <si>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</si>
  <si>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</si>
  <si>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</si>
  <si>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</si>
  <si>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</si>
  <si>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</si>
  <si>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</si>
  <si>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</si>
  <si>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</si>
  <si>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</si>
  <si>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</si>
  <si>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</si>
  <si>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</si>
  <si>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</si>
  <si>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</si>
  <si>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</si>
  <si>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</si>
  <si>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</si>
  <si>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</si>
  <si>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</si>
  <si>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</si>
  <si>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</si>
  <si>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</si>
  <si>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</si>
  <si>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</si>
  <si>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</si>
  <si>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</si>
  <si>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</si>
  <si>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</si>
  <si>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</si>
  <si>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</si>
  <si>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</si>
  <si>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</si>
  <si>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</si>
  <si>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</si>
  <si>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</si>
  <si>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</si>
  <si>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</si>
  <si>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</si>
  <si>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</si>
  <si>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</si>
  <si>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</si>
  <si>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</si>
  <si>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</si>
  <si>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</si>
  <si>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</si>
  <si>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</si>
  <si>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</si>
  <si>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</si>
  <si>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</si>
  <si>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</si>
  <si>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</si>
  <si>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</si>
  <si>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</si>
  <si>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</si>
  <si>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</si>
  <si>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</si>
  <si>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</si>
  <si>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</si>
  <si>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</si>
  <si>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</si>
  <si>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</si>
  <si>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</si>
  <si>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</si>
  <si>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</si>
  <si>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</si>
  <si>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</si>
  <si>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</si>
  <si>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</si>
  <si>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</si>
  <si>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</si>
  <si>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</si>
  <si>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</si>
  <si>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</si>
  <si>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</si>
  <si>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</si>
  <si>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</si>
  <si>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</si>
  <si>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</si>
  <si>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</si>
  <si>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</si>
  <si>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</si>
  <si>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</si>
  <si>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</si>
  <si>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</si>
  <si>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</si>
  <si>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</si>
  <si>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</si>
  <si>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</si>
  <si>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</si>
  <si>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</si>
  <si>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</si>
  <si>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</si>
  <si>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</si>
  <si>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</si>
  <si>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</si>
  <si>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</si>
  <si>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</si>
  <si>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</si>
  <si>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</si>
  <si>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</si>
  <si>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</si>
  <si>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</si>
  <si>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</si>
  <si>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</si>
  <si>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</si>
  <si>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</si>
  <si>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</si>
  <si>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</si>
  <si>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</si>
  <si>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</si>
  <si>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</si>
  <si>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</si>
  <si>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</si>
  <si>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</si>
  <si>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</si>
  <si>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</si>
  <si>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</si>
  <si>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</si>
  <si>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</si>
  <si>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</si>
  <si>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</si>
  <si>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</si>
  <si>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</si>
  <si>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</si>
  <si>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</si>
  <si>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</si>
  <si>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</si>
  <si>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</si>
  <si>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</si>
  <si>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</si>
  <si>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</si>
  <si>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</si>
  <si>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</si>
  <si>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</si>
  <si>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</si>
  <si>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</si>
  <si>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</si>
  <si>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</si>
  <si>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</si>
  <si>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</si>
  <si>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</si>
  <si>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</si>
  <si>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</si>
  <si>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</si>
  <si>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</si>
  <si>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</si>
  <si>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</si>
  <si>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</si>
  <si>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</si>
  <si>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</si>
  <si>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</si>
  <si>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</si>
  <si>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</si>
  <si>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</si>
  <si>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</si>
  <si>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</si>
  <si>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</si>
  <si>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</si>
  <si>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</si>
  <si>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</si>
  <si>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</si>
  <si>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</si>
  <si>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</si>
  <si>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</si>
  <si>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</si>
  <si>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</si>
  <si>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</si>
  <si>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</si>
  <si>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</si>
  <si>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</si>
  <si>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</si>
  <si>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</si>
  <si>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</si>
  <si>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</si>
  <si>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</si>
  <si>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</si>
  <si>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</si>
  <si>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</si>
  <si>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</si>
  <si>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</si>
  <si>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</si>
  <si>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</si>
  <si>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</si>
  <si>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</si>
  <si>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</si>
  <si>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</si>
  <si>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</si>
  <si>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</si>
  <si>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</si>
  <si>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</si>
  <si>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</si>
  <si>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</si>
  <si>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</si>
  <si>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</si>
  <si>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</si>
  <si>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</si>
  <si>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</si>
  <si>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</si>
  <si>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</si>
  <si>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</si>
  <si>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</si>
  <si>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</si>
  <si>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</si>
  <si>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</si>
  <si>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</si>
  <si>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</si>
  <si>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</si>
  <si>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</si>
  <si>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</si>
  <si>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</si>
  <si>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</si>
  <si>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</si>
  <si>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</si>
  <si>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</si>
  <si>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</si>
  <si>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</si>
  <si>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</si>
  <si>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</si>
  <si>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</si>
  <si>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</si>
  <si>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</si>
  <si>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</si>
  <si>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</si>
  <si>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</si>
  <si>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</si>
  <si>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</si>
  <si>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</si>
  <si>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</si>
  <si>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</si>
  <si>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</si>
  <si>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</si>
  <si>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</si>
  <si>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</si>
  <si>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</si>
  <si>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</si>
  <si>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</si>
  <si>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</si>
  <si>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</si>
  <si>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</si>
  <si>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</si>
  <si>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</si>
  <si>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</si>
  <si>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</si>
  <si>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</si>
  <si>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</si>
  <si>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</si>
  <si>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</si>
  <si>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</si>
  <si>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</si>
  <si>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</si>
  <si>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</si>
  <si>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</si>
  <si>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</si>
  <si>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</si>
  <si>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</si>
  <si>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</si>
  <si>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</si>
  <si>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</si>
  <si>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</si>
  <si>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</si>
  <si>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</si>
  <si>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</si>
  <si>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</si>
  <si>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</si>
  <si>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</si>
  <si>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</si>
  <si>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</si>
  <si>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</si>
  <si>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</si>
  <si>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</si>
  <si>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</si>
  <si>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</si>
  <si>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</si>
  <si>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</si>
  <si>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</si>
  <si>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</si>
  <si>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</si>
  <si>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</si>
  <si>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</si>
  <si>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</si>
  <si>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</si>
  <si>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CHANCE OF T'STORMS.</t>
  </si>
  <si>
    <t xml:space="preserve">PARTLY CLOUDY.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</si>
</sst>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FB3A69B-A791-E19C-A24A-B8A6F465E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1122435-98C0-80D9-C40E-CD075DD70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D9F8CB1-C5CB-520E-D003-6D1216873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7BBEB7A-1A0D-0177-59D1-F6D9C0415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4FAEEC7-7EF8-1AD7-497C-E421FA443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9E11CE0-A720-83DC-4188-6649B0166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B79A8DB-993A-94EB-DD24-D57BA1835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D5BD1ED-6D26-F9EA-0038-61F2B0EA4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EB90AE8-4647-73FF-AEF6-FCF9985C1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F385116-FB08-69F3-24B9-4F2C9B7D0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D49C40E-970D-5338-1396-599F54787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199D984-B7A5-2FF6-ADC0-24A82F5D3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382E386-CC4F-8D28-967C-DC2B3F7EC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D2A43B2-7738-9FA7-D215-616ED1250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8317863-BD02-97B2-D686-F843D2819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9A59B72-FF2E-4517-AF2C-C92E9AFE4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DC16F582-181B-D2B0-5B1E-BB03B77C2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FB5F6E4-DA83-065C-D727-C2478004C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C8F029C-D739-A93D-0B6C-8BF4F4733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55ACC3C-7224-FFE9-DBD6-7AAD0989C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8E0297E-B8FF-6C50-14AC-27879ACC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4CB2B27-BC7F-40D5-19E9-D77376B31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78FA64FB-EBC8-9C0E-EB5A-A7689C27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4CD90DBF-3350-E9DA-8AC3-7D23D9F0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09393D4-6CB7-4FA1-9EF7-5B0563530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EB6D335-16AF-B4DE-FEBC-A3080F97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5592EBF-1492-3629-31B4-8869AEA50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28BD0007-4701-FB0B-674D-74FA7F8B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8FA1912-1B07-C0C9-22C2-8F8D1018B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99A6AEB6-499E-682A-B9F4-DBEC76F07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6E260D2-F945-8216-C3B0-826B20430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A39A5CB-C72E-7898-AAF3-F67C71D7A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C191AF7-157E-1AAD-C09D-7071F80F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6E6D8FCC-3D10-2617-576A-851F99872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031932E6-56AA-9CAE-8D71-59BAB975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148A9E8C-1CA7-855C-3C25-7913DA76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4E4BE48-2AC3-F180-25EC-9B96ED411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0A24493E-5290-AF04-553D-9767B7B5A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0E52EA1-53D6-86E1-1B0C-25AD174A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B6A4443D-35E8-DEBA-C973-6C6865FFC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E3DBF1C-F688-5F49-87D6-448B2917A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6B7C4064-13B5-E3FD-BB52-3A230A24B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EEE4790-BCC0-2FF2-C9BA-29B97C6BE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A206D1B-8205-32A4-0FA0-909D5339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09" name="Day_1">
          <a:extLst>
            <a:ext uri="{FF2B5EF4-FFF2-40B4-BE49-F238E27FC236}">
              <a16:creationId xmlns:a16="http://schemas.microsoft.com/office/drawing/2014/main" id="{5CCFB800-408F-AC63-0768-280C33B7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10" name="Day_2">
          <a:extLst>
            <a:ext uri="{FF2B5EF4-FFF2-40B4-BE49-F238E27FC236}">
              <a16:creationId xmlns:a16="http://schemas.microsoft.com/office/drawing/2014/main" id="{C7A36C32-B1AF-8BD2-C656-3EB6E1AF7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11" name="Day_3">
          <a:extLst>
            <a:ext uri="{FF2B5EF4-FFF2-40B4-BE49-F238E27FC236}">
              <a16:creationId xmlns:a16="http://schemas.microsoft.com/office/drawing/2014/main" id="{9EB65BA9-53A6-717E-49E4-72D8B4BA6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12" name="Day_4">
          <a:extLst>
            <a:ext uri="{FF2B5EF4-FFF2-40B4-BE49-F238E27FC236}">
              <a16:creationId xmlns:a16="http://schemas.microsoft.com/office/drawing/2014/main" id="{CC2DE2C3-E96C-9B07-F56A-9398D3E4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13" name="Day_5">
          <a:extLst>
            <a:ext uri="{FF2B5EF4-FFF2-40B4-BE49-F238E27FC236}">
              <a16:creationId xmlns:a16="http://schemas.microsoft.com/office/drawing/2014/main" id="{90DC3CA9-F2E9-2BC0-E245-1E8A89454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14" name="Day_6">
          <a:extLst>
            <a:ext uri="{FF2B5EF4-FFF2-40B4-BE49-F238E27FC236}">
              <a16:creationId xmlns:a16="http://schemas.microsoft.com/office/drawing/2014/main" id="{DB1ABDAD-AC36-2472-0D1E-C6571458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F99E08F-C43D-E01E-8E25-2A316DC7A3E2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299439AC-E44A-DB62-856C-9EFAB2DAEDF5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E7E30C27-FEEB-AA9C-B474-07CC12FF4EA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B627688-962A-7545-782B-FCA444BB948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8BCCF93-5051-16E1-4CA9-AC9B50ABCE55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3206A0E9-1A94-5F41-4EA1-61FCE981A8E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00466B5-AD8F-0CD9-DD63-09CE29278DBA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614C8C61-D8CB-C562-FC41-17FD007CA70F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3A3F4D67-1910-A339-5A84-4B1B4F0DFDD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1B39C5B1-B6D5-C0B8-A212-91ACBF9FDA0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C3930C88-EA6E-28EA-4CF6-E6C006CF63E5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39EF92AE-A125-C5C2-F5C0-BF703F4960B9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A25A7842-2FD9-495D-E058-049D266ECE3F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0C61BC6-E76D-9BCA-966E-2A98A850F003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901D706-6214-2647-A753-852998F7579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56363F2-CA66-B4A7-154C-884AC20C6FE3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A51270A-EF74-84A7-FF5B-F0A1CF5BB0BB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292793BC-936C-F06F-0E6D-A32E95E2FB8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93D8820-1FA6-EEA9-BD23-5A89F3FD2A31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F1814A49-35EF-0004-9D1D-C0E6E2F0C6F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B6E39863-8D3C-05B5-1AE3-34B26EFADEC9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ADD7B30C-F34A-D188-0E86-9A77CABA8515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48CB92FD-BCEC-D2EF-ECFD-5543305F7B0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148CF510-DE19-68B6-D01D-673D087015A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5650DE08-4346-0D28-E5BB-932119A4CCCD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930D1EA0-6F2A-0FA9-74B7-5F479FF9E54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0CCDF63-9FD1-2A25-B012-49D701A08488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5C5AC8D5-5034-D5A1-1183-688C1A8B6C0C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C87DA35-6DFC-A5D2-6093-CB43DC21DE0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31979949-A56A-FF5C-4ED5-1B45B5C66C4F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6192D54A-2B24-CB7B-A63F-8BBE764352A5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5612A36-BE88-AE6F-26E6-5B631BA06388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3AE4432-0139-E79A-A8BE-0BE3B5627ECE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F4EECB73-9666-69F5-4E6E-112CD2D18E4F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ABE77CEA-10F1-F3A3-234D-8757085BE6F2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67F1F3B-883D-6FBB-BB6E-1C0E2DB671CA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EA51E84-5365-D838-9384-F5F282AB20C8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B7B72C6-AE31-5C95-4631-83C901B5D99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DA7E9653-014A-9A57-391C-8766EF508CC7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5332E5E5-7E64-B776-9346-8EBA810CEC3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AD541DC-7535-5CEB-1022-25E0307276C2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2B4DF04-CCC7-C732-DFCF-CD9D6C7B3DB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76F575A-1199-C356-3680-A29D56ED165A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85537EF-628F-C3BE-B3EA-46DB613283EF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F43ED38E-418D-EA6D-5DFA-D51D2DE932D5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9C6327C0-C0B5-B3BC-D9D9-006B4C6B45B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1A67370-F11F-1804-C947-120C14CB18E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DBF63B6-767D-21CE-8091-33CAD291674A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FDAE529-5284-A38C-28B5-81FBF3C18C5A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F00C8117-7CCA-F206-52CA-5125C3B5B1F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812B6AC-1B28-7DBB-CF5C-B01EEE037C00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D662A5F3-8CFF-FF0B-8FF2-7637830A0073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0F49E3DD-7DCD-F8FF-3FDC-B0F01A1F67BE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77359B32-D399-1B87-59C5-03D1B883F699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6314EDB-41FC-82A7-4BEB-67173381625C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EC3D0F9-787E-0EB6-02E9-A51A79060B3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263C8226-6854-2CE0-316D-2EE8F7C302B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43E5205-F0BD-35E3-09A4-17382E4014A4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0844EE1B-54F4-ABD9-1BB3-8E38150BB32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FDA9FDA4-BE5A-3059-541A-AA0F8224F507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24335180-38BC-7C0D-6339-01FBC88C541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93AF716-E10F-A734-9686-BEF2FB8F926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7A25FC80-CFAB-5C2A-7C8F-30230CC9A9A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323FAC1D-E2D7-1514-6A5D-9DAAEE573314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B826592-FC5C-B4BB-C645-1169AFD21830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A05AB6AA-E87D-3FA9-3EBA-5272131FA660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0DD0194-8A71-BB1A-72BC-D5430255D1A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42113F0-99BC-2518-EA95-3E2BEDBC962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103FA92B-491F-A222-772C-35DDFF2F5F9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1442C934-48E8-4C98-C77D-E6E2777A246B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E698C5FB-04D7-6CB9-745D-156A5D5E75E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F8BB934-1E69-AB50-ADCF-D6772970AFF9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697E22EB-CAEB-49D1-084C-906355BAECA5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C7783A78-8506-8D88-B0FA-5D2BFE0933AD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98B7882-3189-1B41-3D41-B55E5C57C6B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87D28D5-E78A-6AB9-32B2-C1605D6D875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FAA21951-71DD-E855-0085-5E88D74B245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FE4D3716-E89F-BE22-58A2-461CA780D4D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59DCD3C-BFC6-0381-A02D-587B4EC1F28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347F12A5-56F5-9448-4AE3-338EEDF1A99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C5D6801-DCE3-2F50-E9B7-7850AC5651B7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D6317BC6-7452-11C8-08C9-22492294E68D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C201DCA-2CB7-D801-9038-84F0092C4B0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AC37BCFE-85DD-C6D2-EFF7-CE5EEE4729D5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DCA3E08-A4AF-D1D2-034E-9634AC50177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C0C10E9C-AD07-F95F-C8CC-5DC74A0BC7E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B3A0070E-9068-7D3D-BBF5-4EBA1F93A2A5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1BF4455-8019-32C4-CA07-5122EBB7CC57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C89D6A3-EBDE-42E0-71F7-C2AABE54A97C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78D8BB8-0C59-0978-3675-41BBD8094D26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74D392B3-537D-FFB2-D84A-06C50C5CBDD1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66DCD6C-C25C-E27F-8CF7-CA79412E383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30D969D-0610-A472-4EC8-8885C464F56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245CFB3E-5E47-8A85-00A6-AB28B0315FF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F9E9B4E-9099-6DA8-1955-F525D0CA01B2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45E9FDE-225E-A412-9EA6-B6174DF1E2A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034997A-A99D-3A34-C7E9-2595C7B5107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DD0F36D-6241-CAE3-BA62-EFC344A5114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835C313-C0FA-E1DD-3EF1-6F2EE99B888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09FBF16-BF27-1755-58FD-400510DA145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7C5BC647-76C5-4351-B53F-81D3290852F8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F6B55B4-C79F-1D1D-7618-1ED1B9AFCC69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482497C0-D736-7E32-0BB7-644FE3EC1F3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67CB488-F35C-91D1-EC7F-AF123FFE856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73BD8DB-CA40-4DE7-4BD5-7C96FE8DD2F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C73C6EC-CFDB-4E01-1BCE-32062593285D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D24163DE-7203-4169-33EC-B5CBB3D5D6E9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FDD787F-CEC4-8E34-FBEC-716E4372F19F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DE49493-881B-F156-618B-2082099B34C1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987F8512-99AE-C64A-EC02-516E9361E33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B2543F6E-5C4B-5C8E-0878-946E68D68BAB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8BFF51E-0BB8-A8AD-4D84-90D66BEA668F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DCAA8AB-4CA8-B182-C42D-97562B62EA6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249C565-73F2-7EED-F89E-C61C51649624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54A0833F-F67D-B24A-21E3-FFC55C705A17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F2C4B67A-5B13-59CB-B438-F35D9CFBA1C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0BFFA99-2220-3B64-9BB4-3E00E19C68CB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6EFEC50-42B6-E242-1059-9D4D75BF73A8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4690689-14C7-4DD4-C034-27DC7B55DB9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9977686F-B5AA-4DB2-235D-9279A7F8E121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6E083F0C-3ABE-A6B5-7E0E-6F1F7403308C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990BFD7-44F5-6468-FE71-9156E0A1C0F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D2C2B1D9-5C20-6C34-0A21-B0D97ED5B0D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6815BDF-6E2A-95F6-216F-E790C53EEFC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734298B-02BA-36DB-46E3-C8B061E297BD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8CCB1F8E-E95E-6042-BF36-90BBE2C4EFE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B73C0B1-22E5-35FD-0851-7FC251BDCA4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FAE0115-EB6F-35DD-9B7A-13A569507345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826BD538-5F01-8778-43A4-788C6509BC60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301B04ED-770C-1694-B470-50934490641F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SUN</v>
      </c>
      <c r="I1" s="865">
        <f>D4</f>
        <v>37094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37094</v>
      </c>
      <c r="E4" s="833">
        <f>Weather_Input!A6</f>
        <v>37095</v>
      </c>
      <c r="F4" s="833">
        <f>Weather_Input!A7</f>
        <v>37096</v>
      </c>
      <c r="G4" s="833">
        <f>Weather_Input!A8</f>
        <v>37097</v>
      </c>
      <c r="H4" s="833">
        <f>Weather_Input!A9</f>
        <v>37098</v>
      </c>
      <c r="I4" s="834">
        <f>Weather_Input!A10</f>
        <v>37099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93/70/82</v>
      </c>
      <c r="E5" s="866" t="str">
        <f>TEXT(Weather_Input!B6,"0")&amp;"/"&amp;TEXT(Weather_Input!C6,"0") &amp; "/" &amp; TEXT((Weather_Input!B6+Weather_Input!C6)/2,"0")</f>
        <v>93/73/83</v>
      </c>
      <c r="F5" s="866" t="str">
        <f>TEXT(Weather_Input!B7,"0")&amp;"/"&amp;TEXT(Weather_Input!C7,"0") &amp; "/" &amp; TEXT((Weather_Input!B7+Weather_Input!C7)/2,"0")</f>
        <v>89/63/76</v>
      </c>
      <c r="G5" s="866" t="str">
        <f>TEXT(Weather_Input!B8,"0")&amp;"/"&amp;TEXT(Weather_Input!C8,"0") &amp; "/" &amp; TEXT((Weather_Input!B8+Weather_Input!C8)/2,"0")</f>
        <v>75/60/68</v>
      </c>
      <c r="H5" s="866" t="str">
        <f>TEXT(Weather_Input!B9,"0")&amp;"/"&amp;TEXT(Weather_Input!C9,"0") &amp; "/" &amp; TEXT((Weather_Input!B9+Weather_Input!C9)/2,"0")</f>
        <v>78/61/70</v>
      </c>
      <c r="I5" s="867" t="str">
        <f>TEXT(Weather_Input!B10,"0")&amp;"/"&amp;TEXT(Weather_Input!C10,"0") &amp; "/" &amp; TEXT((Weather_Input!B10+Weather_Input!C10)/2,"0")</f>
        <v>79/63/71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29.3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32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12</v>
      </c>
      <c r="E8" s="836">
        <f>NSG_Requirements!J8/1000</f>
        <v>4.2300000000000004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41.3</v>
      </c>
      <c r="E11" s="845">
        <f t="shared" ca="1" si="1"/>
        <v>37.230000000000004</v>
      </c>
      <c r="F11" s="845">
        <f t="shared" ca="1" si="1"/>
        <v>34</v>
      </c>
      <c r="G11" s="845">
        <f t="shared" ca="1" si="1"/>
        <v>34</v>
      </c>
      <c r="H11" s="845">
        <f t="shared" ca="1" si="1"/>
        <v>34</v>
      </c>
      <c r="I11" s="846">
        <f t="shared" ca="1" si="1"/>
        <v>32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4.1920000000000002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25.234999999999999</v>
      </c>
      <c r="E19" s="836">
        <f>NSG_Supplies!Q8/1000</f>
        <v>25.234999999999999</v>
      </c>
      <c r="F19" s="836">
        <f>NSG_Supplies!Q9/1000</f>
        <v>25.234999999999999</v>
      </c>
      <c r="G19" s="836">
        <f>NSG_Supplies!Q10/1000</f>
        <v>25.234999999999999</v>
      </c>
      <c r="H19" s="836">
        <f>NSG_Supplies!Q11/1000</f>
        <v>25.234999999999999</v>
      </c>
      <c r="I19" s="837">
        <f>NSG_Supplies!Q12/1000</f>
        <v>25.234999999999999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0" t="s">
        <v>149</v>
      </c>
      <c r="B21" s="1241"/>
      <c r="C21" s="1241"/>
      <c r="D21" s="1242">
        <f t="shared" ref="D21:I21" si="2">SUM(D14:D20)</f>
        <v>41.427</v>
      </c>
      <c r="E21" s="1242">
        <f t="shared" si="2"/>
        <v>37.234999999999999</v>
      </c>
      <c r="F21" s="1242">
        <f t="shared" si="2"/>
        <v>37.234999999999999</v>
      </c>
      <c r="G21" s="1242">
        <f t="shared" si="2"/>
        <v>37.234999999999999</v>
      </c>
      <c r="H21" s="1242">
        <f t="shared" si="2"/>
        <v>37.234999999999999</v>
      </c>
      <c r="I21" s="1243">
        <f t="shared" si="2"/>
        <v>37.234999999999999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0.12700000000000244</v>
      </c>
      <c r="E22" s="877">
        <f t="shared" ca="1" si="3"/>
        <v>4.9999999999954525E-3</v>
      </c>
      <c r="F22" s="877">
        <f t="shared" ca="1" si="3"/>
        <v>3.2349999999999994</v>
      </c>
      <c r="G22" s="877">
        <f t="shared" ca="1" si="3"/>
        <v>3.2349999999999994</v>
      </c>
      <c r="H22" s="877">
        <f t="shared" ca="1" si="3"/>
        <v>3.2349999999999994</v>
      </c>
      <c r="I22" s="878">
        <f t="shared" ca="1" si="3"/>
        <v>5.2349999999999994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13.901999999999999</v>
      </c>
      <c r="E24" s="1097">
        <f>NSG_Supplies!R8/1000</f>
        <v>13.901999999999999</v>
      </c>
      <c r="F24" s="1097">
        <f>NSG_Supplies!R9/1000</f>
        <v>13.901999999999999</v>
      </c>
      <c r="G24" s="1097">
        <f>NSG_Supplies!R10/1000</f>
        <v>13.901999999999999</v>
      </c>
      <c r="H24" s="1097">
        <f>NSG_Supplies!R11/1000</f>
        <v>13.901999999999999</v>
      </c>
      <c r="I24" s="1098">
        <f>NSG_Supplies!R12/1000</f>
        <v>13.901999999999999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7</v>
      </c>
      <c r="F26" s="884">
        <f>Weather_Input!D7</f>
        <v>9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37094</v>
      </c>
      <c r="N1" s="1216" t="str">
        <f>CHOOSE(WEEKDAY(M1),"SUN","MON","TUE","WED","THU","FRI","SAT")</f>
        <v>SUN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2"/>
    </row>
    <row r="3" spans="1:17" ht="15.75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19.652000000000001</v>
      </c>
      <c r="G3" s="383" t="s">
        <v>9</v>
      </c>
      <c r="H3" s="1131" t="s">
        <v>9</v>
      </c>
      <c r="I3" s="1185" t="s">
        <v>9</v>
      </c>
      <c r="J3" s="944">
        <f>Weather_Input!B5</f>
        <v>93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772</v>
      </c>
      <c r="J4" s="1044" t="s">
        <v>9</v>
      </c>
      <c r="K4" s="1258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108.172</v>
      </c>
      <c r="C5" s="1047" t="s">
        <v>9</v>
      </c>
      <c r="D5" s="344"/>
      <c r="E5" s="1195" t="s">
        <v>430</v>
      </c>
      <c r="F5" s="964">
        <f>F3+F4</f>
        <v>19.652000000000001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9">
        <f>PGL_Deliveries!C5/1000</f>
        <v>177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108.172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60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4.4989999999999997</v>
      </c>
      <c r="G8" s="376" t="s">
        <v>9</v>
      </c>
      <c r="H8" s="1125"/>
      <c r="I8" s="1035" t="s">
        <v>734</v>
      </c>
      <c r="J8" s="288" t="s">
        <v>9</v>
      </c>
      <c r="K8" s="1261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5"/>
      <c r="I9" s="119" t="s">
        <v>695</v>
      </c>
      <c r="J9" s="1044"/>
      <c r="K9" s="1262">
        <f>+B6</f>
        <v>108.172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4.4989999999999997</v>
      </c>
      <c r="G10" s="522"/>
      <c r="H10" s="1126"/>
      <c r="I10" s="1187" t="s">
        <v>754</v>
      </c>
      <c r="J10" s="277" t="s">
        <v>9</v>
      </c>
      <c r="K10" s="1261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7" t="s">
        <v>58</v>
      </c>
      <c r="J11" s="277" t="s">
        <v>9</v>
      </c>
      <c r="K11" s="1261">
        <f>B19</f>
        <v>-108.46299999999999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773</v>
      </c>
      <c r="G12" s="354"/>
      <c r="H12" s="1130"/>
      <c r="I12" s="1187" t="s">
        <v>755</v>
      </c>
      <c r="J12" s="277" t="s">
        <v>9</v>
      </c>
      <c r="K12" s="1261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138.76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1">
        <f>B34</f>
        <v>202.88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3">
        <f>F5</f>
        <v>19.652000000000001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1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0.627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3">
        <f>PGL_Supplies!B7/1000</f>
        <v>4.2990000000000004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0.33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4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2.0813999999999999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771</v>
      </c>
      <c r="J18" s="1044"/>
      <c r="K18" s="1265">
        <f>-F19</f>
        <v>-28.282</v>
      </c>
      <c r="L18" s="1044"/>
      <c r="M18" s="221"/>
      <c r="N18" s="1044"/>
      <c r="O18" s="799"/>
    </row>
    <row r="19" spans="1:15" ht="16.5" thickBot="1">
      <c r="A19" s="513" t="s">
        <v>430</v>
      </c>
      <c r="B19" s="1206">
        <f>-B13+B14+B16-B17-B15+B20+B21</f>
        <v>-108.46299999999999</v>
      </c>
      <c r="C19" s="515"/>
      <c r="D19" s="527"/>
      <c r="E19" s="1144" t="s">
        <v>743</v>
      </c>
      <c r="F19" s="1209">
        <f>PGL_Requirements!J7/1000</f>
        <v>28.282</v>
      </c>
      <c r="G19" s="1033" t="s">
        <v>9</v>
      </c>
      <c r="H19" s="1145" t="s">
        <v>9</v>
      </c>
      <c r="I19" t="s">
        <v>536</v>
      </c>
      <c r="J19" s="1212"/>
      <c r="K19" s="1266">
        <f>-F24</f>
        <v>-29</v>
      </c>
      <c r="L19" s="1212"/>
      <c r="M19" s="157"/>
      <c r="N19" s="1212"/>
      <c r="O19" s="1211"/>
    </row>
    <row r="20" spans="1:15" ht="16.5" thickBot="1">
      <c r="A20" s="327" t="s">
        <v>204</v>
      </c>
      <c r="B20" s="319">
        <v>30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7">
        <f>SUM(K8:K19)</f>
        <v>169.25799999999998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8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1">
        <f>K5+K6-K20</f>
        <v>7.7420000000000186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29</v>
      </c>
      <c r="G24" s="1033"/>
      <c r="H24" s="1016"/>
      <c r="I24" s="1189" t="s">
        <v>404</v>
      </c>
      <c r="J24" s="277" t="s">
        <v>9</v>
      </c>
      <c r="K24" s="1261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9">
        <f>SUM(B18+B20+B21)</f>
        <v>32.081400000000002</v>
      </c>
      <c r="L25" s="951"/>
      <c r="M25" s="1223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70">
        <f>SUM(K23:K25)</f>
        <v>39.823400000000021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8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4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1">
        <f>-PGL_Supplies!K7/1000</f>
        <v>-23.53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60">
        <f>-PGL_Supplies!AB7/1000</f>
        <v>-20.352</v>
      </c>
      <c r="L30" s="1159"/>
      <c r="M30" s="1061">
        <f>-PGL_Supplies!AB7/1000</f>
        <v>-20.352</v>
      </c>
      <c r="N30" s="1160"/>
      <c r="O30" s="1220">
        <f>-PGL_Supplies!AB7/1000</f>
        <v>-20.352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192.88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75" thickBot="1">
      <c r="A33" s="1116" t="s">
        <v>587</v>
      </c>
      <c r="B33" s="966">
        <f>PGL_Supplies!S7/1000</f>
        <v>20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5" thickBot="1">
      <c r="A34" s="1171" t="s">
        <v>650</v>
      </c>
      <c r="B34" s="1196">
        <f>-B30+B31+B32+B33*0.5</f>
        <v>202.88</v>
      </c>
      <c r="C34" s="1033"/>
      <c r="D34" s="1018" t="s">
        <v>9</v>
      </c>
      <c r="E34" s="1247" t="s">
        <v>760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768</v>
      </c>
      <c r="B35" s="1021"/>
      <c r="C35" s="1021"/>
      <c r="D35" s="1019" t="s">
        <v>9</v>
      </c>
      <c r="E35" s="1247" t="s">
        <v>807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769</v>
      </c>
      <c r="B36" s="319">
        <f>B34-B35-B37</f>
        <v>173.88</v>
      </c>
      <c r="C36" s="1022" t="s">
        <v>9</v>
      </c>
      <c r="D36" s="1020" t="s">
        <v>9</v>
      </c>
      <c r="E36" s="1247" t="s">
        <v>759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770</v>
      </c>
      <c r="B37" s="1218">
        <f>F24</f>
        <v>29</v>
      </c>
      <c r="C37" s="1044"/>
      <c r="D37" s="1105" t="s">
        <v>9</v>
      </c>
      <c r="E37" s="119"/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806</v>
      </c>
      <c r="B38" s="1177">
        <f>PGL_Requirements!J7/1000</f>
        <v>28.282</v>
      </c>
      <c r="C38" s="1045"/>
      <c r="D38" s="970"/>
      <c r="E38" s="119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9"/>
      <c r="O38" s="1250"/>
    </row>
    <row r="39" spans="1:15" ht="16.5" thickBot="1">
      <c r="A39" s="1118" t="s">
        <v>2</v>
      </c>
      <c r="B39" s="1219">
        <f>B35+B36+B37+B38</f>
        <v>231.16200000000001</v>
      </c>
      <c r="C39" s="1119"/>
      <c r="D39" s="1120" t="s">
        <v>9</v>
      </c>
      <c r="E39" s="119"/>
      <c r="F39" s="119"/>
      <c r="G39" s="119"/>
      <c r="H39" s="119"/>
      <c r="I39" s="1214" t="s">
        <v>445</v>
      </c>
      <c r="J39" s="579"/>
      <c r="K39" s="1230"/>
      <c r="L39" s="1251" t="s">
        <v>808</v>
      </c>
      <c r="M39" s="1089"/>
      <c r="N39" s="1252"/>
      <c r="O39" s="1233"/>
    </row>
    <row r="40" spans="1:15" ht="17.25" thickTop="1" thickBot="1">
      <c r="A40" s="1246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2"/>
      <c r="L40" s="1248" t="s">
        <v>210</v>
      </c>
      <c r="M40" s="1253"/>
      <c r="N40" s="117" t="s">
        <v>9</v>
      </c>
      <c r="O40" s="1173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SUN</v>
      </c>
      <c r="G1" s="1222">
        <f>Weather_Input!A5</f>
        <v>37094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93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29.3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29.3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29.3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-4.1920000000000002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-25.234999999999999</v>
      </c>
      <c r="D25" s="710"/>
      <c r="E25" s="703">
        <f>-NSG_Supplies!Q7/1000</f>
        <v>-25.234999999999999</v>
      </c>
      <c r="F25" s="710"/>
      <c r="G25" s="703">
        <f>-NSG_Supplies!Q7/1000</f>
        <v>-25.234999999999999</v>
      </c>
      <c r="H25" s="709"/>
      <c r="I25" s="766">
        <f>-NSG_Supplies!Q7/1000</f>
        <v>-25.234999999999999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12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37094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93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177</v>
      </c>
      <c r="C8" s="269">
        <f>NSG_Deliveries!C5/1000</f>
        <v>29.3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114.94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19.652000000000001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-30.587999999999994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0.627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4.2990000000000004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29.3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2.0813999999999999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29.3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0.33</v>
      </c>
      <c r="C27" s="305">
        <f>NSG_Requirements!P7/1000</f>
        <v>0</v>
      </c>
      <c r="D27" s="305">
        <f>PGL_Requirements!Q7/1000</f>
        <v>0.33</v>
      </c>
      <c r="E27" s="305">
        <f>NSG_Requirements!P7/1000</f>
        <v>0</v>
      </c>
      <c r="F27" s="305">
        <f>PGL_Requirements!Q7/1000</f>
        <v>0.33</v>
      </c>
      <c r="G27" s="305">
        <f>NSG_Requirements!P7/1000</f>
        <v>0</v>
      </c>
      <c r="H27" s="306">
        <f>+B27</f>
        <v>0.33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-20.352</v>
      </c>
      <c r="C32" s="310">
        <f>-NSG_Supplies!Q7/1000</f>
        <v>-25.234999999999999</v>
      </c>
      <c r="D32" s="310">
        <f>B32</f>
        <v>-20.352</v>
      </c>
      <c r="E32" s="310">
        <f>C32</f>
        <v>-25.234999999999999</v>
      </c>
      <c r="F32" s="310">
        <f>B32</f>
        <v>-20.352</v>
      </c>
      <c r="G32" s="310">
        <f>C32</f>
        <v>-25.234999999999999</v>
      </c>
      <c r="H32" s="315">
        <f>B32</f>
        <v>-20.352</v>
      </c>
      <c r="I32" s="316">
        <f>C32</f>
        <v>-25.234999999999999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-13.901999999999999</v>
      </c>
      <c r="D33" s="310">
        <f>B33</f>
        <v>0</v>
      </c>
      <c r="E33" s="310">
        <f>C33</f>
        <v>-13.901999999999999</v>
      </c>
      <c r="F33" s="310">
        <f>B33</f>
        <v>0</v>
      </c>
      <c r="G33" s="310">
        <f>C33</f>
        <v>-13.901999999999999</v>
      </c>
      <c r="H33" s="315">
        <f>B33</f>
        <v>0</v>
      </c>
      <c r="I33" s="316">
        <f>C33</f>
        <v>-13.901999999999999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-23.53</v>
      </c>
      <c r="C36" s="310">
        <f>-NSG_Supplies!F7/1000</f>
        <v>-4.1920000000000002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138.76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0.627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2.0813999999999999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2.0813999999999999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0.627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114.94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114.94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108.172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138.76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4.4989999999999997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-30.587999999999994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SUN</v>
      </c>
      <c r="H73" s="401">
        <f>Weather_Input!A5</f>
        <v>37094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0.627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114.94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108.172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4.2990000000000004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-13.901999999999999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114.94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114.94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138.76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0.627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2.0813999999999999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0.627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29929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4.4989999999999997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4.4989999999999997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108.172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108.172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37095.497704976849</v>
      </c>
      <c r="F22" s="161" t="s">
        <v>257</v>
      </c>
      <c r="G22" s="188">
        <f ca="1">NOW()</f>
        <v>37095.497704976849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37094</v>
      </c>
      <c r="C5" s="15"/>
      <c r="D5" s="22" t="s">
        <v>275</v>
      </c>
      <c r="E5" s="23">
        <f>Weather_Input!B5</f>
        <v>93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79.599999999999994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CLOUDY.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37095</v>
      </c>
      <c r="C10" s="15"/>
      <c r="D10" s="150" t="s">
        <v>275</v>
      </c>
      <c r="E10" s="23">
        <f>Weather_Input!B6</f>
        <v>93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73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83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37096</v>
      </c>
      <c r="C15" s="15"/>
      <c r="D15" s="22" t="s">
        <v>275</v>
      </c>
      <c r="E15" s="23">
        <f>Weather_Input!B7</f>
        <v>89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63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>CHANCE OF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37097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67.5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>CHANCE OF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37098</v>
      </c>
      <c r="C25" s="15"/>
      <c r="D25" s="22" t="s">
        <v>275</v>
      </c>
      <c r="E25" s="23">
        <f>Weather_Input!B9</f>
        <v>78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61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69.5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>CHANCE OF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37099</v>
      </c>
      <c r="C30" s="15"/>
      <c r="D30" s="22" t="s">
        <v>275</v>
      </c>
      <c r="E30" s="23">
        <f>Weather_Input!B10</f>
        <v>79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63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4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71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281</v>
      </c>
    </row>
    <row r="33" spans="1:9" ht="15">
      <c r="A33" s="15"/>
      <c r="B33" s="34"/>
      <c r="C33" s="15"/>
      <c r="D33" s="32" t="str">
        <f>IF(Weather_Input!I10=""," ",Weather_Input!I10)</f>
        <v>CHANCE OF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37094</v>
      </c>
      <c r="C36" s="89">
        <f>B10</f>
        <v>37095</v>
      </c>
      <c r="D36" s="89">
        <f>B15</f>
        <v>37096</v>
      </c>
      <c r="E36" s="89">
        <f xml:space="preserve">       B20</f>
        <v>37097</v>
      </c>
      <c r="F36" s="89">
        <f>B25</f>
        <v>37098</v>
      </c>
      <c r="G36" s="89">
        <f>B30</f>
        <v>37099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177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380.1524</v>
      </c>
      <c r="C38" s="41">
        <f>PGL_6_Day_Report!E25</f>
        <v>488.86400000000003</v>
      </c>
      <c r="D38" s="41">
        <f>PGL_6_Day_Report!F25</f>
        <v>369.29900000000004</v>
      </c>
      <c r="E38" s="41">
        <f>PGL_6_Day_Report!G25</f>
        <v>334.29900000000004</v>
      </c>
      <c r="F38" s="41">
        <f>PGL_6_Day_Report!H25</f>
        <v>334.29900000000004</v>
      </c>
      <c r="G38" s="41">
        <f>PGL_6_Day_Report!I25</f>
        <v>324.29900000000004</v>
      </c>
      <c r="H38" s="14"/>
      <c r="I38" s="15"/>
    </row>
    <row r="39" spans="1:9" ht="15">
      <c r="A39" s="42" t="s">
        <v>104</v>
      </c>
      <c r="B39" s="41">
        <f>SUM(PGL_Supplies!Y7:AD7)/1000</f>
        <v>217.93100000000001</v>
      </c>
      <c r="C39" s="41">
        <f>SUM(PGL_Supplies!Y8:AD8)/1000</f>
        <v>217.93100000000001</v>
      </c>
      <c r="D39" s="41">
        <f>SUM(PGL_Supplies!Y9:AD9)/1000</f>
        <v>217.93100000000001</v>
      </c>
      <c r="E39" s="41">
        <f>SUM(PGL_Supplies!Y10:AD10)/1000</f>
        <v>217.93100000000001</v>
      </c>
      <c r="F39" s="41">
        <f>SUM(PGL_Supplies!Y11:AD11)/1000</f>
        <v>217.93100000000001</v>
      </c>
      <c r="G39" s="41">
        <f>SUM(PGL_Supplies!Y12:AD12)/1000</f>
        <v>217.93100000000001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0.53</v>
      </c>
      <c r="C41" s="41">
        <f>SUM(PGL_Requirements!Q7:T7)/1000</f>
        <v>0.53</v>
      </c>
      <c r="D41" s="41">
        <f>SUM(PGL_Requirements!Q7:T7)/1000</f>
        <v>0.53</v>
      </c>
      <c r="E41" s="41">
        <f>SUM(PGL_Requirements!Q7:T7)/1000</f>
        <v>0.53</v>
      </c>
      <c r="F41" s="41">
        <f>SUM(PGL_Requirements!Q7:T7)/1000</f>
        <v>0.53</v>
      </c>
      <c r="G41" s="41">
        <f>SUM(PGL_Requirements!Q7:T7)/1000</f>
        <v>0.53</v>
      </c>
      <c r="H41" s="14"/>
      <c r="I41" s="15"/>
    </row>
    <row r="42" spans="1:9" ht="15">
      <c r="A42" s="15" t="s">
        <v>127</v>
      </c>
      <c r="B42" s="41">
        <f>PGL_Supplies!U7/1000</f>
        <v>114.94</v>
      </c>
      <c r="C42" s="41">
        <f>PGL_Supplies!U8/1000</f>
        <v>114.94</v>
      </c>
      <c r="D42" s="41">
        <f>PGL_Supplies!U9/1000</f>
        <v>114.94</v>
      </c>
      <c r="E42" s="41">
        <f>PGL_Supplies!U10/1000</f>
        <v>114.94</v>
      </c>
      <c r="F42" s="41">
        <f>PGL_Supplies!U11/1000</f>
        <v>114.94</v>
      </c>
      <c r="G42" s="41">
        <f>PGL_Supplies!U12/1000</f>
        <v>114.94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37094</v>
      </c>
      <c r="C44" s="89">
        <f t="shared" si="0"/>
        <v>37095</v>
      </c>
      <c r="D44" s="89">
        <f t="shared" si="0"/>
        <v>37096</v>
      </c>
      <c r="E44" s="89">
        <f t="shared" si="0"/>
        <v>37097</v>
      </c>
      <c r="F44" s="89">
        <f t="shared" si="0"/>
        <v>37098</v>
      </c>
      <c r="G44" s="89">
        <f t="shared" si="0"/>
        <v>37099</v>
      </c>
      <c r="H44" s="14"/>
      <c r="I44" s="15"/>
    </row>
    <row r="45" spans="1:9" ht="15">
      <c r="A45" s="15" t="s">
        <v>54</v>
      </c>
      <c r="B45" s="41">
        <f ca="1">NSG_6_Day_Report!D6</f>
        <v>29.3</v>
      </c>
      <c r="C45" s="41">
        <f ca="1">NSG_6_Day_Report!E6</f>
        <v>33</v>
      </c>
      <c r="D45" s="41">
        <f ca="1">NSG_6_Day_Report!F6</f>
        <v>34</v>
      </c>
      <c r="E45" s="41">
        <f ca="1">NSG_6_Day_Report!G6</f>
        <v>34</v>
      </c>
      <c r="F45" s="41">
        <f ca="1">NSG_6_Day_Report!H6</f>
        <v>34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41.3</v>
      </c>
      <c r="C46" s="41">
        <f ca="1">NSG_6_Day_Report!E11</f>
        <v>37.230000000000004</v>
      </c>
      <c r="D46" s="41">
        <f ca="1">NSG_6_Day_Report!F11</f>
        <v>34</v>
      </c>
      <c r="E46" s="41">
        <f ca="1">NSG_6_Day_Report!G11</f>
        <v>34</v>
      </c>
      <c r="F46" s="41">
        <f ca="1">NSG_6_Day_Report!H11</f>
        <v>34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37.234999999999999</v>
      </c>
      <c r="C47" s="41">
        <f>SUM(NSG_Supplies!O8:Q8)/1000</f>
        <v>37.234999999999999</v>
      </c>
      <c r="D47" s="41">
        <f>SUM(NSG_Supplies!O9:Q9)/1000</f>
        <v>37.234999999999999</v>
      </c>
      <c r="E47" s="41">
        <f>SUM(NSG_Supplies!O10:Q10)/1000</f>
        <v>37.234999999999999</v>
      </c>
      <c r="F47" s="41">
        <f>SUM(NSG_Supplies!O11:Q11)/1000</f>
        <v>37.234999999999999</v>
      </c>
      <c r="G47" s="41">
        <f>SUM(NSG_Supplies!O12:Q12)/1000</f>
        <v>37.234999999999999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13.901999999999999</v>
      </c>
      <c r="C50" s="41">
        <f>NSG_Supplies!R8/1000</f>
        <v>13.901999999999999</v>
      </c>
      <c r="D50" s="41">
        <f>NSG_Supplies!R9/1000</f>
        <v>13.901999999999999</v>
      </c>
      <c r="E50" s="41">
        <f>NSG_Supplies!R10/1000</f>
        <v>13.901999999999999</v>
      </c>
      <c r="F50" s="41">
        <f>NSG_Supplies!R11/1000</f>
        <v>13.901999999999999</v>
      </c>
      <c r="G50" s="41">
        <f>NSG_Supplies!R12/1000</f>
        <v>13.901999999999999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37094</v>
      </c>
      <c r="C52" s="89">
        <f t="shared" si="1"/>
        <v>37095</v>
      </c>
      <c r="D52" s="89">
        <f t="shared" si="1"/>
        <v>37096</v>
      </c>
      <c r="E52" s="89">
        <f t="shared" si="1"/>
        <v>37097</v>
      </c>
      <c r="F52" s="89">
        <f t="shared" si="1"/>
        <v>37098</v>
      </c>
      <c r="G52" s="89">
        <f t="shared" si="1"/>
        <v>37099</v>
      </c>
      <c r="H52" s="14"/>
      <c r="I52" s="15"/>
    </row>
    <row r="53" spans="1:9" ht="15">
      <c r="A53" s="92" t="s">
        <v>290</v>
      </c>
      <c r="B53" s="41">
        <f>PGL_Requirements!O7/1000</f>
        <v>138.76</v>
      </c>
      <c r="C53" s="41">
        <f>PGL_Requirements!O8/1000</f>
        <v>100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Monday</v>
      </c>
      <c r="C4" s="1066" t="str">
        <f>Six_Day_Summary!A15</f>
        <v>Tuesday</v>
      </c>
      <c r="D4" s="1066" t="str">
        <f>Six_Day_Summary!A20</f>
        <v>Wednesday</v>
      </c>
      <c r="E4" s="1066" t="str">
        <f>Six_Day_Summary!A25</f>
        <v>Thursday</v>
      </c>
      <c r="F4" s="1067" t="str">
        <f>Six_Day_Summary!A30</f>
        <v>Friday</v>
      </c>
      <c r="G4" s="98"/>
    </row>
    <row r="5" spans="1:8">
      <c r="A5" s="101" t="s">
        <v>297</v>
      </c>
      <c r="B5" s="1068">
        <f>Weather_Input!A6</f>
        <v>37095</v>
      </c>
      <c r="C5" s="1069">
        <f>Weather_Input!A7</f>
        <v>37096</v>
      </c>
      <c r="D5" s="1069">
        <f>Weather_Input!A8</f>
        <v>37097</v>
      </c>
      <c r="E5" s="1069">
        <f>Weather_Input!A9</f>
        <v>37098</v>
      </c>
      <c r="F5" s="1070">
        <f>Weather_Input!A10</f>
        <v>37099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101.212</v>
      </c>
      <c r="C6" s="1071">
        <f>PGL_Supplies!AB9/1000+PGL_Supplies!K9/1000-PGL_Requirements!N9/1000+C15-PGL_Requirements!S9/1000</f>
        <v>20.352</v>
      </c>
      <c r="D6" s="1071">
        <f>PGL_Supplies!AB10/1000+PGL_Supplies!K10/1000-PGL_Requirements!N10/1000+D15-PGL_Requirements!S10/1000</f>
        <v>20.352</v>
      </c>
      <c r="E6" s="1071">
        <f>PGL_Supplies!AB11/1000+PGL_Supplies!K11/1000-PGL_Requirements!N11/1000+E15-PGL_Requirements!S11/1000</f>
        <v>20.352</v>
      </c>
      <c r="F6" s="1072">
        <f>PGL_Supplies!AB12/1000+PGL_Supplies!K12/1000-PGL_Requirements!N12/1000+F15-PGL_Requirements!S12/1000</f>
        <v>20.352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Monday</v>
      </c>
      <c r="C21" s="1081" t="str">
        <f t="shared" si="0"/>
        <v>Tuesday</v>
      </c>
      <c r="D21" s="1081" t="str">
        <f t="shared" si="0"/>
        <v>Wednesday</v>
      </c>
      <c r="E21" s="1081" t="str">
        <f t="shared" si="0"/>
        <v>Thursday</v>
      </c>
      <c r="F21" s="1082" t="str">
        <f t="shared" si="0"/>
        <v>Friday</v>
      </c>
      <c r="G21" s="98"/>
    </row>
    <row r="22" spans="1:7">
      <c r="A22" s="105" t="s">
        <v>297</v>
      </c>
      <c r="B22" s="1083">
        <f t="shared" si="0"/>
        <v>37095</v>
      </c>
      <c r="C22" s="1083">
        <f t="shared" si="0"/>
        <v>37096</v>
      </c>
      <c r="D22" s="1083">
        <f t="shared" si="0"/>
        <v>37097</v>
      </c>
      <c r="E22" s="1083">
        <f t="shared" si="0"/>
        <v>37098</v>
      </c>
      <c r="F22" s="1084">
        <f t="shared" si="0"/>
        <v>37099</v>
      </c>
      <c r="G22" s="98"/>
    </row>
    <row r="23" spans="1:7">
      <c r="A23" s="98" t="s">
        <v>298</v>
      </c>
      <c r="B23" s="1077">
        <f>NSG_Supplies!Q8/1000+NSG_Supplies!F8/1000-NSG_Requirements!H8/1000</f>
        <v>25.234999999999999</v>
      </c>
      <c r="C23" s="1077">
        <f>NSG_Supplies!Q9/1000+NSG_Supplies!F9/1000-NSG_Requirements!H9/1000</f>
        <v>25.234999999999999</v>
      </c>
      <c r="D23" s="1077">
        <f>NSG_Supplies!Q10/1000+NSG_Supplies!F10/1000-NSG_Requirements!H10/1000</f>
        <v>25.234999999999999</v>
      </c>
      <c r="E23" s="1077">
        <f>NSG_Supplies!Q12/1000+NSG_Supplies!F11/1000-NSG_Requirements!H11/1000</f>
        <v>25.234999999999999</v>
      </c>
      <c r="F23" s="1072">
        <f>NSG_Supplies!Q12/1000+NSG_Supplies!F12/1000-NSG_Requirements!H12/1000</f>
        <v>25.234999999999999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37095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4.2300000000000004</v>
      </c>
      <c r="E4" s="789"/>
      <c r="F4" s="169" t="s">
        <v>520</v>
      </c>
      <c r="G4" s="60"/>
      <c r="H4" s="151">
        <f>PGL_Requirements!O8/1000</f>
        <v>100</v>
      </c>
      <c r="I4" s="173">
        <f>AVERAGE(H4/1.025)</f>
        <v>97.560975609756099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7.77</v>
      </c>
      <c r="D5" s="433"/>
      <c r="E5" s="435">
        <f>AVERAGE(C5/24)</f>
        <v>0.32374999999999998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4.166666666666667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31.8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192.88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108.172</v>
      </c>
      <c r="D11" s="778"/>
      <c r="E11" s="1056"/>
      <c r="F11" s="430" t="s">
        <v>356</v>
      </c>
      <c r="G11" s="442">
        <f>G8+G10</f>
        <v>224.68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108.172</v>
      </c>
      <c r="D14" s="433"/>
      <c r="E14" s="435">
        <f>AVERAGE(C14/24)</f>
        <v>4.5071666666666665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-54.41</v>
      </c>
      <c r="H15" s="433" t="s">
        <v>9</v>
      </c>
      <c r="I15" s="435">
        <f>AVERAGE(G15/24)</f>
        <v>-2.2670833333333333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174.09</v>
      </c>
      <c r="H16" s="443" t="s">
        <v>9</v>
      </c>
      <c r="I16" s="435">
        <f>AVERAGE(G16/24)</f>
        <v>7.2537500000000001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105</v>
      </c>
      <c r="H17" s="1024"/>
      <c r="I17" s="1104">
        <f>AVERAGE(G17/24)</f>
        <v>4.375</v>
      </c>
    </row>
    <row r="18" spans="1:9" ht="15.75" customHeight="1">
      <c r="B18" s="1255"/>
      <c r="C18" s="1256"/>
      <c r="D18" s="624"/>
      <c r="E18" s="1257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5"/>
      <c r="C19" s="624"/>
      <c r="D19" s="1256"/>
      <c r="E19" s="1257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4.4989999999999997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4.4989999999999997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4.4989999999999997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37095</v>
      </c>
      <c r="I1" s="914"/>
      <c r="J1" s="916"/>
      <c r="K1" s="916"/>
    </row>
    <row r="2" spans="1:22" ht="16.5" customHeight="1">
      <c r="A2" s="934" t="s">
        <v>641</v>
      </c>
      <c r="C2" s="982">
        <v>372</v>
      </c>
      <c r="F2" s="983">
        <v>376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7.77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25.234999999999999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4.9999999999954525E-3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108.172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377</v>
      </c>
      <c r="F15" s="988">
        <v>377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663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-54.41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28.282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190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-204.32800000000003</v>
      </c>
      <c r="L28" s="917" t="s">
        <v>689</v>
      </c>
      <c r="M28" s="942">
        <f>SUM(J2+K17+K19+H11+H9-M26)</f>
        <v>4.2349999999999994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37094</v>
      </c>
      <c r="G29" s="936">
        <f>PGL_Requirements!G7/1000</f>
        <v>58</v>
      </c>
      <c r="H29" s="915"/>
      <c r="J29" s="917" t="s">
        <v>649</v>
      </c>
      <c r="K29" s="936">
        <f>PGL_Supplies!AB8/1000+PGL_Supplies!K8/1000-PGL_Requirements!N8/1000</f>
        <v>101.212</v>
      </c>
    </row>
    <row r="30" spans="1:17" ht="10.5" customHeight="1">
      <c r="A30" s="919"/>
      <c r="B30" s="936"/>
      <c r="C30" s="917"/>
      <c r="D30" s="936"/>
      <c r="F30" s="1041">
        <f>PGL_Requirements!A8</f>
        <v>37095</v>
      </c>
      <c r="G30" s="936">
        <f>PGL_Requirements!G8/1000</f>
        <v>174.09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-293.11600000000004</v>
      </c>
    </row>
    <row r="32" spans="1:17">
      <c r="A32" s="936">
        <f>PGL_Supplies!G8/1000</f>
        <v>1</v>
      </c>
      <c r="G32" s="936">
        <f>PGL_Requirements!O8/1000</f>
        <v>100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666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69.762</v>
      </c>
      <c r="B40" s="930"/>
      <c r="C40" s="929"/>
      <c r="D40" s="930"/>
      <c r="E40" s="930"/>
      <c r="F40" s="998"/>
      <c r="G40" s="998">
        <f>SUM(G30:G35)</f>
        <v>274.09000000000003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-204.32800000000003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376.5</v>
      </c>
      <c r="E45" s="1003"/>
      <c r="F45" s="1004">
        <v>6.7000000000000004E-2</v>
      </c>
      <c r="G45" s="1005">
        <f>(C45-D45)*F45</f>
        <v>4.9245000000000001</v>
      </c>
      <c r="H45" s="1005">
        <f>(D45-B45)*F45</f>
        <v>6.8005000000000004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374.5</v>
      </c>
      <c r="E47" s="1003"/>
      <c r="F47" s="1004">
        <v>0.14099999999999999</v>
      </c>
      <c r="G47" s="1005">
        <f>(C47-D47)*F47</f>
        <v>10.645499999999998</v>
      </c>
      <c r="H47" s="1005">
        <f>(D47-B47)*F47</f>
        <v>14.029499999999999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664.5</v>
      </c>
      <c r="E48" s="1003"/>
      <c r="F48" s="1004">
        <v>0.161</v>
      </c>
      <c r="G48" s="1005">
        <f>(C48-D48)*F48</f>
        <v>13.765500000000001</v>
      </c>
      <c r="H48" s="1005">
        <f>(D48-B48)*F48</f>
        <v>61.099499999999999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29.3355</v>
      </c>
      <c r="H49" s="1005">
        <f>SUM(H45:H48)</f>
        <v>81.92949999999999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6" sqref="G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37094</v>
      </c>
      <c r="B5" s="11">
        <v>93</v>
      </c>
      <c r="C5" s="49">
        <v>70</v>
      </c>
      <c r="D5" s="49">
        <v>6</v>
      </c>
      <c r="E5" s="11">
        <v>79.599999999999994</v>
      </c>
      <c r="F5" s="11">
        <v>5</v>
      </c>
      <c r="G5" s="11">
        <v>6704</v>
      </c>
      <c r="H5" s="11">
        <v>0</v>
      </c>
      <c r="I5" s="894" t="s">
        <v>810</v>
      </c>
      <c r="J5" s="894" t="s">
        <v>9</v>
      </c>
      <c r="K5" s="11">
        <v>3</v>
      </c>
      <c r="L5" s="11">
        <v>1</v>
      </c>
      <c r="N5" s="15" t="str">
        <f>I5&amp;" "&amp;I5</f>
        <v xml:space="preserve">PARTLY CLOUDY.  PARTLY CLOUDY. </v>
      </c>
      <c r="AE5" s="15">
        <v>1</v>
      </c>
      <c r="AH5" s="15" t="s">
        <v>32</v>
      </c>
    </row>
    <row r="6" spans="1:34" ht="16.5" customHeight="1">
      <c r="A6" s="86">
        <f>A5+1</f>
        <v>37095</v>
      </c>
      <c r="B6" s="11">
        <v>93</v>
      </c>
      <c r="C6" s="49">
        <v>73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9</v>
      </c>
      <c r="K6" s="11">
        <v>5</v>
      </c>
      <c r="L6" s="11" t="s">
        <v>590</v>
      </c>
      <c r="N6" s="15" t="str">
        <f>I6&amp;" "&amp;J6</f>
        <v xml:space="preserve">PARTLY CLOUDY.   </v>
      </c>
      <c r="AE6" s="15">
        <v>1</v>
      </c>
      <c r="AH6" s="15" t="s">
        <v>33</v>
      </c>
    </row>
    <row r="7" spans="1:34" ht="16.5" customHeight="1">
      <c r="A7" s="86">
        <f>A6+1</f>
        <v>37096</v>
      </c>
      <c r="B7" s="11">
        <v>89</v>
      </c>
      <c r="C7" s="49">
        <v>63</v>
      </c>
      <c r="D7" s="49">
        <v>9</v>
      </c>
      <c r="E7" s="11" t="s">
        <v>9</v>
      </c>
      <c r="F7" s="11" t="s">
        <v>9</v>
      </c>
      <c r="G7" s="11"/>
      <c r="H7" s="11" t="s">
        <v>9</v>
      </c>
      <c r="I7" s="894" t="s">
        <v>809</v>
      </c>
      <c r="J7" s="894" t="s">
        <v>9</v>
      </c>
      <c r="K7" s="11">
        <v>5</v>
      </c>
      <c r="L7" s="11" t="s">
        <v>20</v>
      </c>
      <c r="N7" s="15" t="str">
        <f>I7&amp;" "&amp;J7</f>
        <v xml:space="preserve">CHANCE OF T'STORMS.  </v>
      </c>
    </row>
    <row r="8" spans="1:34" ht="16.5" customHeight="1">
      <c r="A8" s="86">
        <f>A7+1</f>
        <v>37097</v>
      </c>
      <c r="B8" s="11">
        <v>75</v>
      </c>
      <c r="C8" s="49">
        <v>60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809</v>
      </c>
      <c r="J8" s="894" t="s">
        <v>9</v>
      </c>
      <c r="K8" s="11">
        <v>3</v>
      </c>
      <c r="L8" s="11"/>
      <c r="N8" s="15" t="str">
        <f>I8&amp;" "&amp;J8</f>
        <v xml:space="preserve">CHANCE OF T'STORMS.  </v>
      </c>
    </row>
    <row r="9" spans="1:34" ht="16.5" customHeight="1">
      <c r="A9" s="86">
        <f>A8+1</f>
        <v>37098</v>
      </c>
      <c r="B9" s="11">
        <v>78</v>
      </c>
      <c r="C9" s="49">
        <v>61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809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CHANCE OF T'STORMS.  </v>
      </c>
    </row>
    <row r="10" spans="1:34" ht="16.5" customHeight="1">
      <c r="A10" s="86">
        <f>A9+1</f>
        <v>37099</v>
      </c>
      <c r="B10" s="11">
        <v>79</v>
      </c>
      <c r="C10" s="49">
        <v>63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94" t="s">
        <v>809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CHANCE OF T'STORMS.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175.81800000000001</v>
      </c>
      <c r="C2" s="60"/>
      <c r="D2" s="118" t="s">
        <v>310</v>
      </c>
      <c r="E2" s="421">
        <f>Weather_Input!A5</f>
        <v>37094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163.946</v>
      </c>
      <c r="C6" s="166"/>
      <c r="D6" s="59" t="s">
        <v>545</v>
      </c>
      <c r="E6" s="151">
        <f>PGL_Deliveries!P5/1000</f>
        <v>0.72499999999999998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163.946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108.19799999999999</v>
      </c>
      <c r="C8" s="626"/>
      <c r="D8" s="115" t="s">
        <v>547</v>
      </c>
      <c r="E8" s="151">
        <f>PGL_Deliveries!N5/1000</f>
        <v>4.0620000000000003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0.69699999999999995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19.652000000000001</v>
      </c>
      <c r="C11" s="63"/>
      <c r="D11" s="115" t="s">
        <v>549</v>
      </c>
      <c r="E11" s="151">
        <f>PGL_Deliveries!R5/1000</f>
        <v>0.68700000000000006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140.33099999999999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1.6E-2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-108.53399999999998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4.2990000000000004</v>
      </c>
      <c r="C17" s="166" t="s">
        <v>9</v>
      </c>
      <c r="D17" s="1086" t="s">
        <v>208</v>
      </c>
      <c r="E17" s="207">
        <f>PGL_Deliveries!M5/1000</f>
        <v>1.484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163.946</v>
      </c>
      <c r="C18" s="166"/>
      <c r="D18" s="176" t="s">
        <v>554</v>
      </c>
      <c r="E18" s="175">
        <f>SUM(E5:E17)</f>
        <v>11.872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108.172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32.010399999999997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43.882399999999997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108.172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23.53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4.4989999999999997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20.352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138.76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0.627</v>
      </c>
      <c r="C39" s="63"/>
      <c r="D39" s="209" t="s">
        <v>210</v>
      </c>
      <c r="E39" s="208">
        <f>SUM(E22:E33)-SUM(F23:F38)-E29</f>
        <v>43.882000000000005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28.282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29.928999999999998</v>
      </c>
      <c r="C41" s="63"/>
      <c r="D41" s="246" t="s">
        <v>498</v>
      </c>
      <c r="E41" s="795">
        <f>PGL_Supplies!AA7/1000</f>
        <v>192.88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2.0813999999999999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0.33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93</v>
      </c>
      <c r="C45" s="182"/>
      <c r="D45" s="60" t="s">
        <v>587</v>
      </c>
      <c r="E45" s="795">
        <f>PGL_Supplies!S7/1000</f>
        <v>20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57.531999999999996</v>
      </c>
    </row>
    <row r="47" spans="1:13" ht="15">
      <c r="A47" s="170" t="s">
        <v>581</v>
      </c>
      <c r="B47" s="60">
        <f>Weather_Input!E5</f>
        <v>79.599999999999994</v>
      </c>
      <c r="C47" s="159"/>
      <c r="D47" s="769" t="s">
        <v>792</v>
      </c>
      <c r="E47" s="67"/>
      <c r="F47" s="1244">
        <f>PGL_Deliveries!BF5/1000</f>
        <v>28.282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1.0469999999999999</v>
      </c>
      <c r="C49" s="159"/>
      <c r="D49" s="60" t="s">
        <v>727</v>
      </c>
      <c r="E49" s="151">
        <f>PGL_Deliveries!AJ5/1000</f>
        <v>19.652000000000001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29.427</v>
      </c>
      <c r="C3" s="117"/>
      <c r="D3" s="226" t="s">
        <v>310</v>
      </c>
      <c r="E3" s="424">
        <f>Weather_Input!A5</f>
        <v>37094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29.427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29.427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25.234999999999999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4.1920000000000002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4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4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4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4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29.427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37094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37093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112671</v>
      </c>
      <c r="O6" s="201">
        <v>0</v>
      </c>
      <c r="P6" s="201">
        <v>55346552</v>
      </c>
      <c r="Q6" s="201">
        <v>15045098</v>
      </c>
      <c r="R6" s="201">
        <v>40301454</v>
      </c>
      <c r="S6" s="201">
        <v>0</v>
      </c>
    </row>
    <row r="7" spans="1:19">
      <c r="A7" s="4">
        <f>B1</f>
        <v>37094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112671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55459223</v>
      </c>
      <c r="Q7">
        <f>IF(O7&gt;0,Q6+O7,Q6)</f>
        <v>15045098</v>
      </c>
      <c r="R7">
        <f>IF(P7&gt;Q7,P7-Q7,0)</f>
        <v>40414125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F1" zoomScale="75" workbookViewId="0">
      <selection activeCell="AP6" sqref="AP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37094</v>
      </c>
      <c r="B5" s="1">
        <f>(Weather_Input!B5+Weather_Input!C5)/2</f>
        <v>81.5</v>
      </c>
      <c r="C5" s="895">
        <v>177000</v>
      </c>
      <c r="D5" s="896">
        <v>0</v>
      </c>
      <c r="E5" s="896">
        <v>0</v>
      </c>
      <c r="F5" s="896">
        <v>0</v>
      </c>
      <c r="G5" s="896">
        <v>0</v>
      </c>
      <c r="H5" s="896">
        <v>16</v>
      </c>
      <c r="I5" s="896">
        <v>163946</v>
      </c>
      <c r="J5" s="896">
        <v>0</v>
      </c>
      <c r="K5" s="896">
        <v>0</v>
      </c>
      <c r="L5" s="896">
        <v>0</v>
      </c>
      <c r="M5" s="896">
        <v>1484</v>
      </c>
      <c r="N5" s="896">
        <v>4062</v>
      </c>
      <c r="O5" s="896">
        <v>1</v>
      </c>
      <c r="P5" s="896">
        <v>725</v>
      </c>
      <c r="Q5" s="896">
        <v>697</v>
      </c>
      <c r="R5" s="896">
        <v>687</v>
      </c>
      <c r="S5" s="901">
        <v>4200</v>
      </c>
      <c r="T5" s="1085">
        <v>0</v>
      </c>
      <c r="U5" s="895">
        <f>SUM(D5:S5)-T5</f>
        <v>175818</v>
      </c>
      <c r="V5" s="895">
        <v>108198</v>
      </c>
      <c r="W5" s="11">
        <v>0</v>
      </c>
      <c r="X5" s="11">
        <v>0</v>
      </c>
      <c r="Y5" s="11">
        <v>0</v>
      </c>
      <c r="Z5" s="11">
        <v>139863</v>
      </c>
      <c r="AA5" s="11">
        <v>86282</v>
      </c>
      <c r="AB5" s="11">
        <v>0</v>
      </c>
      <c r="AC5" s="11">
        <v>0</v>
      </c>
      <c r="AD5" s="11">
        <v>0</v>
      </c>
      <c r="AE5" s="11">
        <v>29929</v>
      </c>
      <c r="AF5" s="11">
        <v>0</v>
      </c>
      <c r="AG5" s="11">
        <v>0</v>
      </c>
      <c r="AH5" s="11">
        <v>0</v>
      </c>
      <c r="AI5" s="11">
        <v>0</v>
      </c>
      <c r="AJ5" s="11">
        <v>19652</v>
      </c>
      <c r="AK5" s="11">
        <v>0</v>
      </c>
      <c r="AL5" s="11">
        <v>0</v>
      </c>
      <c r="AM5" s="1">
        <v>1047</v>
      </c>
      <c r="AN5" s="1"/>
      <c r="AO5" s="1">
        <v>0</v>
      </c>
      <c r="AP5" s="1">
        <v>4299</v>
      </c>
      <c r="AQ5" s="1">
        <v>0</v>
      </c>
      <c r="AR5" s="1">
        <v>23530</v>
      </c>
      <c r="AS5" s="1">
        <v>0</v>
      </c>
      <c r="AT5" s="1">
        <v>627</v>
      </c>
      <c r="AU5" s="1">
        <v>138760</v>
      </c>
      <c r="AV5" s="1">
        <v>330</v>
      </c>
      <c r="AW5" s="622">
        <f>AU5*0.015</f>
        <v>2081.4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57532</v>
      </c>
      <c r="BF5" s="1">
        <v>28282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37095</v>
      </c>
      <c r="B6" s="913">
        <f>(Weather_Input!B6+Weather_Input!C6)/2</f>
        <v>83</v>
      </c>
      <c r="C6" s="895">
        <v>190000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37096</v>
      </c>
      <c r="B7" s="913">
        <f>(Weather_Input!B7+Weather_Input!C7)/2</f>
        <v>76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37097</v>
      </c>
      <c r="B8" s="913">
        <f>(Weather_Input!B8+Weather_Input!C8)/2</f>
        <v>67.5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37098</v>
      </c>
      <c r="B9" s="913">
        <f>(Weather_Input!B9+Weather_Input!C9)/2</f>
        <v>69.5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37099</v>
      </c>
      <c r="B10" s="913">
        <f>(Weather_Input!B10+Weather_Input!C10)/2</f>
        <v>71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37094</v>
      </c>
      <c r="B5" s="1">
        <f>(Weather_Input!B5+Weather_Input!C5)/2</f>
        <v>81.5</v>
      </c>
      <c r="C5" s="895">
        <v>29300</v>
      </c>
      <c r="D5" s="895">
        <v>0</v>
      </c>
      <c r="E5" s="895">
        <v>29427</v>
      </c>
      <c r="F5" s="895">
        <v>0</v>
      </c>
      <c r="G5" s="895">
        <v>0</v>
      </c>
      <c r="H5" s="903">
        <f>SUM(D5:G5)</f>
        <v>29427</v>
      </c>
      <c r="I5" s="1">
        <v>1008</v>
      </c>
      <c r="J5" s="1" t="s">
        <v>9</v>
      </c>
      <c r="K5" s="1">
        <v>0</v>
      </c>
      <c r="L5" s="1">
        <v>4192</v>
      </c>
      <c r="M5" s="1">
        <v>12000</v>
      </c>
      <c r="N5" s="1">
        <v>0</v>
      </c>
    </row>
    <row r="6" spans="1:14">
      <c r="A6" s="12">
        <f>A5+1</f>
        <v>37095</v>
      </c>
      <c r="B6" s="913">
        <f>(Weather_Input!B6+Weather_Input!C6)/2</f>
        <v>83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37096</v>
      </c>
      <c r="B7" s="913">
        <f>(Weather_Input!B7+Weather_Input!C7)/2</f>
        <v>76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37097</v>
      </c>
      <c r="B8" s="913">
        <f>(Weather_Input!B8+Weather_Input!C8)/2</f>
        <v>67.5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37098</v>
      </c>
      <c r="B9" s="913">
        <f>(Weather_Input!B9+Weather_Input!C9)/2</f>
        <v>69.5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37099</v>
      </c>
      <c r="B10" s="913">
        <f>(Weather_Input!B10+Weather_Input!C10)/2</f>
        <v>71</v>
      </c>
      <c r="C10" s="895">
        <v>32000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A7" sqref="A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6" t="s">
        <v>798</v>
      </c>
      <c r="U4" s="1053"/>
      <c r="V4" s="1201" t="s">
        <v>762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4" t="s">
        <v>764</v>
      </c>
      <c r="W6" s="1204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37094</v>
      </c>
      <c r="B7" s="904">
        <v>0</v>
      </c>
      <c r="C7" s="620">
        <v>0</v>
      </c>
      <c r="D7" s="620">
        <v>0</v>
      </c>
      <c r="E7" s="904">
        <v>4499</v>
      </c>
      <c r="F7" s="904">
        <v>0</v>
      </c>
      <c r="G7" s="906">
        <v>58000</v>
      </c>
      <c r="H7" s="619">
        <v>0</v>
      </c>
      <c r="I7" s="619">
        <v>0</v>
      </c>
      <c r="J7" s="620">
        <v>28282</v>
      </c>
      <c r="K7" s="619">
        <v>0</v>
      </c>
      <c r="L7" s="620">
        <v>0</v>
      </c>
      <c r="M7" s="620">
        <v>0</v>
      </c>
      <c r="N7" s="621">
        <v>0</v>
      </c>
      <c r="O7" s="620">
        <v>138760</v>
      </c>
      <c r="P7" s="622">
        <f t="shared" ref="P7:P12" si="0">O7*0.015</f>
        <v>2081.4</v>
      </c>
      <c r="Q7" s="620">
        <v>330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37095</v>
      </c>
      <c r="B8" s="904">
        <v>0</v>
      </c>
      <c r="C8" s="620">
        <v>0</v>
      </c>
      <c r="D8" s="620">
        <v>0</v>
      </c>
      <c r="E8" s="904">
        <v>4499</v>
      </c>
      <c r="F8" s="904">
        <v>0</v>
      </c>
      <c r="G8" s="906">
        <v>174090</v>
      </c>
      <c r="H8" s="619">
        <v>0</v>
      </c>
      <c r="I8" s="619">
        <v>0</v>
      </c>
      <c r="J8" s="620">
        <v>105000</v>
      </c>
      <c r="K8" s="619">
        <v>0</v>
      </c>
      <c r="L8" s="620">
        <v>0</v>
      </c>
      <c r="M8" s="620">
        <v>0</v>
      </c>
      <c r="N8" s="621">
        <v>0</v>
      </c>
      <c r="O8" s="620">
        <v>100000</v>
      </c>
      <c r="P8" s="622">
        <f t="shared" si="0"/>
        <v>1500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37096</v>
      </c>
      <c r="B9" s="904">
        <v>0</v>
      </c>
      <c r="C9" s="620">
        <v>0</v>
      </c>
      <c r="D9" s="620">
        <v>0</v>
      </c>
      <c r="E9" s="904">
        <v>4499</v>
      </c>
      <c r="F9" s="904">
        <v>0</v>
      </c>
      <c r="G9" s="906">
        <v>70000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37097</v>
      </c>
      <c r="B10" s="904">
        <v>0</v>
      </c>
      <c r="C10" s="620">
        <v>0</v>
      </c>
      <c r="D10" s="620">
        <v>0</v>
      </c>
      <c r="E10" s="904">
        <v>4499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37098</v>
      </c>
      <c r="B11" s="904">
        <v>0</v>
      </c>
      <c r="C11" s="620">
        <v>0</v>
      </c>
      <c r="D11" s="620">
        <v>0</v>
      </c>
      <c r="E11" s="904">
        <v>4499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37099</v>
      </c>
      <c r="B12" s="904">
        <v>0</v>
      </c>
      <c r="C12" s="620">
        <v>0</v>
      </c>
      <c r="D12" s="620">
        <v>0</v>
      </c>
      <c r="E12" s="904">
        <v>4499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B8" sqref="B8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6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7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37094</v>
      </c>
      <c r="B7" s="622">
        <v>4299</v>
      </c>
      <c r="C7" s="622">
        <v>0</v>
      </c>
      <c r="D7" s="622">
        <v>0</v>
      </c>
      <c r="E7" s="622">
        <v>0</v>
      </c>
      <c r="F7" s="904">
        <v>0</v>
      </c>
      <c r="G7" s="620">
        <v>627</v>
      </c>
      <c r="H7" s="620">
        <v>19652</v>
      </c>
      <c r="I7" s="620">
        <v>0</v>
      </c>
      <c r="J7" s="907">
        <v>0</v>
      </c>
      <c r="K7" s="621">
        <v>23530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20000</v>
      </c>
      <c r="T7" s="620">
        <v>0</v>
      </c>
      <c r="U7" s="621">
        <v>114940</v>
      </c>
      <c r="V7" s="621">
        <v>0</v>
      </c>
      <c r="W7" s="619">
        <v>0</v>
      </c>
      <c r="X7" s="907">
        <v>108172</v>
      </c>
      <c r="Y7" s="621">
        <v>200</v>
      </c>
      <c r="Z7" s="1">
        <v>0</v>
      </c>
      <c r="AA7" s="619">
        <v>192880</v>
      </c>
      <c r="AB7" s="619">
        <v>20352</v>
      </c>
      <c r="AC7" s="619">
        <v>4499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37095</v>
      </c>
      <c r="B8" s="622">
        <v>50000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80860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31800</v>
      </c>
      <c r="T8" s="620">
        <v>0</v>
      </c>
      <c r="U8" s="621">
        <v>114940</v>
      </c>
      <c r="V8" s="621">
        <v>0</v>
      </c>
      <c r="W8" s="619">
        <v>0</v>
      </c>
      <c r="X8" s="907">
        <v>108172</v>
      </c>
      <c r="Y8" s="621">
        <v>200</v>
      </c>
      <c r="Z8" s="1">
        <v>0</v>
      </c>
      <c r="AA8" s="619">
        <v>192880</v>
      </c>
      <c r="AB8" s="619">
        <v>20352</v>
      </c>
      <c r="AC8" s="619">
        <v>4499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37096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114940</v>
      </c>
      <c r="V9" s="621">
        <v>0</v>
      </c>
      <c r="W9" s="619">
        <v>0</v>
      </c>
      <c r="X9" s="907">
        <v>108172</v>
      </c>
      <c r="Y9" s="621">
        <v>200</v>
      </c>
      <c r="Z9" s="1">
        <v>0</v>
      </c>
      <c r="AA9" s="619">
        <v>192880</v>
      </c>
      <c r="AB9" s="619">
        <v>20352</v>
      </c>
      <c r="AC9" s="619">
        <v>4499</v>
      </c>
      <c r="AD9" s="907">
        <v>0</v>
      </c>
      <c r="AE9" s="819">
        <f t="shared" si="0"/>
        <v>3</v>
      </c>
    </row>
    <row r="10" spans="1:36">
      <c r="A10" s="819">
        <f>A9+1</f>
        <v>37097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114940</v>
      </c>
      <c r="V10" s="621">
        <v>0</v>
      </c>
      <c r="W10" s="619">
        <v>0</v>
      </c>
      <c r="X10" s="907">
        <v>108172</v>
      </c>
      <c r="Y10" s="621">
        <v>200</v>
      </c>
      <c r="Z10" s="1">
        <v>0</v>
      </c>
      <c r="AA10" s="619">
        <v>192880</v>
      </c>
      <c r="AB10" s="619">
        <v>20352</v>
      </c>
      <c r="AC10" s="619">
        <v>4499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37098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114940</v>
      </c>
      <c r="V11" s="621">
        <v>0</v>
      </c>
      <c r="W11" s="619">
        <v>0</v>
      </c>
      <c r="X11" s="907">
        <v>108172</v>
      </c>
      <c r="Y11" s="621">
        <v>200</v>
      </c>
      <c r="Z11" s="1">
        <v>0</v>
      </c>
      <c r="AA11" s="619">
        <v>192880</v>
      </c>
      <c r="AB11" s="619">
        <v>20352</v>
      </c>
      <c r="AC11" s="619">
        <v>4499</v>
      </c>
      <c r="AD11" s="907">
        <v>0</v>
      </c>
      <c r="AE11" s="819">
        <f t="shared" si="0"/>
        <v>5</v>
      </c>
    </row>
    <row r="12" spans="1:36">
      <c r="A12" s="819">
        <f>A11+1</f>
        <v>37099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114940</v>
      </c>
      <c r="V12" s="621">
        <v>0</v>
      </c>
      <c r="W12" s="619">
        <v>0</v>
      </c>
      <c r="X12" s="907">
        <v>108172</v>
      </c>
      <c r="Y12" s="621">
        <v>200</v>
      </c>
      <c r="Z12" s="1">
        <v>0</v>
      </c>
      <c r="AA12" s="619">
        <v>192880</v>
      </c>
      <c r="AB12" s="619">
        <v>20352</v>
      </c>
      <c r="AC12" s="619">
        <v>4499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1" sqref="H1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37094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12000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37094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37095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4230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37095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37096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37096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37097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37097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37098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37098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37099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37099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D1" zoomScale="75" workbookViewId="0">
      <selection activeCell="O8" sqref="O8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37094</v>
      </c>
      <c r="B7" s="622">
        <v>0</v>
      </c>
      <c r="C7" s="623">
        <v>0</v>
      </c>
      <c r="D7" s="622">
        <v>0</v>
      </c>
      <c r="E7" s="622">
        <v>0</v>
      </c>
      <c r="F7" s="622">
        <v>4192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25235</v>
      </c>
      <c r="R7" s="622">
        <v>13902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37095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25235</v>
      </c>
      <c r="R8" s="622">
        <v>13902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37096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25235</v>
      </c>
      <c r="R9" s="622">
        <v>13902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37097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25235</v>
      </c>
      <c r="R10" s="622">
        <v>13902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37098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25235</v>
      </c>
      <c r="R11" s="622">
        <v>13902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37099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25235</v>
      </c>
      <c r="R12" s="622">
        <v>13902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SUN</v>
      </c>
      <c r="I1" s="824">
        <f>D4</f>
        <v>37094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</row>
    <row r="4" spans="1:256" ht="18.95" customHeight="1" thickBot="1">
      <c r="A4" s="831"/>
      <c r="B4" s="832"/>
      <c r="C4" s="832"/>
      <c r="D4" s="461">
        <f>Weather_Input!A5</f>
        <v>37094</v>
      </c>
      <c r="E4" s="461">
        <f>Weather_Input!A6</f>
        <v>37095</v>
      </c>
      <c r="F4" s="461">
        <f>Weather_Input!A7</f>
        <v>37096</v>
      </c>
      <c r="G4" s="461">
        <f>Weather_Input!A8</f>
        <v>37097</v>
      </c>
      <c r="H4" s="461">
        <f>Weather_Input!A9</f>
        <v>37098</v>
      </c>
      <c r="I4" s="462">
        <f>Weather_Input!A10</f>
        <v>37099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93/70/82</v>
      </c>
      <c r="E5" s="463" t="str">
        <f>TEXT(Weather_Input!B6,"0")&amp;"/"&amp;TEXT(Weather_Input!C6,"0") &amp; "/" &amp; TEXT((Weather_Input!B6+Weather_Input!C6)/2,"0")</f>
        <v>93/73/83</v>
      </c>
      <c r="F5" s="463" t="str">
        <f>TEXT(Weather_Input!B7,"0")&amp;"/"&amp;TEXT(Weather_Input!C7,"0") &amp; "/" &amp; TEXT((Weather_Input!B7+Weather_Input!C7)/2,"0")</f>
        <v>89/63/76</v>
      </c>
      <c r="G5" s="463" t="str">
        <f>TEXT(Weather_Input!B8,"0")&amp;"/"&amp;TEXT(Weather_Input!C8,"0") &amp; "/" &amp; TEXT((Weather_Input!B8+Weather_Input!C8)/2,"0")</f>
        <v>75/60/68</v>
      </c>
      <c r="H5" s="463" t="str">
        <f>TEXT(Weather_Input!B9,"0")&amp;"/"&amp;TEXT(Weather_Input!C9,"0") &amp; "/" &amp; TEXT((Weather_Input!B9+Weather_Input!C9)/2,"0")</f>
        <v>78/61/70</v>
      </c>
      <c r="I5" s="464" t="str">
        <f>TEXT(Weather_Input!B10,"0")&amp;"/"&amp;TEXT(Weather_Input!C10,"0") &amp; "/" &amp; TEXT((Weather_Input!B10+Weather_Input!C10)/2,"0")</f>
        <v>79/63/71</v>
      </c>
    </row>
    <row r="6" spans="1:256" ht="18.95" customHeight="1">
      <c r="A6" s="838" t="s">
        <v>134</v>
      </c>
      <c r="B6" s="826"/>
      <c r="C6" s="826"/>
      <c r="D6" s="463">
        <f>PGL_Deliveries!C5/1000</f>
        <v>177</v>
      </c>
      <c r="E6" s="463">
        <f>PGL_Deliveries!C6/1000</f>
        <v>190</v>
      </c>
      <c r="F6" s="463">
        <f>PGL_Deliveries!C7/1000</f>
        <v>195</v>
      </c>
      <c r="G6" s="463">
        <f>PGL_Deliveries!C8/1000</f>
        <v>195</v>
      </c>
      <c r="H6" s="463">
        <f>PGL_Deliveries!C9/1000</f>
        <v>195</v>
      </c>
      <c r="I6" s="464">
        <f>PGL_Deliveries!C10/1000</f>
        <v>185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29</v>
      </c>
      <c r="E7" s="463">
        <f>PGL_Requirements!G8/1000*0.5</f>
        <v>87.045000000000002</v>
      </c>
      <c r="F7" s="463">
        <f>PGL_Requirements!G9/1000*0.5</f>
        <v>35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28.282</v>
      </c>
      <c r="E8" s="463">
        <f>PGL_Requirements!J8/1000</f>
        <v>105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138.76</v>
      </c>
      <c r="E11" s="463">
        <f>PGL_Requirements!O8/1000</f>
        <v>100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2.0813999999999999</v>
      </c>
      <c r="E12" s="463">
        <f>PGL_Requirements!P8/1000</f>
        <v>1.5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0.33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4.4989999999999997</v>
      </c>
      <c r="E24" s="465">
        <f>PGL_Requirements!E8/1000</f>
        <v>4.4989999999999997</v>
      </c>
      <c r="F24" s="465">
        <f>PGL_Requirements!E9/1000</f>
        <v>4.4989999999999997</v>
      </c>
      <c r="G24" s="465">
        <f>PGL_Requirements!E10/1000</f>
        <v>4.4989999999999997</v>
      </c>
      <c r="H24" s="465">
        <f>PGL_Requirements!E11/1000</f>
        <v>4.4989999999999997</v>
      </c>
      <c r="I24" s="466">
        <f>PGL_Requirements!E12/1000</f>
        <v>4.4989999999999997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380.1524</v>
      </c>
      <c r="E25" s="467">
        <f t="shared" si="1"/>
        <v>488.86400000000003</v>
      </c>
      <c r="F25" s="467">
        <f t="shared" si="1"/>
        <v>369.29900000000004</v>
      </c>
      <c r="G25" s="467">
        <f t="shared" si="1"/>
        <v>334.29900000000004</v>
      </c>
      <c r="H25" s="467">
        <f t="shared" si="1"/>
        <v>334.29900000000004</v>
      </c>
      <c r="I25" s="1099">
        <f t="shared" si="1"/>
        <v>324.29900000000004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0.627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23.53</v>
      </c>
      <c r="E33" s="463">
        <f>PGL_Supplies!K8/1000</f>
        <v>80.86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10</v>
      </c>
      <c r="E36" s="463">
        <f>PGL_Supplies!S8/1000*0.5</f>
        <v>15.9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108.172</v>
      </c>
      <c r="E37" s="463">
        <f>PGL_Supplies!X8/1000</f>
        <v>108.172</v>
      </c>
      <c r="F37" s="463">
        <f>PGL_Supplies!X9/1000</f>
        <v>108.172</v>
      </c>
      <c r="G37" s="463">
        <f>PGL_Supplies!X10/1000</f>
        <v>108.172</v>
      </c>
      <c r="H37" s="463">
        <f>PGL_Supplies!X11/1000</f>
        <v>108.172</v>
      </c>
      <c r="I37" s="464">
        <f>PGL_Supplies!X12/1000</f>
        <v>108.172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192.88</v>
      </c>
      <c r="E40" s="463">
        <f>PGL_Supplies!AA8/1000</f>
        <v>192.88</v>
      </c>
      <c r="F40" s="463">
        <f>PGL_Supplies!AA9/1000</f>
        <v>192.88</v>
      </c>
      <c r="G40" s="463">
        <f>PGL_Supplies!AA10/1000</f>
        <v>192.88</v>
      </c>
      <c r="H40" s="463">
        <f>PGL_Supplies!AA11/1000</f>
        <v>192.88</v>
      </c>
      <c r="I40" s="464">
        <f>PGL_Supplies!AA12/1000</f>
        <v>192.88</v>
      </c>
    </row>
    <row r="41" spans="1:10" ht="18.95" customHeight="1">
      <c r="A41" s="838"/>
      <c r="B41" s="826" t="s">
        <v>135</v>
      </c>
      <c r="C41" s="826"/>
      <c r="D41" s="463">
        <f>PGL_Supplies!AB7/1000</f>
        <v>20.352</v>
      </c>
      <c r="E41" s="463">
        <f>PGL_Supplies!AB8/1000</f>
        <v>20.352</v>
      </c>
      <c r="F41" s="463">
        <f>PGL_Supplies!AB9/1000</f>
        <v>20.352</v>
      </c>
      <c r="G41" s="463">
        <f>PGL_Supplies!AB10/1000</f>
        <v>20.352</v>
      </c>
      <c r="H41" s="463">
        <f>PGL_Supplies!AB11/1000</f>
        <v>20.352</v>
      </c>
      <c r="I41" s="464">
        <f>PGL_Supplies!AB12/1000</f>
        <v>20.352</v>
      </c>
    </row>
    <row r="42" spans="1:10" ht="18.95" customHeight="1">
      <c r="A42" s="838"/>
      <c r="B42" s="826" t="s">
        <v>136</v>
      </c>
      <c r="C42" s="826"/>
      <c r="D42" s="463">
        <f>PGL_Supplies!AC7/1000</f>
        <v>4.4989999999999997</v>
      </c>
      <c r="E42" s="463">
        <f>PGL_Supplies!AC8/1000</f>
        <v>4.4989999999999997</v>
      </c>
      <c r="F42" s="463">
        <f>PGL_Supplies!AC9/1000</f>
        <v>4.4989999999999997</v>
      </c>
      <c r="G42" s="463">
        <f>PGL_Supplies!AC10/1000</f>
        <v>4.4989999999999997</v>
      </c>
      <c r="H42" s="463">
        <f>PGL_Supplies!AC11/1000</f>
        <v>4.4989999999999997</v>
      </c>
      <c r="I42" s="464">
        <f>PGL_Supplies!AC12/1000</f>
        <v>4.4989999999999997</v>
      </c>
    </row>
    <row r="43" spans="1:10" ht="18.95" customHeight="1">
      <c r="A43" s="852"/>
      <c r="B43" s="826" t="s">
        <v>147</v>
      </c>
      <c r="C43" s="826"/>
      <c r="D43" s="463">
        <f>PGL_Supplies!H7/1000</f>
        <v>19.652000000000001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4.2990000000000004</v>
      </c>
      <c r="E45" s="463">
        <f>PGL_Supplies!B8/1000</f>
        <v>50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384.21099999999996</v>
      </c>
      <c r="E50" s="473">
        <f t="shared" si="2"/>
        <v>488.863</v>
      </c>
      <c r="F50" s="473">
        <f t="shared" si="2"/>
        <v>342.10300000000001</v>
      </c>
      <c r="G50" s="473">
        <f t="shared" si="2"/>
        <v>342.10300000000001</v>
      </c>
      <c r="H50" s="473">
        <f t="shared" si="2"/>
        <v>342.10300000000001</v>
      </c>
      <c r="I50" s="1101">
        <f t="shared" si="2"/>
        <v>342.10300000000001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4.0585999999999558</v>
      </c>
      <c r="E51" s="474">
        <f t="shared" si="3"/>
        <v>0</v>
      </c>
      <c r="F51" s="474">
        <f t="shared" si="3"/>
        <v>0</v>
      </c>
      <c r="G51" s="474">
        <f t="shared" si="3"/>
        <v>7.8039999999999736</v>
      </c>
      <c r="H51" s="474">
        <f t="shared" si="3"/>
        <v>7.8039999999999736</v>
      </c>
      <c r="I51" s="1102">
        <f t="shared" si="3"/>
        <v>17.803999999999974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1.0000000000331966E-3</v>
      </c>
      <c r="F52" s="475">
        <f t="shared" si="4"/>
        <v>27.196000000000026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114.94</v>
      </c>
      <c r="E53" s="1092">
        <f>PGL_Supplies!U8/1000</f>
        <v>114.94</v>
      </c>
      <c r="F53" s="1092">
        <f>PGL_Supplies!U9/1000</f>
        <v>114.94</v>
      </c>
      <c r="G53" s="1092">
        <f>PGL_Supplies!U10/1000</f>
        <v>114.94</v>
      </c>
      <c r="H53" s="1092">
        <f>PGL_Supplies!U11/1000</f>
        <v>114.94</v>
      </c>
      <c r="I53" s="1093">
        <f>PGL_Supplies!U12/1000</f>
        <v>114.94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2001-07-23T16:56:42Z</cp:lastPrinted>
  <dcterms:created xsi:type="dcterms:W3CDTF">1997-07-16T16:14:22Z</dcterms:created>
  <dcterms:modified xsi:type="dcterms:W3CDTF">2023-09-10T17:03:07Z</dcterms:modified>
</cp:coreProperties>
</file>