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024A34-8C30-40F8-B6FE-1716F5FBC1B0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<sst xmlns="http://schemas.openxmlformats.org/spreadsheetml/2006/main" count="2071" uniqueCount="813">
  <si>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</si>
  <si>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</si>
  <si>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</si>
  <si>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</si>
  <si>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</si>
  <si>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</si>
  <si>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</si>
  <si>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</si>
  <si>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</si>
  <si>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</si>
  <si>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</si>
  <si>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</si>
  <si>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</si>
  <si>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</si>
  <si>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</si>
  <si>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</si>
  <si>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</si>
  <si>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</si>
  <si>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</si>
  <si>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</si>
  <si>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</si>
  <si>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</si>
  <si>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</si>
  <si>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</si>
  <si>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</si>
  <si>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</si>
  <si>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</si>
  <si>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</si>
  <si>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</si>
  <si>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</si>
  <si>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</si>
  <si>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</si>
  <si>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</si>
  <si>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</si>
  <si>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</si>
  <si>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</si>
  <si>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</si>
  <si>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</si>
  <si>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</si>
  <si>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</si>
  <si>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</si>
  <si>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</si>
  <si>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</si>
  <si>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</si>
  <si>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</si>
  <si>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</si>
  <si>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</si>
  <si>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</si>
  <si>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</si>
  <si>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</si>
  <si>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</si>
  <si>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</si>
  <si>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</si>
  <si>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</si>
  <si>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</si>
  <si>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</si>
  <si>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</si>
  <si>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</si>
  <si>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</si>
  <si>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</si>
  <si>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</si>
  <si>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</si>
  <si>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</si>
  <si>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</si>
  <si>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</si>
  <si>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</si>
  <si>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</si>
  <si>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</si>
  <si>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</si>
  <si>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</si>
  <si>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</si>
  <si>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</si>
  <si>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</si>
  <si>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</si>
  <si>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</si>
  <si>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</si>
  <si>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</si>
  <si>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</si>
  <si>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</si>
  <si>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</si>
  <si>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</si>
  <si>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</si>
  <si>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</si>
  <si>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</si>
  <si>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</si>
  <si>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</si>
  <si>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</si>
  <si>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</si>
  <si>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</si>
  <si>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</si>
  <si>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</si>
  <si>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</si>
  <si>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</si>
  <si>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</si>
  <si>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</si>
  <si>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</si>
  <si>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</si>
  <si>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</si>
  <si>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</si>
  <si>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</si>
  <si>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</si>
  <si>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</si>
  <si>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</si>
  <si>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</si>
  <si>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</si>
  <si>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</si>
  <si>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</si>
  <si>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</si>
  <si>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</si>
  <si>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</si>
  <si>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</si>
  <si>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</si>
  <si>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</si>
  <si>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</si>
  <si>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</si>
  <si>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</si>
  <si>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</si>
  <si>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</si>
  <si>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</si>
  <si>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</si>
  <si>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</si>
  <si>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</si>
  <si>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</si>
  <si>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</si>
  <si>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</si>
  <si>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</si>
  <si>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</si>
  <si>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</si>
  <si>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</si>
  <si>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</si>
  <si>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</si>
  <si>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</si>
  <si>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</si>
  <si>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</si>
  <si>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</si>
  <si>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</si>
  <si>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</si>
  <si>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</si>
  <si>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</si>
  <si>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</si>
  <si>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</si>
  <si>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</si>
  <si>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</si>
  <si>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</si>
  <si>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</si>
  <si>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</si>
  <si>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</si>
  <si>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</si>
  <si>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</si>
  <si>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</si>
  <si>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</si>
  <si>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</si>
  <si>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</si>
  <si>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</si>
  <si>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</si>
  <si>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</si>
  <si>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</si>
  <si>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</si>
  <si>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</si>
  <si>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</si>
  <si>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</si>
  <si>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</si>
  <si>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</si>
  <si>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</si>
  <si>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</si>
  <si>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</si>
  <si>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</si>
  <si>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</si>
  <si>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</si>
  <si>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</si>
  <si>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</si>
  <si>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</si>
  <si>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</si>
  <si>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</si>
  <si>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</si>
  <si>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</si>
  <si>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</si>
  <si>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</si>
  <si>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</si>
  <si>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</si>
  <si>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</si>
  <si>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</si>
  <si>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</si>
  <si>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</si>
  <si>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</si>
  <si>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</si>
  <si>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</si>
  <si>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</si>
  <si>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</si>
  <si>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</si>
  <si>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</si>
  <si>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</si>
  <si>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</si>
  <si>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</si>
  <si>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</si>
  <si>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</si>
  <si>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</si>
  <si>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</si>
  <si>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</si>
  <si>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</si>
  <si>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</si>
  <si>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</si>
  <si>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</si>
  <si>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</si>
  <si>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</si>
  <si>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</si>
  <si>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</si>
  <si>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</si>
  <si>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</si>
  <si>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</si>
  <si>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</si>
  <si>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</si>
  <si>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</si>
  <si>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</si>
  <si>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</si>
  <si>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</si>
  <si>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</si>
  <si>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</si>
  <si>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</si>
  <si>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</si>
  <si>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</si>
  <si>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</si>
  <si>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</si>
  <si>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</si>
  <si>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</si>
  <si>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</si>
  <si>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</si>
  <si>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</si>
  <si>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</si>
  <si>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</si>
  <si>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</si>
  <si>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</si>
  <si>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</si>
  <si>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</si>
  <si>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</si>
  <si>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</si>
  <si>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</si>
  <si>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</si>
  <si>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</si>
  <si>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</si>
  <si>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</si>
  <si>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</si>
  <si>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</si>
  <si>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</si>
  <si>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</si>
  <si>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</si>
  <si>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</si>
  <si>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</si>
  <si>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</si>
  <si>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</si>
  <si>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</si>
  <si>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</si>
  <si>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</si>
  <si>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</si>
  <si>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</si>
  <si>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</si>
  <si>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</si>
  <si>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</si>
  <si>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</si>
  <si>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</si>
  <si>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</si>
  <si>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</si>
  <si>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</si>
  <si>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</si>
  <si>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</si>
  <si>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</si>
  <si>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</si>
  <si>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</si>
  <si>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</si>
  <si>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</si>
  <si>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</si>
  <si>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</si>
  <si>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</si>
  <si>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</si>
  <si>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</si>
  <si>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</si>
  <si>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</si>
  <si>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</si>
  <si>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</si>
  <si>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</si>
  <si>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</si>
  <si>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</si>
  <si>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</si>
  <si>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</si>
  <si>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</si>
  <si>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</si>
  <si>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</si>
  <si>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</si>
  <si>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</si>
  <si>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</si>
  <si>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</si>
  <si>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</si>
  <si>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</si>
  <si>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</si>
  <si>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</si>
  <si>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</si>
  <si>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</si>
  <si>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</si>
  <si>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</si>
  <si>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</si>
  <si>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</si>
  <si>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</si>
  <si>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</si>
  <si>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</si>
  <si>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</si>
  <si>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</si>
  <si>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</si>
  <si>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</si>
  <si>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</si>
  <si>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</si>
  <si>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</si>
  <si>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</si>
  <si>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</si>
  <si>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</si>
  <si>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</si>
  <si>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</si>
  <si>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</si>
  <si>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</si>
  <si>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</si>
  <si>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</si>
  <si>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</si>
  <si>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</si>
  <si>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</si>
  <si>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</si>
  <si>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</si>
  <si>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</si>
  <si>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</si>
  <si>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</si>
  <si>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</si>
  <si>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</si>
  <si>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</si>
  <si>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</si>
  <si>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</si>
  <si>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</si>
  <si>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</si>
  <si>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</si>
  <si>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</si>
  <si>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</si>
  <si>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</si>
  <si>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</si>
  <si>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</si>
  <si>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</si>
  <si>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</si>
  <si>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</si>
  <si>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</si>
  <si>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</si>
  <si>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</si>
  <si>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</si>
  <si>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</si>
  <si>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</si>
  <si>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</si>
  <si>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</si>
  <si>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</si>
  <si>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</si>
  <si>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</si>
  <si>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</si>
  <si>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</si>
  <si>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</si>
  <si>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</si>
  <si>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</si>
  <si>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</si>
  <si>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</si>
  <si>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</si>
  <si>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</si>
  <si>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</si>
  <si>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</si>
  <si>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</si>
  <si>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</si>
  <si>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</si>
  <si>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</si>
  <si>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</si>
  <si>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</si>
  <si>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</si>
  <si>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</si>
  <si>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</si>
  <si>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</si>
  <si>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</si>
  <si>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</si>
  <si>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</si>
  <si>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</si>
  <si>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</si>
  <si>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</si>
  <si>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</si>
  <si>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</si>
  <si>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</si>
  <si>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</si>
  <si>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</si>
  <si>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</si>
  <si>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</si>
  <si>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</si>
  <si>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</si>
  <si>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</si>
  <si>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</si>
  <si>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</si>
  <si>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</si>
  <si>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</si>
  <si>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</si>
  <si>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</si>
  <si>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</si>
  <si>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</si>
  <si>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</si>
  <si>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</si>
  <si>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</si>
  <si>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</si>
  <si>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</si>
  <si>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</si>
  <si>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</si>
  <si>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</si>
  <si>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</si>
  <si>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</si>
  <si>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</si>
  <si>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</si>
  <si>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</si>
  <si>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</si>
  <si>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</si>
  <si>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</si>
  <si>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</si>
  <si>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</si>
  <si>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</si>
  <si>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</si>
  <si>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</si>
  <si>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</si>
  <si>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</si>
  <si>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</si>
  <si>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</si>
  <si>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</si>
  <si>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</si>
  <si>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</si>
  <si>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</si>
  <si>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</si>
  <si>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</si>
  <si>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</si>
  <si>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</si>
  <si>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</si>
  <si>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</si>
  <si>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</si>
  <si>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</si>
  <si>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</si>
  <si>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</si>
  <si>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</si>
  <si>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</si>
  <si>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</si>
  <si>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</si>
  <si>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</si>
  <si>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</si>
  <si>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</si>
  <si>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</si>
  <si>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</si>
  <si>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</si>
  <si>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</si>
  <si>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</si>
  <si>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</si>
  <si>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</si>
  <si>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</si>
  <si>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</si>
  <si>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</si>
  <si>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</si>
  <si>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</si>
  <si>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</si>
  <si>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</si>
  <si>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</si>
  <si>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</si>
  <si>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</si>
  <si>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</si>
  <si>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</si>
  <si>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</si>
  <si>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</si>
  <si>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</si>
  <si>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</si>
  <si>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</si>
  <si>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</si>
  <si>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</si>
  <si>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</si>
  <si>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</si>
  <si>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</si>
  <si>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</si>
  <si>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</si>
  <si>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</si>
  <si>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</si>
  <si>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</si>
  <si>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</si>
  <si>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</si>
  <si>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</si>
  <si>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</si>
  <si>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</si>
  <si>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</si>
  <si>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</si>
  <si>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</si>
  <si>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</si>
  <si>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</si>
  <si>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</si>
  <si>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</si>
  <si>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</si>
  <si>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</si>
  <si>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</si>
  <si>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</si>
  <si>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</si>
  <si>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</si>
  <si>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</si>
  <si>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</si>
  <si>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</si>
  <si>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</si>
  <si>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</si>
  <si>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</si>
  <si>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</si>
  <si>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</si>
  <si>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</si>
  <si>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</si>
  <si>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</si>
  <si>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</si>
  <si>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</si>
  <si>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</si>
  <si>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</si>
  <si>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</si>
  <si>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</si>
  <si>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</si>
  <si>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</si>
  <si>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</si>
  <si>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</si>
  <si>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</si>
  <si>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</si>
  <si>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</si>
  <si>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</si>
  <si>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</si>
  <si>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</si>
  <si>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</si>
  <si>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</si>
  <si>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</si>
  <si>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</si>
  <si>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</si>
  <si>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</si>
  <si>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</si>
  <si>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</si>
  <si>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</si>
  <si>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</si>
  <si>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</si>
  <si>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</si>
  <si>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</si>
  <si>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</si>
  <si>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</si>
  <si>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</si>
  <si>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</si>
  <si>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</si>
  <si>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</si>
  <si>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</si>
  <si>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</si>
  <si>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</si>
  <si>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</si>
  <si>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</si>
  <si>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</si>
  <si>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</si>
  <si>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</si>
  <si>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</si>
  <si>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</si>
  <si>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</si>
  <si>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</si>
  <si>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</si>
  <si>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</si>
  <si>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</si>
  <si>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</si>
  <si>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</si>
  <si>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</si>
  <si>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</si>
  <si>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</si>
  <si>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</si>
  <si>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</si>
  <si>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</si>
  <si>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</si>
  <si>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</si>
  <si>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</si>
  <si>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</si>
  <si>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</si>
  <si>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</si>
  <si>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</si>
  <si>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</si>
  <si>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</si>
  <si>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</si>
  <si>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</si>
  <si>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</si>
  <si>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</si>
  <si>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</si>
  <si>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</si>
  <si>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</si>
  <si>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</si>
  <si>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</si>
  <si>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</si>
  <si>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</si>
  <si>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</si>
  <si>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</si>
  <si>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</si>
  <si>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</si>
  <si>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</si>
  <si>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</si>
  <si>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</si>
  <si>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</si>
  <si>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</si>
  <si>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</si>
  <si>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</si>
  <si>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</si>
  <si>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</si>
  <si>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</si>
  <si>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</si>
  <si>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</si>
  <si>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</si>
  <si>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</si>
  <si>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</si>
  <si>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</si>
  <si>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</si>
  <si>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</si>
  <si>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</si>
  <si>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</si>
  <si>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</si>
  <si>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</si>
  <si>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</si>
  <si>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</si>
  <si>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</si>
  <si>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</si>
  <si>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</si>
  <si>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</si>
  <si>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</si>
  <si>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</si>
  <si>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</si>
  <si>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</si>
  <si>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</si>
  <si>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</si>
  <si>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</si>
  <si>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</si>
  <si>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</si>
  <si>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</si>
  <si>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</si>
  <si>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</si>
  <si>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</si>
  <si>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</si>
  <si>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</si>
  <si>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</si>
  <si>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</si>
  <si>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</si>
  <si>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</si>
  <si>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</si>
  <si>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</si>
  <si>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</si>
  <si>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</si>
  <si>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</si>
  <si>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</si>
  <si>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</si>
  <si>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</si>
  <si>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</si>
  <si>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</si>
  <si>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</si>
  <si>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</si>
  <si>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</si>
  <si>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</si>
  <si>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</si>
  <si>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</si>
  <si>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</si>
  <si>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</si>
  <si>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</si>
  <si>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</si>
  <si>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</si>
  <si>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</si>
  <si>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</si>
  <si>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</si>
  <si>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</si>
  <si>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</si>
  <si>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</si>
  <si>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</si>
  <si>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</si>
  <si>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</si>
  <si>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</si>
  <si>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</si>
  <si>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</si>
  <si>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</si>
  <si>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</si>
  <si>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</si>
  <si>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</si>
  <si>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</si>
  <si>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</si>
  <si>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</si>
  <si>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</si>
  <si>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</si>
  <si>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</si>
  <si>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</si>
  <si>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</si>
  <si>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</si>
  <si>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</si>
  <si>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</si>
  <si>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</si>
  <si>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</si>
  <si>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</si>
  <si>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</si>
  <si>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</si>
  <si>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</si>
  <si>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</si>
  <si>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</si>
  <si>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</si>
  <si>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</si>
  <si>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</si>
  <si>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</si>
  <si>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</si>
  <si>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</si>
  <si>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</si>
  <si>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</si>
  <si>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</si>
  <si>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</si>
  <si>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</si>
  <si>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</si>
  <si>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</si>
  <si>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</si>
  <si>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</si>
  <si>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</si>
  <si>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</si>
  <si>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</si>
  <si>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</si>
  <si>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</si>
  <si>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</si>
  <si>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</si>
  <si>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</si>
  <si>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</si>
  <si>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</si>
  <si>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</si>
  <si>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</si>
  <si>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</si>
  <si>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</si>
  <si>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</si>
  <si>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</si>
  <si>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</si>
  <si>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</si>
  <si>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</si>
  <si>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</si>
  <si>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</si>
  <si>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</si>
  <si>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</si>
  <si>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</si>
  <si>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</si>
  <si>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</si>
  <si>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</si>
  <si>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</si>
  <si>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</si>
  <si>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</si>
  <si>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</si>
  <si>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</si>
  <si>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</si>
  <si>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</si>
  <si>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</si>
  <si>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</si>
  <si>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</si>
  <si>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</si>
  <si>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</si>
  <si>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</si>
  <si>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</si>
  <si>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</si>
  <si>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</si>
  <si>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</si>
  <si>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</si>
  <si>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</si>
  <si>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</si>
  <si>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</si>
  <si>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</si>
  <si>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</si>
  <si>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</si>
  <si>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</si>
  <si>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</si>
  <si>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</si>
  <si>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</si>
  <si>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</si>
  <si>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</si>
  <si>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</si>
  <si>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</si>
  <si>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</si>
  <si>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</si>
  <si>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</si>
  <si>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</si>
  <si>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</si>
  <si>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</si>
  <si>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</si>
  <si>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</si>
  <si>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</si>
  <si>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</si>
  <si>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</si>
  <si>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</si>
  <si>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</si>
  <si>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</si>
  <si>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</si>
  <si>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</si>
  <si>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</si>
  <si>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</si>
  <si>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</si>
  <si>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</si>
  <si>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</si>
  <si>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</si>
  <si>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</si>
  <si>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</si>
  <si>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</si>
  <si>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</si>
  <si>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</si>
  <si>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</si>
  <si>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</si>
  <si>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</si>
  <si>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</si>
  <si>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</si>
  <si>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</si>
  <si>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</si>
  <si>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</si>
  <si>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</si>
  <si>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</si>
  <si>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</si>
  <si>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</si>
  <si>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</si>
  <si>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</si>
  <si>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N/A</t>
  </si>
  <si>
    <t xml:space="preserve">  CHANCE OF T-STORM</t>
  </si>
  <si>
    <t xml:space="preserve">  MOSTLY SUNNY. </t>
  </si>
  <si>
    <t xml:space="preserve">  PARTLY CLOUDY.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</si>
</sst>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6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79B14397-3D21-A035-EF1E-709FD89D04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CAE5353B-B54F-FBB2-DF24-A55BC9B01B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1007C54B-CC62-15F3-649E-84A7CAD268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3F0FB5A9-F2A5-8425-189E-33BFD1671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3108C19-AB90-8B16-F38D-6876F5EBE6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AAC56B14-D9E2-FBFD-89FF-CAA09A8F7F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40653F58-F92C-2A1B-C50D-4E940245D3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EE929846-DA8E-4BF0-95E3-5547297D2D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6B9403CE-C08B-77A4-8FCD-196A3F9227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BA079620-81C8-0453-1A7C-84300F7A6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4ACE9ABF-12DD-EBA5-C3F5-0B09F87F1A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F11B398B-92EC-2B8B-F01B-E60D9C8472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397138F3-EE3B-ACC7-BA3B-2B10C3BB1C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D436BD29-9CF8-7996-88F7-595A99E896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5768B6B-9E29-C415-AA10-9C593507BB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BABA0A84-50FC-C451-61B5-1E655FE80F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85176539-0638-0E6C-2163-7769EE1A76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6035280A-4009-D69C-5394-879098F451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F3D9196F-022F-3BBD-9D7F-A3E84773F6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C65EB817-DD37-F39B-5E34-8F9095C28F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F738A182-8748-1291-CB01-3CF68E7F3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D03D68C0-85B8-D001-EDD1-B85F1FB0F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9DE3D7FA-E410-A9F3-1628-3F5974AC0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D6CF1BAC-514E-D151-C12D-B6E09CAAE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DB30B527-D252-3D38-C880-CFD7A0F4F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157BAE17-C88D-2251-5E7F-6E3AB8C87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2AE58E47-2444-20A9-4E84-726588277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183EAA01-0DAA-E31E-AA93-D625A91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914429A1-A758-6AEC-EB74-1EB1B587E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BCC19E45-33C8-0F52-1CC9-B686102F9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20142CB5-035D-03B3-C5E4-212E45E1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4C1E0D1A-7723-D184-B4DE-AECFA1558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720A6297-7BBA-E79E-CE91-886FA3EEE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AC40436E-A90A-9B63-EBBE-BF9BB8E8E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A0BFC739-796F-55E5-FA13-FE75A565E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9A7776C5-8277-3E70-3B89-B7DC62BC5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0672FB56-9033-AB7B-5F44-5821B5E33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35975C8B-8A04-5E24-374C-B0512944C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9D08AF47-A107-FC5A-3450-2CBB18363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E05F6213-BE30-C4D0-C343-5AC2A1AC6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558A6B46-1F78-ED51-5AD5-2BC474F12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89575DE6-3E1B-773F-7FD3-12484CA18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E7D07F2E-D1D0-F90F-6D8F-641C4E34E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00A1050E-2EBE-0013-8EAC-D45C74A0A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667" name="Day_1">
          <a:extLst>
            <a:ext uri="{FF2B5EF4-FFF2-40B4-BE49-F238E27FC236}">
              <a16:creationId xmlns:a16="http://schemas.microsoft.com/office/drawing/2014/main" id="{C15EB15E-271B-D175-DC97-940A30708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668" name="Day_2">
          <a:extLst>
            <a:ext uri="{FF2B5EF4-FFF2-40B4-BE49-F238E27FC236}">
              <a16:creationId xmlns:a16="http://schemas.microsoft.com/office/drawing/2014/main" id="{BA113FF4-0D8C-F4A3-E5B2-BEE0BE993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669" name="Day_3">
          <a:extLst>
            <a:ext uri="{FF2B5EF4-FFF2-40B4-BE49-F238E27FC236}">
              <a16:creationId xmlns:a16="http://schemas.microsoft.com/office/drawing/2014/main" id="{DEB9E89F-CA9E-3064-6324-D8BC6C720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670" name="Day_4">
          <a:extLst>
            <a:ext uri="{FF2B5EF4-FFF2-40B4-BE49-F238E27FC236}">
              <a16:creationId xmlns:a16="http://schemas.microsoft.com/office/drawing/2014/main" id="{4E836ACA-5C0F-8475-7622-BDD381AAB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671" name="Day_5">
          <a:extLst>
            <a:ext uri="{FF2B5EF4-FFF2-40B4-BE49-F238E27FC236}">
              <a16:creationId xmlns:a16="http://schemas.microsoft.com/office/drawing/2014/main" id="{A4E4C79B-5309-E387-6EE1-578D01D6E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672" name="Day_6">
          <a:extLst>
            <a:ext uri="{FF2B5EF4-FFF2-40B4-BE49-F238E27FC236}">
              <a16:creationId xmlns:a16="http://schemas.microsoft.com/office/drawing/2014/main" id="{482B66DC-F11A-CB41-FBE9-9C08749AA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30487F77-8EFF-DA92-36EE-C8B9E61BC456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D6695CDA-CC52-6546-AB0B-C66A9F672B1D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19D870D2-5193-6974-3083-4474EC0BA435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B56573ED-62A8-566C-07E9-7CE60261B8D5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5A7DBE17-9E14-20AA-CCA4-8ACB79EA046B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048852B0-D12A-A965-5E7D-F01F573CDC47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1A140D64-01B5-1011-F058-CB42BBE71ACB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03E597B5-59EB-4AA9-83D5-659206B100EE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342F2504-995E-3E9F-FB5D-713772F54CF1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E5AE5BF6-E829-E1FA-64C2-8B53DDD79880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A894D104-0BBA-C2C0-2A98-3F55268343CF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F6F7E122-C0DB-2970-117F-0A5FC221D0FE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BA95C574-F389-8B35-4704-C5D93D7910E5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74935415-CB29-134D-7D4E-50CCF38F5F87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ACF8A544-CEBC-6E99-573B-040147388166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8097C513-88EE-3622-55FA-48E8B44E252B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3283C0B8-D611-C212-9473-6A61D08BD846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CB38C3AB-BE50-25C4-C418-9052586B6D67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84DA4969-7D8D-C25D-7735-E969F530B013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80A6CA6A-19D4-0211-E285-EA168D41ED54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6E79AF4F-5AA0-464C-7E84-F212DA8E1563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4D64BDF4-465A-CABF-A14B-8DC3A30F62AA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472D49DB-4922-CC03-BC6C-962B6D0FAA6A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2EB857F1-0A6B-E7CB-D883-F827076A3D09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28648963-6CDD-6D91-89A1-2A273DDC1A27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6BABA991-C021-A08F-5E1E-B1988C8EE850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F0FA82A1-16D3-BE3B-E4E1-EF4AACD85EA0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495CE945-7527-2B75-A0B7-626F66E05927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141D4726-CBB5-EDD2-05B1-8214A85CF378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ACD04A25-AEF0-FE0B-E66F-36F0945D2355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F0615326-1109-AD12-DC1C-B0FE1250BDD8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D5CBAB6E-FE78-48A6-7AF5-214771D87FDE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B4E12059-4594-6591-DEE2-BC5013D7DEC8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0475A15B-035E-7A34-82BC-9251F308F930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FD262909-7D40-93FD-26AC-9207BFB5EB7D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81B2E5CD-5457-3ED0-3C03-0A7510882388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62953FEC-4337-2662-6E71-6F542722226E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7C506EA9-1754-42A5-67FB-8BB796760E59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C8D8D5C8-6208-6C87-8204-A8EE9C1909A7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AEC85FF8-A352-B46B-7C34-DDF0F9013D48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27255CCF-476B-3A62-DE8E-E4C1B6719E1B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8721E5F6-7BC6-51DB-D631-17807FEE1375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4D75BF30-B9DE-AE6F-008E-9DF15BEC0EA4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9C3DEF29-8D97-7A5E-6F04-0B9A371AC1A6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EF89A28F-7DA1-6838-8A90-A608E25A8DB1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D2543C0E-663E-A6C5-9233-C735FB41E4DC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1642E900-F8E3-4CE7-3399-FC883D0E4437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D480E0DC-38F5-2777-95AA-175EB362B4DD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B2C13405-3171-31EA-2BEC-7B66B43F6C31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52E7DE55-22F7-74C1-C7BB-C516DDE436F0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56C6711C-C95F-E28B-3B92-DFB0C6A131DA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ACF47D74-0DE7-11F4-C90A-855A17726A3A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C3B5706C-4818-EDEF-8820-6EEB63C45DAD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E1F21386-FEC7-2252-4AE6-CE77FB76784B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E3AC5599-C61B-55D8-B512-0D2AB5BD36B8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617F3857-0F6F-7E02-4C78-0B42A9BC79FE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399D7821-2498-6DED-7956-064EA03EE08A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C39F4813-95C5-F8CA-9796-3A2BD0E0212B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95C3F024-E849-A619-4951-8194932E7BF7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6CC6668B-D53A-CCC4-50BE-81C7482FE235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8D119EB8-787F-2EC2-C380-1E8F95E50A2E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DD40AE52-026E-B037-695F-60D9612FE977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C0B0BADC-BBF0-4846-8D84-5B1BE1186140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46A49546-9151-0D9B-85BA-D0005E7D21E1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7BA311BC-E753-AE29-63FB-9176AC3E47E1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8BDD3C1D-F9AD-0C00-7B0C-E98E9683A765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11E7084F-AA07-E5A6-A14D-AA8C43ABC566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EBB5EFDB-24D1-E702-1D65-71CF088A7A0C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8C5A9B5C-F6DD-0ADF-1423-DCE456C6981C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FDA7A7F5-4C43-F858-163F-87F986F27C11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864F36A1-6B03-1060-E4EC-C66731EFBBCC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296E461D-A568-CC1D-0C31-D3B8C6A5481D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C5803369-DADB-64C6-9F01-D9CE9A7B0F63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83EEBDB8-DDB9-3592-E380-4BA9A2282ACC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31160F92-1C39-DAEC-6A93-AF1E9296DF06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94E951F4-E10B-E749-5B97-464BD28DBD37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985BA611-B572-5660-065D-8FBF382DCF24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B8F885A0-5826-D6D5-2B5E-35341AAA5FBF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DB25EE8D-4266-6EF5-34C1-EE2B9DE77C5D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C73843BA-E9AF-27DF-754F-E27EADC3D211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1FCB97A4-989C-8AB0-F264-63C505EE1135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01CC50DE-B3AF-EBF7-7E28-88D12CC6FF80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FF800956-E56F-12BE-7F24-323BF559C13F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7AD02575-DBC3-43E2-E701-47304DA5C46E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952B9D4D-12ED-10E4-8AED-0DF21266D969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71ED90E6-ACF8-58BE-09AD-944EA2E11DD1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861F16F9-DF16-0979-F54A-B555E4D0E65D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B48F2E22-37FB-D5AE-2567-BEEF2E66358A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66202FE7-5BA4-89A8-27E4-E3C67D5B8350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88B4BA79-6B94-298A-FF3C-24021F38252A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95C518CC-8851-B781-4731-E66DC5E7F1D8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7CA4CEF9-01EA-6A9B-25A8-DF8D6000D2BB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26EB00E9-32D3-4747-8F75-926C445A7974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3C180550-ABA5-81E8-CFDE-9534C89034F5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79A940D4-2BFE-1F14-ABB4-F6F64C3B85EF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5583F964-0ADD-5D83-6D46-783949AB4745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50C3FEC5-B923-4AB4-1687-455D5779CC10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977AD815-4766-A7A7-A113-16939703C88B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6C72871F-D4F8-46D7-5AC1-185A52972AFF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BCCA36E1-F895-01E6-7E25-B4CB6CB751B7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353A26B1-B695-24FC-89EB-99BF59511D5B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234FCCF9-196C-A5CE-3304-9B2BD08845BE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4707F14A-1734-D351-88DF-D912162EA752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9EBA7CED-ED79-C07F-C4E6-9614C9AD71C8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EB72824C-8379-DBF4-D89A-50855878BD6C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49B2552C-0C92-8ED6-2B62-9011FF4E6A97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9B81A1BD-F0DA-CFE8-1013-040E4ADB1509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23B76663-3B0D-C612-9A34-A68A607F6E4B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385F0D9A-302E-A7FB-E3CF-476B27EAABA7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CD18593B-2254-F252-CB4A-F23185A8B0F9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E5470F9D-BA06-0D7A-B369-3C1EC97A1A64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CCA87040-8EF7-BC94-4A99-07319AFFD47E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A2AE8004-D8E0-9D61-B6D5-BBB78CA9DADF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8CB56A94-6EB7-039C-A825-96697B5048C0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6313E7B0-9D48-51E0-48F0-77E679F83A2F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01FF320D-2C21-6866-C4B7-EC7675510F30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DDC82A62-989E-01E5-F6DA-8ACADED5047D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8BF9143E-2614-A309-8896-96DC5BE9A4CB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884C03CF-241D-633F-95D6-21C3BF86E302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34457C08-7DC2-1348-F93A-C05CA5B67304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F6663CBB-854B-DA47-8734-49742990386E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B5C2E2A0-C15F-AC95-24D1-550298C6964F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AD7E6403-FE30-56C2-9491-ECADAD8C6FAF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C5D434D8-B253-C4A4-DF39-F65B26B52097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2F4FBFA6-AD9E-4A63-167C-2B4E35D74CF4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7F59FAB6-1539-FDC1-9866-B1240B970DCB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BBD2CFE4-66E0-B850-208F-CDA9EF11E1D6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622357C0-96CD-0DA9-1532-3840003424ED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E4741C2F-5265-2E62-D98B-13E9312F3A3A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E4A733CE-ACD7-E9EE-3E1E-4B59E0395909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40" t="s">
        <v>9</v>
      </c>
      <c r="B1" s="798"/>
    </row>
    <row r="2" spans="1:88">
      <c r="A2" s="1040" t="s">
        <v>9</v>
      </c>
      <c r="B2" t="s">
        <v>9</v>
      </c>
    </row>
    <row r="3" spans="1:88" ht="15.75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158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7" zoomScale="75" workbookViewId="0">
      <selection activeCell="A17" sqref="A17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SUN</v>
      </c>
      <c r="I1" s="865">
        <f>D4</f>
        <v>37087</v>
      </c>
      <c r="J1" s="110"/>
    </row>
    <row r="2" spans="1:10" ht="24.95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5" customHeight="1" thickBot="1">
      <c r="A3" s="828"/>
      <c r="B3" s="826"/>
      <c r="C3" s="826"/>
      <c r="D3" s="829" t="str">
        <f t="shared" ref="D3:I3" si="0">CHOOSE(WEEKDAY(D4),"SUN","MON","TUE","WED","THU","FRI","SAT")</f>
        <v>SUN</v>
      </c>
      <c r="E3" s="829" t="str">
        <f t="shared" si="0"/>
        <v>MON</v>
      </c>
      <c r="F3" s="829" t="str">
        <f t="shared" si="0"/>
        <v>TUE</v>
      </c>
      <c r="G3" s="829" t="str">
        <f t="shared" si="0"/>
        <v>WED</v>
      </c>
      <c r="H3" s="829" t="str">
        <f t="shared" si="0"/>
        <v>THU</v>
      </c>
      <c r="I3" s="830" t="str">
        <f t="shared" si="0"/>
        <v>FRI</v>
      </c>
      <c r="J3" s="110"/>
    </row>
    <row r="4" spans="1:10" ht="24.95" customHeight="1" thickBot="1">
      <c r="A4" s="831" t="s">
        <v>153</v>
      </c>
      <c r="B4" s="832"/>
      <c r="C4" s="832"/>
      <c r="D4" s="833">
        <f>Weather_Input!A5</f>
        <v>37087</v>
      </c>
      <c r="E4" s="833">
        <f>Weather_Input!A6</f>
        <v>37088</v>
      </c>
      <c r="F4" s="833">
        <f>Weather_Input!A7</f>
        <v>37089</v>
      </c>
      <c r="G4" s="833">
        <f>Weather_Input!A8</f>
        <v>37090</v>
      </c>
      <c r="H4" s="833">
        <f>Weather_Input!A9</f>
        <v>37091</v>
      </c>
      <c r="I4" s="834">
        <f>Weather_Input!A10</f>
        <v>37092</v>
      </c>
      <c r="J4" s="110"/>
    </row>
    <row r="5" spans="1:10" s="111" customFormat="1" ht="24.95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88/63/76</v>
      </c>
      <c r="E5" s="866" t="str">
        <f>TEXT(Weather_Input!B6,"0")&amp;"/"&amp;TEXT(Weather_Input!C6,"0") &amp; "/" &amp; TEXT((Weather_Input!B6+Weather_Input!C6)/2,"0")</f>
        <v>89/68/79</v>
      </c>
      <c r="F5" s="866" t="str">
        <f>TEXT(Weather_Input!B7,"0")&amp;"/"&amp;TEXT(Weather_Input!C7,"0") &amp; "/" &amp; TEXT((Weather_Input!B7+Weather_Input!C7)/2,"0")</f>
        <v>90/69/80</v>
      </c>
      <c r="G5" s="866" t="str">
        <f>TEXT(Weather_Input!B8,"0")&amp;"/"&amp;TEXT(Weather_Input!C8,"0") &amp; "/" &amp; TEXT((Weather_Input!B8+Weather_Input!C8)/2,"0")</f>
        <v>90/70/80</v>
      </c>
      <c r="H5" s="866" t="str">
        <f>TEXT(Weather_Input!B9,"0")&amp;"/"&amp;TEXT(Weather_Input!C9,"0") &amp; "/" &amp; TEXT((Weather_Input!B9+Weather_Input!C9)/2,"0")</f>
        <v>91/70/81</v>
      </c>
      <c r="I5" s="867" t="str">
        <f>TEXT(Weather_Input!B10,"0")&amp;"/"&amp;TEXT(Weather_Input!C10,"0") &amp; "/" &amp; TEXT((Weather_Input!B10+Weather_Input!C10)/2,"0")</f>
        <v>91/70/81</v>
      </c>
      <c r="J5" s="110"/>
    </row>
    <row r="6" spans="1:10" ht="24.95" customHeight="1">
      <c r="A6" s="838" t="s">
        <v>134</v>
      </c>
      <c r="B6" s="826"/>
      <c r="C6" s="826"/>
      <c r="D6" s="836">
        <f ca="1">VLOOKUP(D4,NSG_Sendouts,CELL("Col",NSG_Deliveries!C5),FALSE)/1000</f>
        <v>29.5</v>
      </c>
      <c r="E6" s="836">
        <f ca="1">VLOOKUP(E4,NSG_Sendouts,CELL("Col",NSG_Deliveries!C6),FALSE)/1000</f>
        <v>33</v>
      </c>
      <c r="F6" s="836">
        <f ca="1">VLOOKUP(F4,NSG_Sendouts,CELL("Col",NSG_Deliveries!C7),FALSE)/1000</f>
        <v>35</v>
      </c>
      <c r="G6" s="836">
        <f ca="1">VLOOKUP(G4,NSG_Sendouts,CELL("Col",NSG_Deliveries!C8),FALSE)/1000</f>
        <v>35</v>
      </c>
      <c r="H6" s="836">
        <f ca="1">VLOOKUP(H4,NSG_Sendouts,CELL("Col",NSG_Deliveries!C9),FALSE)/1000</f>
        <v>35</v>
      </c>
      <c r="I6" s="841">
        <f ca="1">VLOOKUP(I4,NSG_Sendouts,CELL("Col",NSG_Deliveries!C10),FALSE)/1000</f>
        <v>33</v>
      </c>
      <c r="J6" s="111"/>
    </row>
    <row r="7" spans="1:10" ht="24.95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5" customHeight="1">
      <c r="A8" s="835"/>
      <c r="B8" s="826" t="s">
        <v>137</v>
      </c>
      <c r="C8" s="840" t="s">
        <v>87</v>
      </c>
      <c r="D8" s="836">
        <f>NSG_Requirements!J7/1000</f>
        <v>9.82</v>
      </c>
      <c r="E8" s="836">
        <f>NSG_Requirements!J8/1000</f>
        <v>0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5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5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5" customHeight="1" thickBot="1">
      <c r="A11" s="870" t="s">
        <v>143</v>
      </c>
      <c r="B11" s="860"/>
      <c r="C11" s="860"/>
      <c r="D11" s="845">
        <f t="shared" ref="D11:I11" ca="1" si="1">SUM(D6:D10)</f>
        <v>39.32</v>
      </c>
      <c r="E11" s="845">
        <f t="shared" ca="1" si="1"/>
        <v>33</v>
      </c>
      <c r="F11" s="845">
        <f t="shared" ca="1" si="1"/>
        <v>35</v>
      </c>
      <c r="G11" s="845">
        <f t="shared" ca="1" si="1"/>
        <v>35</v>
      </c>
      <c r="H11" s="845">
        <f t="shared" ca="1" si="1"/>
        <v>35</v>
      </c>
      <c r="I11" s="846">
        <f t="shared" ca="1" si="1"/>
        <v>33</v>
      </c>
      <c r="J11" s="110"/>
    </row>
    <row r="12" spans="1:10" ht="24.95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5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5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5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5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5" customHeight="1">
      <c r="A17" s="835"/>
      <c r="B17" s="826" t="s">
        <v>135</v>
      </c>
      <c r="C17" s="840" t="s">
        <v>789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5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5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27.323</v>
      </c>
      <c r="E19" s="836">
        <f>NSG_Supplies!Q8/1000</f>
        <v>27.323</v>
      </c>
      <c r="F19" s="836">
        <f>NSG_Supplies!Q9/1000</f>
        <v>27.323</v>
      </c>
      <c r="G19" s="836">
        <f>NSG_Supplies!Q10/1000</f>
        <v>27.323</v>
      </c>
      <c r="H19" s="836">
        <f>NSG_Supplies!Q11/1000</f>
        <v>27.323</v>
      </c>
      <c r="I19" s="837">
        <f>NSG_Supplies!Q12/1000</f>
        <v>27.323</v>
      </c>
      <c r="J19" s="110"/>
    </row>
    <row r="20" spans="1:13" ht="24.95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5" customHeight="1" thickBot="1">
      <c r="A21" s="1242" t="s">
        <v>149</v>
      </c>
      <c r="B21" s="1243"/>
      <c r="C21" s="1243"/>
      <c r="D21" s="1244">
        <f t="shared" ref="D21:I21" si="2">SUM(D14:D20)</f>
        <v>39.323</v>
      </c>
      <c r="E21" s="1244">
        <f t="shared" si="2"/>
        <v>39.323</v>
      </c>
      <c r="F21" s="1244">
        <f t="shared" si="2"/>
        <v>39.323</v>
      </c>
      <c r="G21" s="1244">
        <f t="shared" si="2"/>
        <v>39.323</v>
      </c>
      <c r="H21" s="1244">
        <f t="shared" si="2"/>
        <v>39.323</v>
      </c>
      <c r="I21" s="1245">
        <f t="shared" si="2"/>
        <v>39.323</v>
      </c>
      <c r="J21" s="110"/>
      <c r="K21" s="111"/>
      <c r="L21" s="93"/>
      <c r="M21" s="111"/>
    </row>
    <row r="22" spans="1:13" ht="24.95" customHeight="1">
      <c r="A22" s="875" t="s">
        <v>150</v>
      </c>
      <c r="B22" s="876"/>
      <c r="C22" s="876"/>
      <c r="D22" s="877">
        <f t="shared" ref="D22:I22" ca="1" si="3">IF(D21-D11&lt;0,0,D21-D11)</f>
        <v>3.0000000000001137E-3</v>
      </c>
      <c r="E22" s="877">
        <f t="shared" ca="1" si="3"/>
        <v>6.3230000000000004</v>
      </c>
      <c r="F22" s="877">
        <f t="shared" ca="1" si="3"/>
        <v>4.3230000000000004</v>
      </c>
      <c r="G22" s="877">
        <f t="shared" ca="1" si="3"/>
        <v>4.3230000000000004</v>
      </c>
      <c r="H22" s="877">
        <f t="shared" ca="1" si="3"/>
        <v>4.3230000000000004</v>
      </c>
      <c r="I22" s="878">
        <f t="shared" ca="1" si="3"/>
        <v>6.3230000000000004</v>
      </c>
      <c r="J22" s="110"/>
      <c r="K22" s="111"/>
      <c r="L22" s="93"/>
      <c r="M22" s="111"/>
    </row>
    <row r="23" spans="1:13" ht="24.95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95" t="s">
        <v>723</v>
      </c>
      <c r="B24" s="1096"/>
      <c r="C24" s="1096"/>
      <c r="D24" s="1097">
        <f>NSG_Supplies!R7/1000</f>
        <v>15.74</v>
      </c>
      <c r="E24" s="1097">
        <f>NSG_Supplies!R8/1000</f>
        <v>15.74</v>
      </c>
      <c r="F24" s="1097">
        <f>NSG_Supplies!R9/1000</f>
        <v>15.74</v>
      </c>
      <c r="G24" s="1097">
        <f>NSG_Supplies!R10/1000</f>
        <v>15.74</v>
      </c>
      <c r="H24" s="1097">
        <f>NSG_Supplies!R11/1000</f>
        <v>15.74</v>
      </c>
      <c r="I24" s="1098">
        <f>NSG_Supplies!R12/1000</f>
        <v>15.74</v>
      </c>
    </row>
    <row r="25" spans="1:13" ht="24.95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5" customHeight="1" thickTop="1" thickBot="1">
      <c r="A26" s="882" t="s">
        <v>157</v>
      </c>
      <c r="B26" s="883"/>
      <c r="C26" s="883"/>
      <c r="D26" s="884">
        <f>Weather_Input!D5</f>
        <v>8</v>
      </c>
      <c r="E26" s="884">
        <f>Weather_Input!D6</f>
        <v>9</v>
      </c>
      <c r="F26" s="884">
        <f>Weather_Input!D7</f>
        <v>9</v>
      </c>
      <c r="G26" s="885"/>
      <c r="H26" s="880"/>
      <c r="I26" s="880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A35" zoomScale="75" workbookViewId="0">
      <selection activeCell="A44" sqref="A44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37087</v>
      </c>
      <c r="N1" s="1218" t="str">
        <f>CHOOSE(WEEKDAY(M1),"SUN","MON","TUE","WED","THU","FRI","SAT")</f>
        <v>SUN</v>
      </c>
      <c r="O1" s="588"/>
    </row>
    <row r="2" spans="1:17" ht="16.5" thickTop="1" thickBot="1">
      <c r="A2" s="420" t="s">
        <v>698</v>
      </c>
      <c r="B2" s="319">
        <f>PGL_Supplies!W7/1000</f>
        <v>0.8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75">
      <c r="A3" s="420" t="s">
        <v>736</v>
      </c>
      <c r="B3" s="1178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15</v>
      </c>
      <c r="G3" s="383" t="s">
        <v>9</v>
      </c>
      <c r="H3" s="1132" t="s">
        <v>9</v>
      </c>
      <c r="I3" s="1187" t="s">
        <v>9</v>
      </c>
      <c r="J3" s="944">
        <f>Weather_Input!B5</f>
        <v>88</v>
      </c>
      <c r="K3" s="945">
        <f>Weather_Input!C5</f>
        <v>63</v>
      </c>
      <c r="L3" s="599" t="s">
        <v>9</v>
      </c>
      <c r="M3" s="264" t="s">
        <v>9</v>
      </c>
      <c r="N3" s="264"/>
      <c r="O3" s="262"/>
    </row>
    <row r="4" spans="1:17" ht="15.75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>
        <v>77.2</v>
      </c>
      <c r="K4" s="1260"/>
      <c r="L4" s="429"/>
      <c r="M4" s="1046"/>
      <c r="N4" s="429"/>
      <c r="O4" s="799"/>
    </row>
    <row r="5" spans="1:17" ht="16.5" thickBot="1">
      <c r="A5" s="1058" t="s">
        <v>3</v>
      </c>
      <c r="B5" s="319">
        <f>PGL_Supplies!X7/1000</f>
        <v>90.021000000000001</v>
      </c>
      <c r="C5" s="1047" t="s">
        <v>9</v>
      </c>
      <c r="D5" s="344"/>
      <c r="E5" s="1197" t="s">
        <v>430</v>
      </c>
      <c r="F5" s="964">
        <f>F3+F4</f>
        <v>15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173</v>
      </c>
      <c r="L5" s="597"/>
      <c r="M5" s="264"/>
      <c r="N5" s="597"/>
      <c r="O5" s="262"/>
    </row>
    <row r="6" spans="1:17" ht="16.5" thickBot="1">
      <c r="A6" s="554" t="s">
        <v>421</v>
      </c>
      <c r="B6" s="1050">
        <f>+B5-B3+B2-B4</f>
        <v>90.820999999999998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5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3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6"/>
      <c r="I9" s="119" t="s">
        <v>695</v>
      </c>
      <c r="J9" s="1044"/>
      <c r="K9" s="1264">
        <f>+B6</f>
        <v>90.820999999999998</v>
      </c>
      <c r="L9" s="1044"/>
      <c r="M9" s="1046"/>
      <c r="N9" s="429"/>
      <c r="O9" s="280" t="s">
        <v>9</v>
      </c>
    </row>
    <row r="10" spans="1:17" ht="15.75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3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-159.62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160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205.83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15</v>
      </c>
      <c r="L14" s="597"/>
      <c r="M14" s="264" t="s">
        <v>9</v>
      </c>
      <c r="N14" s="597"/>
      <c r="O14" s="262"/>
    </row>
    <row r="15" spans="1:17" ht="16.5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0</v>
      </c>
      <c r="L15" s="597"/>
      <c r="M15" s="264" t="s">
        <v>9</v>
      </c>
      <c r="N15" s="597"/>
      <c r="O15" s="262"/>
    </row>
    <row r="16" spans="1:17" ht="16.5" thickBot="1">
      <c r="A16" s="420" t="s">
        <v>428</v>
      </c>
      <c r="B16" s="319">
        <f>PGL_Supplies!G7/1000</f>
        <v>1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0.62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-5.0599999999999996</v>
      </c>
      <c r="L17" s="597"/>
      <c r="M17" s="264"/>
      <c r="N17" s="597"/>
      <c r="O17" s="262"/>
    </row>
    <row r="18" spans="1:15" ht="16.5" thickBot="1">
      <c r="A18" s="420" t="s">
        <v>692</v>
      </c>
      <c r="B18" s="319">
        <f>PGL_Requirements!P7/1000</f>
        <v>2.4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0</v>
      </c>
      <c r="L18" s="1044"/>
      <c r="M18" s="221"/>
      <c r="N18" s="1044"/>
      <c r="O18" s="799"/>
    </row>
    <row r="19" spans="1:15" ht="16.5" thickBot="1">
      <c r="A19" s="513" t="s">
        <v>430</v>
      </c>
      <c r="B19" s="1208">
        <f>-B13+B14+B16-B17-B15+B20+B21</f>
        <v>-159.62</v>
      </c>
      <c r="C19" s="515"/>
      <c r="D19" s="527"/>
      <c r="E19" s="1146" t="s">
        <v>743</v>
      </c>
      <c r="F19" s="1211">
        <f>PGL_Requirements!J7/1000</f>
        <v>0</v>
      </c>
      <c r="G19" s="1033" t="s">
        <v>9</v>
      </c>
      <c r="H19" s="1147" t="s">
        <v>9</v>
      </c>
      <c r="I19" t="s">
        <v>536</v>
      </c>
      <c r="J19" s="1214"/>
      <c r="K19" s="1268">
        <f>-F24</f>
        <v>0</v>
      </c>
      <c r="L19" s="1214"/>
      <c r="M19" s="157"/>
      <c r="N19" s="1214"/>
      <c r="O19" s="1213"/>
    </row>
    <row r="20" spans="1:15" ht="16.5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146.971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75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26.028999999999996</v>
      </c>
      <c r="L23" s="261"/>
      <c r="M23" s="609" t="s">
        <v>9</v>
      </c>
      <c r="N23" s="261"/>
      <c r="O23" s="291"/>
    </row>
    <row r="24" spans="1:15" ht="16.5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0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5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2.4</v>
      </c>
      <c r="L25" s="951"/>
      <c r="M25" s="1225"/>
      <c r="N25" s="952" t="s">
        <v>9</v>
      </c>
      <c r="O25" s="255"/>
    </row>
    <row r="26" spans="1:15" ht="17.25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28.428999999999995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5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8.4</v>
      </c>
      <c r="L28" s="302"/>
      <c r="M28" s="946" t="s">
        <v>9</v>
      </c>
      <c r="N28" s="509"/>
      <c r="O28" s="957" t="s">
        <v>9</v>
      </c>
    </row>
    <row r="29" spans="1:15" ht="16.5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75" thickBot="1">
      <c r="A30" s="365" t="s">
        <v>458</v>
      </c>
      <c r="B30" s="383">
        <f>PGL_Requirements!D7/1000</f>
        <v>6.7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-36.831000000000003</v>
      </c>
      <c r="L30" s="1161"/>
      <c r="M30" s="1061">
        <f>-PGL_Supplies!AB7/1000</f>
        <v>-36.831000000000003</v>
      </c>
      <c r="N30" s="1162"/>
      <c r="O30" s="1222">
        <f>-PGL_Supplies!AB7/1000</f>
        <v>-36.831000000000003</v>
      </c>
    </row>
    <row r="31" spans="1:15" ht="16.5" thickBot="1">
      <c r="A31" s="365" t="s">
        <v>459</v>
      </c>
      <c r="B31" s="966">
        <f>PGL_Supplies!D7/1000</f>
        <v>0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5" thickBot="1">
      <c r="A32" s="420" t="s">
        <v>104</v>
      </c>
      <c r="B32" s="966">
        <f>PGL_Supplies!AA7/1000+NSG_Supplies!M7/1000</f>
        <v>192.53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75" thickBot="1">
      <c r="A33" s="1117" t="s">
        <v>587</v>
      </c>
      <c r="B33" s="966">
        <f>PGL_Supplies!S7/1000</f>
        <v>40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5" thickBot="1">
      <c r="A34" s="1173" t="s">
        <v>650</v>
      </c>
      <c r="B34" s="1198">
        <f>-B30+B31+B32+B33*0.5</f>
        <v>205.83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807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205.83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0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806</v>
      </c>
      <c r="B38" s="1179">
        <f>PGL_Requirements!J7/1000</f>
        <v>0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5" thickBot="1">
      <c r="A39" s="1119" t="s">
        <v>2</v>
      </c>
      <c r="B39" s="1221">
        <f>B35+B36+B37+B38</f>
        <v>205.83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808</v>
      </c>
      <c r="M39" s="1089"/>
      <c r="N39" s="1254"/>
      <c r="O39" s="1235"/>
    </row>
    <row r="40" spans="1:15" ht="17.25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SUN</v>
      </c>
      <c r="G1" s="1224">
        <f>Weather_Input!A5</f>
        <v>37087</v>
      </c>
      <c r="H1" s="584" t="s">
        <v>244</v>
      </c>
      <c r="I1" s="588"/>
    </row>
    <row r="2" spans="1:9" ht="20.25">
      <c r="A2" s="634" t="s">
        <v>9</v>
      </c>
      <c r="B2" s="780" t="s">
        <v>529</v>
      </c>
      <c r="C2" s="935">
        <v>77.2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0.25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88</v>
      </c>
      <c r="C4" s="750">
        <f>Weather_Input!C5</f>
        <v>63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29.5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27.32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2.1799999999999997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3.25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4" thickBot="1">
      <c r="A19" s="695" t="s">
        <v>406</v>
      </c>
      <c r="B19" s="696"/>
      <c r="C19" s="697">
        <f>C7+C12</f>
        <v>27.32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25">
      <c r="A24" s="701" t="s">
        <v>415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25">
      <c r="A25" s="701" t="s">
        <v>183</v>
      </c>
      <c r="B25" s="709"/>
      <c r="C25" s="703">
        <f>-NSG_Supplies!Q7/1000</f>
        <v>-27.323</v>
      </c>
      <c r="D25" s="710"/>
      <c r="E25" s="703">
        <f>-NSG_Supplies!Q7/1000</f>
        <v>-27.323</v>
      </c>
      <c r="F25" s="710"/>
      <c r="G25" s="703">
        <f>-NSG_Supplies!Q7/1000</f>
        <v>-27.323</v>
      </c>
      <c r="H25" s="709"/>
      <c r="I25" s="766">
        <f>-NSG_Supplies!Q7/1000</f>
        <v>-27.323</v>
      </c>
    </row>
    <row r="26" spans="1:9" ht="20.25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0.25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25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25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25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25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25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25">
      <c r="A40" s="701" t="s">
        <v>484</v>
      </c>
      <c r="B40" s="808">
        <f>NSG_Requirements!J7/1000</f>
        <v>9.82</v>
      </c>
      <c r="C40" s="710"/>
      <c r="D40" s="728"/>
      <c r="E40" s="711"/>
      <c r="F40" s="635"/>
      <c r="G40" s="707"/>
      <c r="H40" s="707"/>
      <c r="I40" s="726"/>
    </row>
    <row r="41" spans="1:9" ht="20.25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25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25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" thickBot="1">
      <c r="A45" s="733" t="s">
        <v>482</v>
      </c>
      <c r="B45" s="810">
        <f>B44+B41-B40</f>
        <v>2.1799999999999997</v>
      </c>
      <c r="C45" s="741"/>
      <c r="D45" s="740"/>
      <c r="E45" s="742"/>
      <c r="F45" s="635"/>
      <c r="G45" s="707"/>
      <c r="H45" s="707"/>
      <c r="I45" s="726"/>
    </row>
    <row r="46" spans="1:9" ht="2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25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25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25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25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37087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88</v>
      </c>
      <c r="C5" s="261">
        <f>Weather_Input!C5</f>
        <v>63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173</v>
      </c>
      <c r="C8" s="269">
        <f>NSG_Deliveries!C5/1000</f>
        <v>29.5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110.348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-69.978999999999999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5.0599999999999996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29.5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2.4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29.5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0.62</v>
      </c>
      <c r="C27" s="305">
        <f>NSG_Requirements!P7/1000</f>
        <v>0</v>
      </c>
      <c r="D27" s="305">
        <f>PGL_Requirements!Q7/1000</f>
        <v>0.62</v>
      </c>
      <c r="E27" s="305">
        <f>NSG_Requirements!P7/1000</f>
        <v>0</v>
      </c>
      <c r="F27" s="305">
        <f>PGL_Requirements!Q7/1000</f>
        <v>0.62</v>
      </c>
      <c r="G27" s="305">
        <f>NSG_Requirements!P7/1000</f>
        <v>0</v>
      </c>
      <c r="H27" s="306">
        <f>+B27</f>
        <v>0.62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-36.831000000000003</v>
      </c>
      <c r="C32" s="310">
        <f>-NSG_Supplies!Q7/1000</f>
        <v>-27.323</v>
      </c>
      <c r="D32" s="310">
        <f>B32</f>
        <v>-36.831000000000003</v>
      </c>
      <c r="E32" s="310">
        <f>C32</f>
        <v>-27.323</v>
      </c>
      <c r="F32" s="310">
        <f>B32</f>
        <v>-36.831000000000003</v>
      </c>
      <c r="G32" s="310">
        <f>C32</f>
        <v>-27.323</v>
      </c>
      <c r="H32" s="315">
        <f>B32</f>
        <v>-36.831000000000003</v>
      </c>
      <c r="I32" s="316">
        <f>C32</f>
        <v>-27.323</v>
      </c>
    </row>
    <row r="33" spans="1:9" ht="17.100000000000001" customHeight="1">
      <c r="A33" s="314" t="s">
        <v>371</v>
      </c>
      <c r="B33" s="310">
        <f>-PGL_Supplies!W7/1000</f>
        <v>-0.8</v>
      </c>
      <c r="C33" s="310">
        <f>-NSG_Supplies!R7/1000</f>
        <v>-15.74</v>
      </c>
      <c r="D33" s="310">
        <f>B33</f>
        <v>-0.8</v>
      </c>
      <c r="E33" s="310">
        <f>C33</f>
        <v>-15.74</v>
      </c>
      <c r="F33" s="310">
        <f>B33</f>
        <v>-0.8</v>
      </c>
      <c r="G33" s="310">
        <f>C33</f>
        <v>-15.74</v>
      </c>
      <c r="H33" s="315">
        <f>B33</f>
        <v>-0.8</v>
      </c>
      <c r="I33" s="316">
        <f>C33</f>
        <v>-15.74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8.4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160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2.4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2.4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110.348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110.348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90.021000000000001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160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3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-69.978999999999999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SUN</v>
      </c>
      <c r="H73" s="401">
        <f>Weather_Input!A5</f>
        <v>37087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110.348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90.021000000000001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5.0599999999999996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-0.8</v>
      </c>
      <c r="C123" s="310">
        <f>-NSG_Supplies!R7/1000</f>
        <v>-15.74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8.4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75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5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75" thickBot="1">
      <c r="A140" s="420" t="s">
        <v>371</v>
      </c>
      <c r="B140" s="319">
        <f>PGL_Supplies!U7/1000</f>
        <v>110.348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5" thickBot="1">
      <c r="A141" s="554" t="s">
        <v>421</v>
      </c>
      <c r="B141" s="556">
        <f>-B135+B136+B137-B138+B139+B140</f>
        <v>110.348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160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75" thickBot="1">
      <c r="A146" s="420" t="s">
        <v>428</v>
      </c>
      <c r="B146" s="319">
        <f>PGL_Supplies!G7/1000</f>
        <v>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75" thickBot="1">
      <c r="A148" s="420" t="s">
        <v>429</v>
      </c>
      <c r="B148" s="319">
        <f>PGL_Requirements!P7/1000</f>
        <v>2.4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430</v>
      </c>
      <c r="B149" s="514">
        <f>B144+B146</f>
        <v>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3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75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75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3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371</v>
      </c>
      <c r="B160" s="606">
        <f>PGL_Supplies!X7/1000</f>
        <v>90.021000000000001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5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5" thickBot="1">
      <c r="A162" s="394" t="s">
        <v>430</v>
      </c>
      <c r="B162" s="607">
        <f>B154+B156+B158+B159+B160-B153-B155-B157-B161</f>
        <v>90.021000000000001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37088.178187962963</v>
      </c>
      <c r="F22" s="161" t="s">
        <v>257</v>
      </c>
      <c r="G22" s="188">
        <f ca="1">NOW()</f>
        <v>37088.178187962963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37087</v>
      </c>
      <c r="C5" s="15"/>
      <c r="D5" s="22" t="s">
        <v>275</v>
      </c>
      <c r="E5" s="23">
        <f>Weather_Input!B5</f>
        <v>88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63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75.5</v>
      </c>
      <c r="F7" s="24" t="s">
        <v>281</v>
      </c>
      <c r="G7" s="25">
        <f>Weather_Input!G5</f>
        <v>93</v>
      </c>
      <c r="H7" s="26" t="s">
        <v>281</v>
      </c>
      <c r="I7" s="120">
        <f ca="1">G7-(VLOOKUP(B5,DD_Normal_Data,CELL("Col",D4),FALSE))</f>
        <v>-6329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MOSTLY SUNNY.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37088</v>
      </c>
      <c r="C10" s="15"/>
      <c r="D10" s="150" t="s">
        <v>275</v>
      </c>
      <c r="E10" s="23">
        <f>Weather_Input!B6</f>
        <v>89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68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78.5</v>
      </c>
      <c r="F12" s="24" t="s">
        <v>281</v>
      </c>
      <c r="G12" s="25">
        <f>IF(AND(DAY(B10)=1,MONTH(B10)=8),G10,G7+G10)</f>
        <v>93</v>
      </c>
      <c r="H12" s="26" t="s">
        <v>281</v>
      </c>
      <c r="I12" s="27">
        <f ca="1">G12-(VLOOKUP(B10,DD_Normal_Data,CELL("Col",D9),FALSE))</f>
        <v>-6329</v>
      </c>
    </row>
    <row r="13" spans="1:109" ht="15">
      <c r="A13" s="18"/>
      <c r="B13" s="21"/>
      <c r="C13" s="15"/>
      <c r="D13" s="32" t="str">
        <f>IF(Weather_Input!I6=""," ",Weather_Input!I6)</f>
        <v xml:space="preserve">  PARTLY CLOUDY.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37089</v>
      </c>
      <c r="C15" s="15"/>
      <c r="D15" s="22" t="s">
        <v>275</v>
      </c>
      <c r="E15" s="23">
        <f>Weather_Input!B7</f>
        <v>90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69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79.5</v>
      </c>
      <c r="F17" s="24" t="s">
        <v>281</v>
      </c>
      <c r="G17" s="25">
        <f>IF(AND(DAY(B15)=1,MONTH(B15)=8),G15,G12+G15)</f>
        <v>93</v>
      </c>
      <c r="H17" s="26" t="s">
        <v>281</v>
      </c>
      <c r="I17" s="27">
        <f ca="1">G17-(VLOOKUP(B15,DD_Normal_Data,CELL("Col",D14),FALSE))</f>
        <v>-6329</v>
      </c>
    </row>
    <row r="18" spans="1:109" ht="15">
      <c r="A18" s="18"/>
      <c r="B18" s="20"/>
      <c r="C18" s="15"/>
      <c r="D18" s="32" t="str">
        <f>IF(Weather_Input!I7=""," ",Weather_Input!I7)</f>
        <v xml:space="preserve">  CHANCE OF T-STORM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37090</v>
      </c>
      <c r="C20" s="15"/>
      <c r="D20" s="22" t="s">
        <v>275</v>
      </c>
      <c r="E20" s="23">
        <f>Weather_Input!B8</f>
        <v>90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70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80</v>
      </c>
      <c r="F22" s="24" t="s">
        <v>281</v>
      </c>
      <c r="G22" s="25">
        <f>IF(AND(DAY(B20)=1,MONTH(B20)=8),G20,G17+G20)</f>
        <v>93</v>
      </c>
      <c r="H22" s="26" t="s">
        <v>281</v>
      </c>
      <c r="I22" s="27">
        <f ca="1">G22-(VLOOKUP(B20,DD_Normal_Data,CELL("Col",D19),FALSE))</f>
        <v>-6329</v>
      </c>
    </row>
    <row r="23" spans="1:109" ht="15">
      <c r="A23" s="18"/>
      <c r="B23" s="21"/>
      <c r="C23" s="15"/>
      <c r="D23" s="32" t="str">
        <f>IF(Weather_Input!I8=""," ",Weather_Input!I8)</f>
        <v xml:space="preserve">  CHANCE OF T-STORM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37091</v>
      </c>
      <c r="C25" s="15"/>
      <c r="D25" s="22" t="s">
        <v>275</v>
      </c>
      <c r="E25" s="23">
        <f>Weather_Input!B9</f>
        <v>91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70</v>
      </c>
      <c r="F26" s="24" t="s">
        <v>278</v>
      </c>
      <c r="G26" s="25">
        <f>IF(DAY(B25)=1,G25,G21+G25)</f>
        <v>5</v>
      </c>
      <c r="H26" s="30" t="s">
        <v>279</v>
      </c>
      <c r="I26" s="27">
        <f ca="1">G26-(VLOOKUP(B25,DD_Normal_Data,CELL("Col",C27),FALSE))</f>
        <v>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80.5</v>
      </c>
      <c r="F27" s="24" t="s">
        <v>281</v>
      </c>
      <c r="G27" s="25">
        <f>IF(AND(DAY(B25)=1,MONTH(B25)=8),G25,G22+G25)</f>
        <v>93</v>
      </c>
      <c r="H27" s="26" t="s">
        <v>281</v>
      </c>
      <c r="I27" s="27">
        <f ca="1">G27-(VLOOKUP(B25,DD_Normal_Data,CELL("Col",D24),FALSE))</f>
        <v>-6329</v>
      </c>
    </row>
    <row r="28" spans="1:109" ht="15">
      <c r="A28" s="18"/>
      <c r="B28" s="20"/>
      <c r="C28" s="15"/>
      <c r="D28" s="32" t="str">
        <f>IF(Weather_Input!I9=""," ",Weather_Input!I9)</f>
        <v xml:space="preserve">  CHANCE OF T-STORM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37092</v>
      </c>
      <c r="C30" s="15"/>
      <c r="D30" s="22" t="s">
        <v>275</v>
      </c>
      <c r="E30" s="23">
        <f>Weather_Input!B10</f>
        <v>91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70</v>
      </c>
      <c r="F31" s="24" t="s">
        <v>278</v>
      </c>
      <c r="G31" s="25">
        <f>IF(DAY(B30)=1,G30,G26+G30)</f>
        <v>5</v>
      </c>
      <c r="H31" s="30" t="s">
        <v>279</v>
      </c>
      <c r="I31" s="27">
        <f ca="1">G31-(VLOOKUP(B30,DD_Normal_Data,CELL("Col",C32),FALSE))</f>
        <v>5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80.5</v>
      </c>
      <c r="F32" s="24" t="s">
        <v>281</v>
      </c>
      <c r="G32" s="25">
        <f>IF(AND(DAY(B30)=1,MONTH(B30)=8),G30,G27+G30)</f>
        <v>93</v>
      </c>
      <c r="H32" s="26" t="s">
        <v>281</v>
      </c>
      <c r="I32" s="27">
        <f ca="1">G32-(VLOOKUP(B30,DD_Normal_Data,CELL("Col",D29),FALSE))</f>
        <v>-6329</v>
      </c>
    </row>
    <row r="33" spans="1:9" ht="15">
      <c r="A33" s="15"/>
      <c r="B33" s="34"/>
      <c r="C33" s="15"/>
      <c r="D33" s="32" t="str">
        <f>IF(Weather_Input!I10=""," ",Weather_Input!I10)</f>
        <v xml:space="preserve">  CHANCE OF T-STORM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37087</v>
      </c>
      <c r="C36" s="89">
        <f>B10</f>
        <v>37088</v>
      </c>
      <c r="D36" s="89">
        <f>B15</f>
        <v>37089</v>
      </c>
      <c r="E36" s="89">
        <f xml:space="preserve">       B20</f>
        <v>37090</v>
      </c>
      <c r="F36" s="89">
        <f>B25</f>
        <v>37091</v>
      </c>
      <c r="G36" s="89">
        <f>B30</f>
        <v>37092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173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195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185</v>
      </c>
      <c r="H37" s="14"/>
      <c r="I37" s="15"/>
    </row>
    <row r="38" spans="1:9" ht="15">
      <c r="A38" s="15" t="s">
        <v>286</v>
      </c>
      <c r="B38" s="41">
        <f>PGL_6_Day_Report!D25</f>
        <v>359.37999999999994</v>
      </c>
      <c r="C38" s="41">
        <f>PGL_6_Day_Report!E25</f>
        <v>357.8</v>
      </c>
      <c r="D38" s="41">
        <f>PGL_6_Day_Report!F25</f>
        <v>332.8</v>
      </c>
      <c r="E38" s="41">
        <f>PGL_6_Day_Report!G25</f>
        <v>332.8</v>
      </c>
      <c r="F38" s="41">
        <f>PGL_6_Day_Report!H25</f>
        <v>332.8</v>
      </c>
      <c r="G38" s="41">
        <f>PGL_6_Day_Report!I25</f>
        <v>322.8</v>
      </c>
      <c r="H38" s="14"/>
      <c r="I38" s="15"/>
    </row>
    <row r="39" spans="1:9" ht="15">
      <c r="A39" s="42" t="s">
        <v>104</v>
      </c>
      <c r="B39" s="41">
        <f>SUM(PGL_Supplies!Y7:AD7)/1000</f>
        <v>232.56100000000001</v>
      </c>
      <c r="C39" s="41">
        <f>SUM(PGL_Supplies!Y8:AD8)/1000</f>
        <v>232.56100000000001</v>
      </c>
      <c r="D39" s="41">
        <f>SUM(PGL_Supplies!Y9:AD9)/1000</f>
        <v>232.56100000000001</v>
      </c>
      <c r="E39" s="41">
        <f>SUM(PGL_Supplies!Y10:AD10)/1000</f>
        <v>232.56100000000001</v>
      </c>
      <c r="F39" s="41">
        <f>SUM(PGL_Supplies!Y11:AD11)/1000</f>
        <v>232.56100000000001</v>
      </c>
      <c r="G39" s="41">
        <f>SUM(PGL_Supplies!Y12:AD12)/1000</f>
        <v>232.56100000000001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0.82</v>
      </c>
      <c r="C41" s="41">
        <f>SUM(PGL_Requirements!Q7:T7)/1000</f>
        <v>0.82</v>
      </c>
      <c r="D41" s="41">
        <f>SUM(PGL_Requirements!Q7:T7)/1000</f>
        <v>0.82</v>
      </c>
      <c r="E41" s="41">
        <f>SUM(PGL_Requirements!Q7:T7)/1000</f>
        <v>0.82</v>
      </c>
      <c r="F41" s="41">
        <f>SUM(PGL_Requirements!Q7:T7)/1000</f>
        <v>0.82</v>
      </c>
      <c r="G41" s="41">
        <f>SUM(PGL_Requirements!Q7:T7)/1000</f>
        <v>0.82</v>
      </c>
      <c r="H41" s="14"/>
      <c r="I41" s="15"/>
    </row>
    <row r="42" spans="1:9" ht="15">
      <c r="A42" s="15" t="s">
        <v>127</v>
      </c>
      <c r="B42" s="41">
        <f>PGL_Supplies!U7/1000</f>
        <v>110.348</v>
      </c>
      <c r="C42" s="41">
        <f>PGL_Supplies!U8/1000</f>
        <v>110.348</v>
      </c>
      <c r="D42" s="41">
        <f>PGL_Supplies!U9/1000</f>
        <v>110.348</v>
      </c>
      <c r="E42" s="41">
        <f>PGL_Supplies!U10/1000</f>
        <v>110.348</v>
      </c>
      <c r="F42" s="41">
        <f>PGL_Supplies!U11/1000</f>
        <v>110.348</v>
      </c>
      <c r="G42" s="41">
        <f>PGL_Supplies!U12/1000</f>
        <v>110.348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37087</v>
      </c>
      <c r="C44" s="89">
        <f t="shared" si="0"/>
        <v>37088</v>
      </c>
      <c r="D44" s="89">
        <f t="shared" si="0"/>
        <v>37089</v>
      </c>
      <c r="E44" s="89">
        <f t="shared" si="0"/>
        <v>37090</v>
      </c>
      <c r="F44" s="89">
        <f t="shared" si="0"/>
        <v>37091</v>
      </c>
      <c r="G44" s="89">
        <f t="shared" si="0"/>
        <v>37092</v>
      </c>
      <c r="H44" s="14"/>
      <c r="I44" s="15"/>
    </row>
    <row r="45" spans="1:9" ht="15">
      <c r="A45" s="15" t="s">
        <v>54</v>
      </c>
      <c r="B45" s="41">
        <f ca="1">NSG_6_Day_Report!D6</f>
        <v>29.5</v>
      </c>
      <c r="C45" s="41">
        <f ca="1">NSG_6_Day_Report!E6</f>
        <v>33</v>
      </c>
      <c r="D45" s="41">
        <f ca="1">NSG_6_Day_Report!F6</f>
        <v>35</v>
      </c>
      <c r="E45" s="41">
        <f ca="1">NSG_6_Day_Report!G6</f>
        <v>35</v>
      </c>
      <c r="F45" s="41">
        <f ca="1">NSG_6_Day_Report!H6</f>
        <v>35</v>
      </c>
      <c r="G45" s="41">
        <f ca="1">NSG_6_Day_Report!I6</f>
        <v>33</v>
      </c>
      <c r="H45" s="14"/>
      <c r="I45" s="15"/>
    </row>
    <row r="46" spans="1:9" ht="15">
      <c r="A46" s="42" t="s">
        <v>286</v>
      </c>
      <c r="B46" s="41">
        <f ca="1">NSG_6_Day_Report!D11</f>
        <v>39.32</v>
      </c>
      <c r="C46" s="41">
        <f ca="1">NSG_6_Day_Report!E11</f>
        <v>33</v>
      </c>
      <c r="D46" s="41">
        <f ca="1">NSG_6_Day_Report!F11</f>
        <v>35</v>
      </c>
      <c r="E46" s="41">
        <f ca="1">NSG_6_Day_Report!G11</f>
        <v>35</v>
      </c>
      <c r="F46" s="41">
        <f ca="1">NSG_6_Day_Report!H11</f>
        <v>35</v>
      </c>
      <c r="G46" s="41">
        <f ca="1">NSG_6_Day_Report!I11</f>
        <v>33</v>
      </c>
      <c r="H46" s="14"/>
      <c r="I46" s="15"/>
    </row>
    <row r="47" spans="1:9" ht="15">
      <c r="A47" s="42" t="s">
        <v>104</v>
      </c>
      <c r="B47" s="41">
        <f>SUM(NSG_Supplies!O7:Q7)/1000</f>
        <v>39.323</v>
      </c>
      <c r="C47" s="41">
        <f>SUM(NSG_Supplies!O8:Q8)/1000</f>
        <v>39.323</v>
      </c>
      <c r="D47" s="41">
        <f>SUM(NSG_Supplies!O9:Q9)/1000</f>
        <v>39.323</v>
      </c>
      <c r="E47" s="41">
        <f>SUM(NSG_Supplies!O10:Q10)/1000</f>
        <v>39.323</v>
      </c>
      <c r="F47" s="41">
        <f>SUM(NSG_Supplies!O11:Q11)/1000</f>
        <v>39.323</v>
      </c>
      <c r="G47" s="41">
        <f>SUM(NSG_Supplies!O12:Q12)/1000</f>
        <v>39.323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15.74</v>
      </c>
      <c r="C50" s="41">
        <f>NSG_Supplies!R8/1000</f>
        <v>15.74</v>
      </c>
      <c r="D50" s="41">
        <f>NSG_Supplies!R9/1000</f>
        <v>15.74</v>
      </c>
      <c r="E50" s="41">
        <f>NSG_Supplies!R10/1000</f>
        <v>15.74</v>
      </c>
      <c r="F50" s="41">
        <f>NSG_Supplies!R11/1000</f>
        <v>15.74</v>
      </c>
      <c r="G50" s="41">
        <f>NSG_Supplies!R12/1000</f>
        <v>15.74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37087</v>
      </c>
      <c r="C52" s="89">
        <f t="shared" si="1"/>
        <v>37088</v>
      </c>
      <c r="D52" s="89">
        <f t="shared" si="1"/>
        <v>37089</v>
      </c>
      <c r="E52" s="89">
        <f t="shared" si="1"/>
        <v>37090</v>
      </c>
      <c r="F52" s="89">
        <f t="shared" si="1"/>
        <v>37091</v>
      </c>
      <c r="G52" s="89">
        <f t="shared" si="1"/>
        <v>37092</v>
      </c>
      <c r="H52" s="14"/>
      <c r="I52" s="15"/>
    </row>
    <row r="53" spans="1:9" ht="15">
      <c r="A53" s="92" t="s">
        <v>290</v>
      </c>
      <c r="B53" s="41">
        <f>PGL_Requirements!O7/1000</f>
        <v>160</v>
      </c>
      <c r="C53" s="41">
        <f>PGL_Requirements!O8/1000</f>
        <v>132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64"/>
    </row>
    <row r="3" spans="1:8" ht="15.75" thickBot="1">
      <c r="A3" s="96" t="s">
        <v>296</v>
      </c>
    </row>
    <row r="4" spans="1:8">
      <c r="A4" s="97"/>
      <c r="B4" s="1065" t="str">
        <f>Six_Day_Summary!A10</f>
        <v>Monday</v>
      </c>
      <c r="C4" s="1066" t="str">
        <f>Six_Day_Summary!A15</f>
        <v>Tuesday</v>
      </c>
      <c r="D4" s="1066" t="str">
        <f>Six_Day_Summary!A20</f>
        <v>Wednesday</v>
      </c>
      <c r="E4" s="1066" t="str">
        <f>Six_Day_Summary!A25</f>
        <v>Thursday</v>
      </c>
      <c r="F4" s="1067" t="str">
        <f>Six_Day_Summary!A30</f>
        <v>Friday</v>
      </c>
      <c r="G4" s="98"/>
    </row>
    <row r="5" spans="1:8">
      <c r="A5" s="101" t="s">
        <v>297</v>
      </c>
      <c r="B5" s="1068">
        <f>Weather_Input!A6</f>
        <v>37088</v>
      </c>
      <c r="C5" s="1069">
        <f>Weather_Input!A7</f>
        <v>37089</v>
      </c>
      <c r="D5" s="1069">
        <f>Weather_Input!A8</f>
        <v>37090</v>
      </c>
      <c r="E5" s="1069">
        <f>Weather_Input!A9</f>
        <v>37091</v>
      </c>
      <c r="F5" s="1070">
        <f>Weather_Input!A10</f>
        <v>37092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36.831000000000003</v>
      </c>
      <c r="C6" s="1071">
        <f>PGL_Supplies!AB9/1000+PGL_Supplies!K9/1000-PGL_Requirements!N9/1000+C15-PGL_Requirements!S9/1000</f>
        <v>36.831000000000003</v>
      </c>
      <c r="D6" s="1071">
        <f>PGL_Supplies!AB10/1000+PGL_Supplies!K10/1000-PGL_Requirements!N10/1000+D15-PGL_Requirements!S10/1000</f>
        <v>36.831000000000003</v>
      </c>
      <c r="E6" s="1071">
        <f>PGL_Supplies!AB11/1000+PGL_Supplies!K11/1000-PGL_Requirements!N11/1000+E15-PGL_Requirements!S11/1000</f>
        <v>36.831000000000003</v>
      </c>
      <c r="F6" s="1072">
        <f>PGL_Supplies!AB12/1000+PGL_Supplies!K12/1000-PGL_Requirements!N12/1000+F15-PGL_Requirements!S12/1000</f>
        <v>36.831000000000003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75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Monday</v>
      </c>
      <c r="C21" s="1081" t="str">
        <f t="shared" si="0"/>
        <v>Tuesday</v>
      </c>
      <c r="D21" s="1081" t="str">
        <f t="shared" si="0"/>
        <v>Wednesday</v>
      </c>
      <c r="E21" s="1081" t="str">
        <f t="shared" si="0"/>
        <v>Thursday</v>
      </c>
      <c r="F21" s="1082" t="str">
        <f t="shared" si="0"/>
        <v>Friday</v>
      </c>
      <c r="G21" s="98"/>
    </row>
    <row r="22" spans="1:7">
      <c r="A22" s="105" t="s">
        <v>297</v>
      </c>
      <c r="B22" s="1083">
        <f t="shared" si="0"/>
        <v>37088</v>
      </c>
      <c r="C22" s="1083">
        <f t="shared" si="0"/>
        <v>37089</v>
      </c>
      <c r="D22" s="1083">
        <f t="shared" si="0"/>
        <v>37090</v>
      </c>
      <c r="E22" s="1083">
        <f t="shared" si="0"/>
        <v>37091</v>
      </c>
      <c r="F22" s="1084">
        <f t="shared" si="0"/>
        <v>37092</v>
      </c>
      <c r="G22" s="98"/>
    </row>
    <row r="23" spans="1:7">
      <c r="A23" s="98" t="s">
        <v>298</v>
      </c>
      <c r="B23" s="1077">
        <f>NSG_Supplies!Q8/1000+NSG_Supplies!F8/1000-NSG_Requirements!H8/1000</f>
        <v>27.323</v>
      </c>
      <c r="C23" s="1077">
        <f>NSG_Supplies!Q9/1000+NSG_Supplies!F9/1000-NSG_Requirements!H9/1000</f>
        <v>27.323</v>
      </c>
      <c r="D23" s="1077">
        <f>NSG_Supplies!Q10/1000+NSG_Supplies!F10/1000-NSG_Requirements!H10/1000</f>
        <v>27.323</v>
      </c>
      <c r="E23" s="1077">
        <f>NSG_Supplies!Q12/1000+NSG_Supplies!F11/1000-NSG_Requirements!H11/1000</f>
        <v>27.323</v>
      </c>
      <c r="F23" s="1072">
        <f>NSG_Supplies!Q12/1000+NSG_Supplies!F12/1000-NSG_Requirements!H12/1000</f>
        <v>27.323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75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 t="s">
        <v>9</v>
      </c>
      <c r="B1" s="796" t="s">
        <v>359</v>
      </c>
      <c r="C1" s="892">
        <f>Weather_Input!A6</f>
        <v>37088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0</v>
      </c>
      <c r="E4" s="789"/>
      <c r="F4" s="169" t="s">
        <v>520</v>
      </c>
      <c r="G4" s="60"/>
      <c r="H4" s="151">
        <f>PGL_Requirements!O8/1000</f>
        <v>132</v>
      </c>
      <c r="I4" s="173">
        <f>AVERAGE(H4/1.025)</f>
        <v>128.78048780487805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12</v>
      </c>
      <c r="D5" s="433"/>
      <c r="E5" s="435">
        <f>AVERAGE(C5/24)</f>
        <v>0.5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5.5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40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192.53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90.021000000000001</v>
      </c>
      <c r="D11" s="778"/>
      <c r="E11" s="1056"/>
      <c r="F11" s="430" t="s">
        <v>356</v>
      </c>
      <c r="G11" s="442">
        <f>G8+G10</f>
        <v>232.53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90.021000000000001</v>
      </c>
      <c r="D14" s="433"/>
      <c r="E14" s="435">
        <f>AVERAGE(C14/24)</f>
        <v>3.7508750000000002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182.53</v>
      </c>
      <c r="H15" s="433" t="s">
        <v>9</v>
      </c>
      <c r="I15" s="435">
        <f>AVERAGE(G15/24)</f>
        <v>7.6054166666666667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50</v>
      </c>
      <c r="H16" s="443" t="s">
        <v>9</v>
      </c>
      <c r="I16" s="435">
        <f>AVERAGE(G16/24)</f>
        <v>2.0833333333333335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3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3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3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1" customWidth="1"/>
    <col min="2" max="2" width="8.109375" style="981" customWidth="1"/>
    <col min="3" max="3" width="7.88671875" style="981" customWidth="1"/>
    <col min="4" max="4" width="5.88671875" style="981" customWidth="1"/>
    <col min="5" max="5" width="4.44140625" style="981" customWidth="1"/>
    <col min="6" max="6" width="5.21875" style="981" customWidth="1"/>
    <col min="7" max="7" width="9" style="981" customWidth="1"/>
    <col min="8" max="11" width="8.88671875" style="981"/>
    <col min="12" max="12" width="14.88671875" style="981" customWidth="1"/>
    <col min="13" max="13" width="5.6640625" style="981" customWidth="1"/>
    <col min="14" max="16384" width="8.88671875" style="981"/>
  </cols>
  <sheetData>
    <row r="1" spans="1:22" ht="22.5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37088</v>
      </c>
      <c r="I1" s="914"/>
      <c r="J1" s="916"/>
      <c r="K1" s="916"/>
    </row>
    <row r="2" spans="1:22" ht="16.5" customHeight="1">
      <c r="A2" s="934" t="s">
        <v>641</v>
      </c>
      <c r="C2" s="982">
        <v>376</v>
      </c>
      <c r="F2" s="983">
        <v>378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12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5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5" customHeight="1">
      <c r="A9" s="936">
        <f>PGL_Supplies!H8/1000</f>
        <v>15</v>
      </c>
      <c r="H9" s="936">
        <f>NSG_Supplies!Q8/1000+NSG_Supplies!F8/1000-NSG_Requirements!H8/1000</f>
        <v>27.323</v>
      </c>
      <c r="I9" s="987"/>
      <c r="K9" s="914" t="s">
        <v>645</v>
      </c>
      <c r="L9" s="936">
        <f>NSG_Deliveries!C6/1000</f>
        <v>33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5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6.3230000000000004</v>
      </c>
      <c r="N11" s="917"/>
      <c r="O11" s="942"/>
      <c r="U11" s="916"/>
      <c r="V11" s="930"/>
    </row>
    <row r="12" spans="1:22" ht="14.45" customHeight="1">
      <c r="A12" s="914" t="s">
        <v>697</v>
      </c>
      <c r="H12" s="936"/>
      <c r="U12" s="916"/>
      <c r="V12" s="936"/>
    </row>
    <row r="13" spans="1:22" ht="14.45" customHeight="1">
      <c r="A13" s="985">
        <f>PGL_Supplies!X8/1000</f>
        <v>90.021000000000001</v>
      </c>
      <c r="H13" s="936"/>
      <c r="U13" s="916"/>
      <c r="V13" s="936"/>
    </row>
    <row r="14" spans="1:22" ht="14.45" customHeight="1">
      <c r="H14" s="936"/>
      <c r="U14" s="916"/>
      <c r="V14" s="936"/>
    </row>
    <row r="15" spans="1:22" ht="15.6" customHeight="1">
      <c r="B15" s="981" t="s">
        <v>9</v>
      </c>
      <c r="C15" s="988">
        <v>378</v>
      </c>
      <c r="F15" s="988">
        <v>378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489</v>
      </c>
      <c r="D18" s="990"/>
      <c r="E18" s="990"/>
      <c r="F18" s="983">
        <v>770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182.53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0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9.1999999999999993</v>
      </c>
      <c r="H26" s="917"/>
      <c r="I26" s="917"/>
      <c r="J26" s="917" t="s">
        <v>542</v>
      </c>
      <c r="K26" s="995">
        <f>PGL_Deliveries!C6/1000</f>
        <v>195</v>
      </c>
      <c r="L26" s="914" t="s">
        <v>645</v>
      </c>
      <c r="M26" s="936">
        <f>NSG_Deliveries!C6/1000</f>
        <v>33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106.55099999999999</v>
      </c>
      <c r="L28" s="917" t="s">
        <v>689</v>
      </c>
      <c r="M28" s="942">
        <f>SUM(J2+K17+K19+H11+H9-M26)</f>
        <v>6.3230000000000004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37087</v>
      </c>
      <c r="G29" s="936">
        <f>PGL_Requirements!G7/1000</f>
        <v>0</v>
      </c>
      <c r="H29" s="915"/>
      <c r="J29" s="917" t="s">
        <v>649</v>
      </c>
      <c r="K29" s="936">
        <f>PGL_Supplies!AB8/1000+PGL_Supplies!K8/1000-PGL_Requirements!N8/1000</f>
        <v>36.831000000000003</v>
      </c>
    </row>
    <row r="30" spans="1:17" ht="10.5" customHeight="1">
      <c r="A30" s="919"/>
      <c r="B30" s="936"/>
      <c r="C30" s="917"/>
      <c r="D30" s="936"/>
      <c r="F30" s="1041">
        <f>PGL_Requirements!A8</f>
        <v>37088</v>
      </c>
      <c r="G30" s="936">
        <f>PGL_Requirements!G8/1000</f>
        <v>50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-51.617999999999995</v>
      </c>
    </row>
    <row r="32" spans="1:17">
      <c r="A32" s="936">
        <f>PGL_Supplies!G8/1000</f>
        <v>1</v>
      </c>
      <c r="G32" s="936">
        <f>PGL_Requirements!O8/1000</f>
        <v>132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489</v>
      </c>
      <c r="F38" s="988">
        <v>749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288.55099999999999</v>
      </c>
      <c r="B40" s="930"/>
      <c r="C40" s="929"/>
      <c r="D40" s="930"/>
      <c r="E40" s="930"/>
      <c r="F40" s="998"/>
      <c r="G40" s="998">
        <f>SUM(G30:G35)</f>
        <v>182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106.55099999999999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378</v>
      </c>
      <c r="E45" s="1003"/>
      <c r="F45" s="1004">
        <v>6.7000000000000004E-2</v>
      </c>
      <c r="G45" s="1005">
        <f>(C45-D45)*F45</f>
        <v>4.8239999999999998</v>
      </c>
      <c r="H45" s="1005">
        <f>(D45-B45)*F45</f>
        <v>6.9010000000000007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377</v>
      </c>
      <c r="E47" s="1003"/>
      <c r="F47" s="1004">
        <v>0.14099999999999999</v>
      </c>
      <c r="G47" s="1005">
        <f>(C47-D47)*F47</f>
        <v>10.292999999999999</v>
      </c>
      <c r="H47" s="1005">
        <f>(D47-B47)*F47</f>
        <v>14.381999999999998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489</v>
      </c>
      <c r="E48" s="1003"/>
      <c r="F48" s="1004">
        <v>0.161</v>
      </c>
      <c r="G48" s="1005">
        <f>(C48-D48)*F48</f>
        <v>42.021000000000001</v>
      </c>
      <c r="H48" s="1005">
        <f>(D48-B48)*F48</f>
        <v>32.844000000000001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57.137999999999998</v>
      </c>
      <c r="H49" s="1005">
        <f>SUM(H45:H48)</f>
        <v>54.126999999999995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37087</v>
      </c>
      <c r="B5" s="11">
        <v>88</v>
      </c>
      <c r="C5" s="49">
        <v>63</v>
      </c>
      <c r="D5" s="49">
        <v>8</v>
      </c>
      <c r="E5" s="11" t="s">
        <v>809</v>
      </c>
      <c r="F5" s="11">
        <v>5</v>
      </c>
      <c r="G5" s="11">
        <v>93</v>
      </c>
      <c r="H5" s="11">
        <v>0</v>
      </c>
      <c r="I5" s="894" t="s">
        <v>811</v>
      </c>
      <c r="J5" s="894" t="s">
        <v>9</v>
      </c>
      <c r="K5" s="11">
        <v>3</v>
      </c>
      <c r="L5" s="11">
        <v>1</v>
      </c>
      <c r="N5" s="15" t="str">
        <f>I5&amp;" "&amp;I5</f>
        <v xml:space="preserve">  MOSTLY SUNNY.    MOSTLY SUNNY. </v>
      </c>
      <c r="AE5" s="15">
        <v>1</v>
      </c>
      <c r="AH5" s="15" t="s">
        <v>32</v>
      </c>
    </row>
    <row r="6" spans="1:34" ht="16.5" customHeight="1">
      <c r="A6" s="86">
        <f>A5+1</f>
        <v>37088</v>
      </c>
      <c r="B6" s="11">
        <v>89</v>
      </c>
      <c r="C6" s="49">
        <v>68</v>
      </c>
      <c r="D6" s="49">
        <v>9</v>
      </c>
      <c r="E6" s="11" t="s">
        <v>9</v>
      </c>
      <c r="F6" s="11" t="s">
        <v>9</v>
      </c>
      <c r="G6" s="11"/>
      <c r="H6" s="11" t="s">
        <v>9</v>
      </c>
      <c r="I6" s="894" t="s">
        <v>812</v>
      </c>
      <c r="J6" s="894" t="s">
        <v>9</v>
      </c>
      <c r="K6" s="11">
        <v>1</v>
      </c>
      <c r="L6" s="11" t="s">
        <v>590</v>
      </c>
      <c r="N6" s="15" t="str">
        <f>I6&amp;" "&amp;J6</f>
        <v xml:space="preserve">  PARTLY CLOUDY.  </v>
      </c>
      <c r="AE6" s="15">
        <v>1</v>
      </c>
      <c r="AH6" s="15" t="s">
        <v>33</v>
      </c>
    </row>
    <row r="7" spans="1:34" ht="16.5" customHeight="1">
      <c r="A7" s="86">
        <f>A6+1</f>
        <v>37089</v>
      </c>
      <c r="B7" s="11">
        <v>90</v>
      </c>
      <c r="C7" s="49">
        <v>69</v>
      </c>
      <c r="D7" s="49">
        <v>9</v>
      </c>
      <c r="E7" s="11" t="s">
        <v>9</v>
      </c>
      <c r="F7" s="11" t="s">
        <v>9</v>
      </c>
      <c r="G7" s="11"/>
      <c r="H7" s="11" t="s">
        <v>9</v>
      </c>
      <c r="I7" s="894" t="s">
        <v>810</v>
      </c>
      <c r="J7" s="894" t="s">
        <v>9</v>
      </c>
      <c r="K7" s="11">
        <v>3</v>
      </c>
      <c r="L7" s="11" t="s">
        <v>20</v>
      </c>
      <c r="N7" s="15" t="str">
        <f>I7&amp;" "&amp;J7</f>
        <v xml:space="preserve">  CHANCE OF T-STORM  </v>
      </c>
    </row>
    <row r="8" spans="1:34" ht="16.5" customHeight="1">
      <c r="A8" s="86">
        <f>A7+1</f>
        <v>37090</v>
      </c>
      <c r="B8" s="11">
        <v>90</v>
      </c>
      <c r="C8" s="49">
        <v>70</v>
      </c>
      <c r="D8" s="49">
        <v>9</v>
      </c>
      <c r="E8" s="11" t="s">
        <v>9</v>
      </c>
      <c r="F8" s="11" t="s">
        <v>9</v>
      </c>
      <c r="G8" s="11"/>
      <c r="H8" s="11" t="s">
        <v>9</v>
      </c>
      <c r="I8" s="894" t="s">
        <v>810</v>
      </c>
      <c r="J8" s="894" t="s">
        <v>9</v>
      </c>
      <c r="K8" s="11">
        <v>6</v>
      </c>
      <c r="L8" s="11"/>
      <c r="N8" s="15" t="str">
        <f>I8&amp;" "&amp;J8</f>
        <v xml:space="preserve">  CHANCE OF T-STORM  </v>
      </c>
    </row>
    <row r="9" spans="1:34" ht="16.5" customHeight="1">
      <c r="A9" s="86">
        <f>A8+1</f>
        <v>37091</v>
      </c>
      <c r="B9" s="11">
        <v>91</v>
      </c>
      <c r="C9" s="49">
        <v>70</v>
      </c>
      <c r="D9" s="49">
        <v>9</v>
      </c>
      <c r="E9" s="11" t="s">
        <v>9</v>
      </c>
      <c r="F9" s="11" t="s">
        <v>9</v>
      </c>
      <c r="G9" s="11"/>
      <c r="H9" s="11" t="s">
        <v>9</v>
      </c>
      <c r="I9" s="894" t="s">
        <v>810</v>
      </c>
      <c r="J9" s="894" t="s">
        <v>9</v>
      </c>
      <c r="K9" s="11">
        <v>6</v>
      </c>
      <c r="L9" s="11">
        <v>0</v>
      </c>
      <c r="M9" s="87"/>
      <c r="N9" s="15" t="str">
        <f>I9&amp;" "&amp;J9</f>
        <v xml:space="preserve">  CHANCE OF T-STORM  </v>
      </c>
    </row>
    <row r="10" spans="1:34" ht="16.5" customHeight="1">
      <c r="A10" s="86">
        <f>A9+1</f>
        <v>37092</v>
      </c>
      <c r="B10" s="11">
        <v>91</v>
      </c>
      <c r="C10" s="49">
        <v>70</v>
      </c>
      <c r="D10" s="49">
        <v>9</v>
      </c>
      <c r="E10" s="11" t="s">
        <v>9</v>
      </c>
      <c r="F10" s="11" t="s">
        <v>9</v>
      </c>
      <c r="G10" s="11"/>
      <c r="H10" s="11" t="s">
        <v>9</v>
      </c>
      <c r="I10" s="894" t="s">
        <v>810</v>
      </c>
      <c r="J10" s="894" t="s">
        <v>9</v>
      </c>
      <c r="K10" s="11">
        <v>6</v>
      </c>
      <c r="L10" s="11" t="s">
        <v>392</v>
      </c>
      <c r="N10" s="15" t="str">
        <f>I10&amp;" "&amp;J10</f>
        <v xml:space="preserve">  CHANCE OF T-STORM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542</v>
      </c>
      <c r="B2" s="183">
        <f>PGL_Deliveries!U5/1000</f>
        <v>4.4980000000000002</v>
      </c>
      <c r="C2" s="60"/>
      <c r="D2" s="118" t="s">
        <v>310</v>
      </c>
      <c r="E2" s="421">
        <f>Weather_Input!A5</f>
        <v>37087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0</v>
      </c>
      <c r="C6" s="166"/>
      <c r="D6" s="59" t="s">
        <v>545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5" thickBot="1">
      <c r="A7" s="178" t="s">
        <v>548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89.966999999999999</v>
      </c>
      <c r="C8" s="626"/>
      <c r="D8" s="115" t="s">
        <v>547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4.4980000000000002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17.167999999999999</v>
      </c>
      <c r="C11" s="63"/>
      <c r="D11" s="115" t="s">
        <v>549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196.71799999999999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-153.774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3.8140000000000001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0</v>
      </c>
      <c r="C17" s="166" t="s">
        <v>9</v>
      </c>
      <c r="D17" s="1086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5" thickBot="1">
      <c r="A18" s="177" t="s">
        <v>553</v>
      </c>
      <c r="B18" s="888">
        <f>SUM(B8:B17)-C16</f>
        <v>146.26499999999996</v>
      </c>
      <c r="C18" s="166"/>
      <c r="D18" s="176" t="s">
        <v>554</v>
      </c>
      <c r="E18" s="175">
        <f>SUM(E5:E17)</f>
        <v>4.4980000000000002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90.021000000000001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0.8</v>
      </c>
      <c r="C20" s="63"/>
      <c r="D20" s="115" t="s">
        <v>175</v>
      </c>
      <c r="E20" s="151">
        <f>PGL_Deliveries!AW5/1000+B40</f>
        <v>2.30985</v>
      </c>
      <c r="F20" s="168"/>
      <c r="H20"/>
      <c r="I20"/>
      <c r="J20"/>
      <c r="K20"/>
      <c r="L20"/>
      <c r="M20"/>
    </row>
    <row r="21" spans="1:13" ht="16.5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6.8078500000000002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90.820999999999998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8.9139999999999997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0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3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36.831000000000003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153.99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0.83599999999999997</v>
      </c>
      <c r="C39" s="63"/>
      <c r="D39" s="209" t="s">
        <v>210</v>
      </c>
      <c r="E39" s="208">
        <f>SUM(E22:E33)-SUM(F23:F38)-E29</f>
        <v>27.917000000000002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0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192.53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2.30985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694</v>
      </c>
      <c r="B44" s="165"/>
      <c r="C44" s="222">
        <f>PGL_Requirements!Q7/1000</f>
        <v>0.62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88</v>
      </c>
      <c r="C45" s="182"/>
      <c r="D45" s="60" t="s">
        <v>587</v>
      </c>
      <c r="E45" s="795">
        <f>PGL_Supplies!S7/1000</f>
        <v>40</v>
      </c>
      <c r="F45" s="168"/>
    </row>
    <row r="46" spans="1:13" ht="15">
      <c r="A46" s="169" t="s">
        <v>580</v>
      </c>
      <c r="B46" s="234">
        <f>Weather_Input!C5</f>
        <v>63</v>
      </c>
      <c r="C46" s="159"/>
      <c r="D46" s="72" t="s">
        <v>791</v>
      </c>
      <c r="E46" s="60"/>
      <c r="F46" s="173">
        <f>PGL_Deliveries!BE5/1000</f>
        <v>0</v>
      </c>
    </row>
    <row r="47" spans="1:13" ht="15">
      <c r="A47" s="170" t="s">
        <v>581</v>
      </c>
      <c r="B47" s="60" t="str">
        <f>Weather_Input!E5</f>
        <v>N/A</v>
      </c>
      <c r="C47" s="159"/>
      <c r="D47" s="769" t="s">
        <v>792</v>
      </c>
      <c r="E47" s="67"/>
      <c r="F47" s="1246">
        <f>PGL_Deliveries!BF5/1000</f>
        <v>0</v>
      </c>
    </row>
    <row r="48" spans="1:13" ht="15">
      <c r="A48" s="169" t="s">
        <v>582</v>
      </c>
      <c r="B48" s="223">
        <f>Weather_Input!D5</f>
        <v>8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1.0309999999999999</v>
      </c>
      <c r="C49" s="159"/>
      <c r="D49" s="60" t="s">
        <v>727</v>
      </c>
      <c r="E49" s="151">
        <f>PGL_Deliveries!AJ5/1000</f>
        <v>17.167999999999999</v>
      </c>
      <c r="F49" s="158"/>
    </row>
    <row r="50" spans="1:6" ht="15.75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0" t="s">
        <v>4</v>
      </c>
      <c r="B3" s="239">
        <f>NSG_Deliveries!H5/1000</f>
        <v>0</v>
      </c>
      <c r="C3" s="117"/>
      <c r="D3" s="226" t="s">
        <v>310</v>
      </c>
      <c r="E3" s="424">
        <f>Weather_Input!A5</f>
        <v>37087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0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10.875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27.323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0.99099999999999999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28.314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7" customWidth="1"/>
    <col min="3" max="3" width="20.66406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37087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37086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93021</v>
      </c>
      <c r="O6" s="201">
        <v>0</v>
      </c>
      <c r="P6" s="201">
        <v>54604613</v>
      </c>
      <c r="Q6" s="201">
        <v>15045098</v>
      </c>
      <c r="R6" s="201">
        <v>39559515</v>
      </c>
      <c r="S6" s="201">
        <v>0</v>
      </c>
    </row>
    <row r="7" spans="1:19">
      <c r="A7" s="4">
        <f>B1</f>
        <v>37087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93021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54697634</v>
      </c>
      <c r="Q7">
        <f>IF(O7&gt;0,Q6+O7,Q6)</f>
        <v>15045098</v>
      </c>
      <c r="R7">
        <f>IF(P7&gt;Q7,P7-Q7,0)</f>
        <v>39652536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37087</v>
      </c>
      <c r="B5" s="1">
        <f>(Weather_Input!B5+Weather_Input!C5)/2</f>
        <v>75.5</v>
      </c>
      <c r="C5" s="895">
        <v>173000</v>
      </c>
      <c r="D5" s="896">
        <v>0</v>
      </c>
      <c r="E5" s="896">
        <v>0</v>
      </c>
      <c r="F5" s="896">
        <v>0</v>
      </c>
      <c r="G5" s="896">
        <v>0</v>
      </c>
      <c r="H5" s="896">
        <v>0</v>
      </c>
      <c r="I5" s="896">
        <v>0</v>
      </c>
      <c r="J5" s="896">
        <v>0</v>
      </c>
      <c r="K5" s="896">
        <v>0</v>
      </c>
      <c r="L5" s="896">
        <v>0</v>
      </c>
      <c r="M5" s="896">
        <v>0</v>
      </c>
      <c r="N5" s="896">
        <v>0</v>
      </c>
      <c r="O5" s="896">
        <v>0</v>
      </c>
      <c r="P5" s="896">
        <v>0</v>
      </c>
      <c r="Q5" s="896">
        <v>0</v>
      </c>
      <c r="R5" s="896">
        <v>0</v>
      </c>
      <c r="S5" s="901">
        <v>4498</v>
      </c>
      <c r="T5" s="1085">
        <v>0</v>
      </c>
      <c r="U5" s="895">
        <f>SUM(D5:S5)-T5</f>
        <v>4498</v>
      </c>
      <c r="V5" s="895">
        <v>89967</v>
      </c>
      <c r="W5" s="11">
        <v>0</v>
      </c>
      <c r="X5" s="11">
        <v>0</v>
      </c>
      <c r="Y5" s="11">
        <v>0</v>
      </c>
      <c r="Z5" s="11">
        <v>196718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17168</v>
      </c>
      <c r="AK5" s="11">
        <v>0</v>
      </c>
      <c r="AL5" s="11">
        <v>0</v>
      </c>
      <c r="AM5" s="1">
        <v>1031</v>
      </c>
      <c r="AN5" s="1"/>
      <c r="AO5" s="1">
        <v>3814</v>
      </c>
      <c r="AP5" s="1">
        <v>0</v>
      </c>
      <c r="AQ5" s="1">
        <v>8914</v>
      </c>
      <c r="AR5" s="1">
        <v>0</v>
      </c>
      <c r="AS5" s="1">
        <v>0</v>
      </c>
      <c r="AT5" s="1">
        <v>836</v>
      </c>
      <c r="AU5" s="1">
        <v>153990</v>
      </c>
      <c r="AV5" s="1">
        <v>620</v>
      </c>
      <c r="AW5" s="622">
        <f>AU5*0.015</f>
        <v>2309.85</v>
      </c>
      <c r="AX5" s="1">
        <v>0</v>
      </c>
      <c r="AY5" s="1"/>
      <c r="AZ5" s="1">
        <v>11</v>
      </c>
      <c r="BA5" s="1">
        <v>0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37088</v>
      </c>
      <c r="B6" s="913">
        <f>(Weather_Input!B6+Weather_Input!C6)/2</f>
        <v>78.5</v>
      </c>
      <c r="C6" s="895">
        <v>195000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37089</v>
      </c>
      <c r="B7" s="913">
        <f>(Weather_Input!B7+Weather_Input!C7)/2</f>
        <v>79.5</v>
      </c>
      <c r="C7" s="895">
        <v>195000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37090</v>
      </c>
      <c r="B8" s="913">
        <f>(Weather_Input!B8+Weather_Input!C8)/2</f>
        <v>80</v>
      </c>
      <c r="C8" s="895">
        <v>195000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37091</v>
      </c>
      <c r="B9" s="913">
        <f>(Weather_Input!B9+Weather_Input!C9)/2</f>
        <v>80.5</v>
      </c>
      <c r="C9" s="895">
        <v>195000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37092</v>
      </c>
      <c r="B10" s="913">
        <f>(Weather_Input!B10+Weather_Input!C10)/2</f>
        <v>80.5</v>
      </c>
      <c r="C10" s="895">
        <v>185000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37087</v>
      </c>
      <c r="B5" s="1">
        <f>(Weather_Input!B5+Weather_Input!C5)/2</f>
        <v>75.5</v>
      </c>
      <c r="C5" s="895">
        <v>29500</v>
      </c>
      <c r="D5" s="895">
        <v>0</v>
      </c>
      <c r="E5" s="895">
        <v>0</v>
      </c>
      <c r="F5" s="895">
        <v>0</v>
      </c>
      <c r="G5" s="895">
        <v>0</v>
      </c>
      <c r="H5" s="903">
        <f>SUM(D5:G5)</f>
        <v>0</v>
      </c>
      <c r="I5" s="1">
        <v>1004</v>
      </c>
      <c r="J5" s="1" t="s">
        <v>9</v>
      </c>
      <c r="K5" s="1">
        <v>0</v>
      </c>
      <c r="L5" s="1">
        <v>991</v>
      </c>
      <c r="M5" s="1">
        <v>10875</v>
      </c>
      <c r="N5" s="1">
        <v>0</v>
      </c>
    </row>
    <row r="6" spans="1:14">
      <c r="A6" s="12">
        <f>A5+1</f>
        <v>37088</v>
      </c>
      <c r="B6" s="913">
        <f>(Weather_Input!B6+Weather_Input!C6)/2</f>
        <v>78.5</v>
      </c>
      <c r="C6" s="895">
        <v>33000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37089</v>
      </c>
      <c r="B7" s="913">
        <f>(Weather_Input!B7+Weather_Input!C7)/2</f>
        <v>79.5</v>
      </c>
      <c r="C7" s="895">
        <v>35000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37090</v>
      </c>
      <c r="B8" s="913">
        <f>(Weather_Input!B8+Weather_Input!C8)/2</f>
        <v>80</v>
      </c>
      <c r="C8" s="895">
        <v>35000</v>
      </c>
      <c r="D8" s="898" t="s">
        <v>9</v>
      </c>
      <c r="E8" s="898"/>
      <c r="F8" s="898"/>
      <c r="G8" s="898"/>
      <c r="H8" s="15"/>
    </row>
    <row r="9" spans="1:14">
      <c r="A9" s="12">
        <f>A8+1</f>
        <v>37091</v>
      </c>
      <c r="B9" s="913">
        <f>(Weather_Input!B9+Weather_Input!C9)/2</f>
        <v>80.5</v>
      </c>
      <c r="C9" s="895">
        <v>35000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37092</v>
      </c>
      <c r="B10" s="913">
        <f>(Weather_Input!B10+Weather_Input!C10)/2</f>
        <v>80.5</v>
      </c>
      <c r="C10" s="895">
        <v>33000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8" t="s">
        <v>798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2.75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2.75">
      <c r="A7" s="819">
        <f>Weather_Input!A5</f>
        <v>37087</v>
      </c>
      <c r="B7" s="904">
        <v>0</v>
      </c>
      <c r="C7" s="620">
        <v>0</v>
      </c>
      <c r="D7" s="620">
        <v>6700</v>
      </c>
      <c r="E7" s="904">
        <v>3000</v>
      </c>
      <c r="F7" s="904">
        <v>5060</v>
      </c>
      <c r="G7" s="906">
        <v>0</v>
      </c>
      <c r="H7" s="619">
        <v>0</v>
      </c>
      <c r="I7" s="619">
        <v>0</v>
      </c>
      <c r="J7" s="620">
        <v>0</v>
      </c>
      <c r="K7" s="619">
        <v>0</v>
      </c>
      <c r="L7" s="620">
        <v>0</v>
      </c>
      <c r="M7" s="620">
        <v>0</v>
      </c>
      <c r="N7" s="621">
        <v>8400</v>
      </c>
      <c r="O7" s="620">
        <v>160000</v>
      </c>
      <c r="P7" s="622">
        <f t="shared" ref="P7:P12" si="0">O7*0.015</f>
        <v>2400</v>
      </c>
      <c r="Q7" s="620">
        <v>620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2.75">
      <c r="A8" s="819">
        <f>A7+1</f>
        <v>37088</v>
      </c>
      <c r="B8" s="904">
        <v>0</v>
      </c>
      <c r="C8" s="620">
        <v>0</v>
      </c>
      <c r="D8" s="620">
        <v>0</v>
      </c>
      <c r="E8" s="904">
        <v>3000</v>
      </c>
      <c r="F8" s="904">
        <v>0</v>
      </c>
      <c r="G8" s="906">
        <v>50000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132000</v>
      </c>
      <c r="P8" s="622">
        <f t="shared" si="0"/>
        <v>1980</v>
      </c>
      <c r="Q8" s="620">
        <v>620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19">
        <f>A8+1</f>
        <v>37089</v>
      </c>
      <c r="B9" s="904">
        <v>0</v>
      </c>
      <c r="C9" s="620">
        <v>0</v>
      </c>
      <c r="D9" s="620">
        <v>0</v>
      </c>
      <c r="E9" s="904">
        <v>3000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620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2.75">
      <c r="A10" s="819">
        <f>A9+1</f>
        <v>37090</v>
      </c>
      <c r="B10" s="904">
        <v>0</v>
      </c>
      <c r="C10" s="620">
        <v>0</v>
      </c>
      <c r="D10" s="620">
        <v>0</v>
      </c>
      <c r="E10" s="904">
        <v>3000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620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2.75">
      <c r="A11" s="819">
        <f>A10+1</f>
        <v>37091</v>
      </c>
      <c r="B11" s="904">
        <v>0</v>
      </c>
      <c r="C11" s="620">
        <v>0</v>
      </c>
      <c r="D11" s="620">
        <v>0</v>
      </c>
      <c r="E11" s="904">
        <v>3000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620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2.75">
      <c r="A12" s="819">
        <f>A11+1</f>
        <v>37092</v>
      </c>
      <c r="B12" s="904">
        <v>0</v>
      </c>
      <c r="C12" s="620">
        <v>0</v>
      </c>
      <c r="D12" s="620">
        <v>0</v>
      </c>
      <c r="E12" s="904">
        <v>3000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620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8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9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37087</v>
      </c>
      <c r="B7" s="622">
        <v>0</v>
      </c>
      <c r="C7" s="622">
        <v>0</v>
      </c>
      <c r="D7" s="622">
        <v>0</v>
      </c>
      <c r="E7" s="622">
        <v>0</v>
      </c>
      <c r="F7" s="904">
        <v>0</v>
      </c>
      <c r="G7" s="620">
        <v>1000</v>
      </c>
      <c r="H7" s="620">
        <v>15000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40000</v>
      </c>
      <c r="T7" s="620">
        <v>0</v>
      </c>
      <c r="U7" s="621">
        <v>110348</v>
      </c>
      <c r="V7" s="621">
        <v>0</v>
      </c>
      <c r="W7" s="619">
        <v>800</v>
      </c>
      <c r="X7" s="907">
        <v>90021</v>
      </c>
      <c r="Y7" s="621">
        <v>200</v>
      </c>
      <c r="Z7" s="1">
        <v>0</v>
      </c>
      <c r="AA7" s="619">
        <v>192530</v>
      </c>
      <c r="AB7" s="619">
        <v>36831</v>
      </c>
      <c r="AC7" s="619">
        <v>3000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37088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40000</v>
      </c>
      <c r="T8" s="620">
        <v>0</v>
      </c>
      <c r="U8" s="621">
        <v>110348</v>
      </c>
      <c r="V8" s="621">
        <v>0</v>
      </c>
      <c r="W8" s="619">
        <v>0</v>
      </c>
      <c r="X8" s="907">
        <v>90021</v>
      </c>
      <c r="Y8" s="621">
        <v>200</v>
      </c>
      <c r="Z8" s="1">
        <v>0</v>
      </c>
      <c r="AA8" s="619">
        <v>192530</v>
      </c>
      <c r="AB8" s="619">
        <v>36831</v>
      </c>
      <c r="AC8" s="619">
        <v>3000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37089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0</v>
      </c>
      <c r="T9" s="620">
        <v>0</v>
      </c>
      <c r="U9" s="621">
        <v>110348</v>
      </c>
      <c r="V9" s="621">
        <v>0</v>
      </c>
      <c r="W9" s="619">
        <v>0</v>
      </c>
      <c r="X9" s="907">
        <v>90021</v>
      </c>
      <c r="Y9" s="621">
        <v>200</v>
      </c>
      <c r="Z9" s="1">
        <v>0</v>
      </c>
      <c r="AA9" s="619">
        <v>192530</v>
      </c>
      <c r="AB9" s="619">
        <v>36831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37090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110348</v>
      </c>
      <c r="V10" s="621">
        <v>0</v>
      </c>
      <c r="W10" s="619">
        <v>0</v>
      </c>
      <c r="X10" s="907">
        <v>90021</v>
      </c>
      <c r="Y10" s="621">
        <v>200</v>
      </c>
      <c r="Z10" s="1">
        <v>0</v>
      </c>
      <c r="AA10" s="619">
        <v>192530</v>
      </c>
      <c r="AB10" s="619">
        <v>36831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37091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110348</v>
      </c>
      <c r="V11" s="621">
        <v>0</v>
      </c>
      <c r="W11" s="619">
        <v>0</v>
      </c>
      <c r="X11" s="907">
        <v>90021</v>
      </c>
      <c r="Y11" s="621">
        <v>200</v>
      </c>
      <c r="Z11" s="1">
        <v>0</v>
      </c>
      <c r="AA11" s="619">
        <v>192530</v>
      </c>
      <c r="AB11" s="619">
        <v>36831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37092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110348</v>
      </c>
      <c r="V12" s="621">
        <v>0</v>
      </c>
      <c r="W12" s="619">
        <v>0</v>
      </c>
      <c r="X12" s="907">
        <v>90021</v>
      </c>
      <c r="Y12" s="621">
        <v>200</v>
      </c>
      <c r="Z12" s="1">
        <v>0</v>
      </c>
      <c r="AA12" s="619">
        <v>192530</v>
      </c>
      <c r="AB12" s="619">
        <v>36831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2.75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2.75">
      <c r="A7" s="820">
        <f>Weather_Input!A5</f>
        <v>37087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9820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37087</v>
      </c>
      <c r="AG7" s="619"/>
      <c r="AH7" s="619"/>
      <c r="AI7" s="619"/>
      <c r="AJ7" s="619"/>
      <c r="AK7" s="619"/>
    </row>
    <row r="8" spans="1:128" s="1" customFormat="1" ht="12.75">
      <c r="A8" s="820">
        <f>Weather_Input!A6</f>
        <v>37088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37088</v>
      </c>
      <c r="AG8" s="619"/>
      <c r="AH8" s="619"/>
      <c r="AI8" s="619"/>
      <c r="AJ8" s="619"/>
      <c r="AK8" s="619"/>
    </row>
    <row r="9" spans="1:128" s="1" customFormat="1" ht="12.75">
      <c r="A9" s="819">
        <f>A8+1</f>
        <v>37089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37089</v>
      </c>
      <c r="AG9" s="619"/>
      <c r="AH9" s="619"/>
      <c r="AI9" s="619"/>
      <c r="AJ9" s="619"/>
      <c r="AK9" s="619"/>
    </row>
    <row r="10" spans="1:128" s="1" customFormat="1" ht="12.75">
      <c r="A10" s="819">
        <f>A9+1</f>
        <v>37090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37090</v>
      </c>
      <c r="AG10" s="619"/>
      <c r="AH10" s="619"/>
      <c r="AI10" s="619"/>
      <c r="AJ10" s="619"/>
      <c r="AK10" s="619"/>
    </row>
    <row r="11" spans="1:128" s="1" customFormat="1" ht="12.75">
      <c r="A11" s="819">
        <f>A10+1</f>
        <v>37091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37091</v>
      </c>
      <c r="AG11" s="619"/>
      <c r="AH11" s="619"/>
      <c r="AI11" s="619"/>
      <c r="AJ11" s="619"/>
      <c r="AK11" s="619"/>
    </row>
    <row r="12" spans="1:128" s="1" customFormat="1" ht="12.75">
      <c r="A12" s="819">
        <f>A11+1</f>
        <v>37092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37092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37087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27323</v>
      </c>
      <c r="R7" s="622">
        <v>15740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37088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27323</v>
      </c>
      <c r="R8" s="622">
        <v>15740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37089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27323</v>
      </c>
      <c r="R9" s="622">
        <v>15740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37090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27323</v>
      </c>
      <c r="R10" s="622">
        <v>15740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37091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27323</v>
      </c>
      <c r="R11" s="622">
        <v>15740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37092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27323</v>
      </c>
      <c r="R12" s="622">
        <v>15740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34" zoomScale="75" workbookViewId="0">
      <selection activeCell="A54" sqref="A54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SUN</v>
      </c>
      <c r="I1" s="824">
        <f>D4</f>
        <v>37087</v>
      </c>
    </row>
    <row r="2" spans="1:256" ht="18.95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95" customHeight="1" thickBot="1">
      <c r="A3" s="828"/>
      <c r="B3" s="826"/>
      <c r="C3" s="826"/>
      <c r="D3" s="829" t="str">
        <f t="shared" ref="D3:I3" si="0">CHOOSE(WEEKDAY(D4),"SUN","MON","TUE","WED","THU","FRI","SAT")</f>
        <v>SUN</v>
      </c>
      <c r="E3" s="829" t="str">
        <f t="shared" si="0"/>
        <v>MON</v>
      </c>
      <c r="F3" s="829" t="str">
        <f t="shared" si="0"/>
        <v>TUE</v>
      </c>
      <c r="G3" s="829" t="str">
        <f t="shared" si="0"/>
        <v>WED</v>
      </c>
      <c r="H3" s="829" t="str">
        <f t="shared" si="0"/>
        <v>THU</v>
      </c>
      <c r="I3" s="830" t="str">
        <f t="shared" si="0"/>
        <v>FRI</v>
      </c>
    </row>
    <row r="4" spans="1:256" ht="18.95" customHeight="1" thickBot="1">
      <c r="A4" s="831"/>
      <c r="B4" s="832"/>
      <c r="C4" s="832"/>
      <c r="D4" s="461">
        <f>Weather_Input!A5</f>
        <v>37087</v>
      </c>
      <c r="E4" s="461">
        <f>Weather_Input!A6</f>
        <v>37088</v>
      </c>
      <c r="F4" s="461">
        <f>Weather_Input!A7</f>
        <v>37089</v>
      </c>
      <c r="G4" s="461">
        <f>Weather_Input!A8</f>
        <v>37090</v>
      </c>
      <c r="H4" s="461">
        <f>Weather_Input!A9</f>
        <v>37091</v>
      </c>
      <c r="I4" s="462">
        <f>Weather_Input!A10</f>
        <v>37092</v>
      </c>
    </row>
    <row r="5" spans="1:256" ht="18.95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88/63/76</v>
      </c>
      <c r="E5" s="463" t="str">
        <f>TEXT(Weather_Input!B6,"0")&amp;"/"&amp;TEXT(Weather_Input!C6,"0") &amp; "/" &amp; TEXT((Weather_Input!B6+Weather_Input!C6)/2,"0")</f>
        <v>89/68/79</v>
      </c>
      <c r="F5" s="463" t="str">
        <f>TEXT(Weather_Input!B7,"0")&amp;"/"&amp;TEXT(Weather_Input!C7,"0") &amp; "/" &amp; TEXT((Weather_Input!B7+Weather_Input!C7)/2,"0")</f>
        <v>90/69/80</v>
      </c>
      <c r="G5" s="463" t="str">
        <f>TEXT(Weather_Input!B8,"0")&amp;"/"&amp;TEXT(Weather_Input!C8,"0") &amp; "/" &amp; TEXT((Weather_Input!B8+Weather_Input!C8)/2,"0")</f>
        <v>90/70/80</v>
      </c>
      <c r="H5" s="463" t="str">
        <f>TEXT(Weather_Input!B9,"0")&amp;"/"&amp;TEXT(Weather_Input!C9,"0") &amp; "/" &amp; TEXT((Weather_Input!B9+Weather_Input!C9)/2,"0")</f>
        <v>91/70/81</v>
      </c>
      <c r="I5" s="464" t="str">
        <f>TEXT(Weather_Input!B10,"0")&amp;"/"&amp;TEXT(Weather_Input!C10,"0") &amp; "/" &amp; TEXT((Weather_Input!B10+Weather_Input!C10)/2,"0")</f>
        <v>91/70/81</v>
      </c>
    </row>
    <row r="6" spans="1:256" ht="18.95" customHeight="1">
      <c r="A6" s="838" t="s">
        <v>134</v>
      </c>
      <c r="B6" s="826"/>
      <c r="C6" s="826"/>
      <c r="D6" s="463">
        <f>PGL_Deliveries!C5/1000</f>
        <v>173</v>
      </c>
      <c r="E6" s="463">
        <f>PGL_Deliveries!C6/1000</f>
        <v>195</v>
      </c>
      <c r="F6" s="463">
        <f>PGL_Deliveries!C7/1000</f>
        <v>195</v>
      </c>
      <c r="G6" s="463">
        <f>PGL_Deliveries!C8/1000</f>
        <v>195</v>
      </c>
      <c r="H6" s="463">
        <f>PGL_Deliveries!C9/1000</f>
        <v>195</v>
      </c>
      <c r="I6" s="464">
        <f>PGL_Deliveries!C10/1000</f>
        <v>185</v>
      </c>
    </row>
    <row r="7" spans="1:256" ht="18.95" customHeight="1">
      <c r="A7" s="838" t="s">
        <v>536</v>
      </c>
      <c r="B7" s="826" t="s">
        <v>9</v>
      </c>
      <c r="C7" s="826"/>
      <c r="D7" s="463">
        <f>PGL_Requirements!G7/1000*0.5</f>
        <v>0</v>
      </c>
      <c r="E7" s="463">
        <f>PGL_Requirements!G8/1000*0.5</f>
        <v>25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38" t="s">
        <v>774</v>
      </c>
      <c r="B8" s="826"/>
      <c r="C8" s="826"/>
      <c r="D8" s="463">
        <f>PGL_Requirements!J7/1000</f>
        <v>0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160</v>
      </c>
      <c r="E11" s="463">
        <f>PGL_Requirements!O8/1000</f>
        <v>132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95" customHeight="1">
      <c r="A12" s="835"/>
      <c r="B12" s="826"/>
      <c r="C12" s="826" t="s">
        <v>97</v>
      </c>
      <c r="D12" s="463">
        <f>PGL_Requirements!P7/1000</f>
        <v>2.4</v>
      </c>
      <c r="E12" s="463">
        <f>PGL_Requirements!P8/1000</f>
        <v>1.98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95" customHeight="1">
      <c r="A13" s="835"/>
      <c r="C13" s="826" t="s">
        <v>690</v>
      </c>
      <c r="D13" s="463">
        <f>PGL_Requirements!Q7/1000</f>
        <v>0.62</v>
      </c>
      <c r="E13" s="463">
        <f>PGL_Requirements!Q8/1000</f>
        <v>0.62</v>
      </c>
      <c r="F13" s="463">
        <f>PGL_Requirements!Q9/1000</f>
        <v>0.62</v>
      </c>
      <c r="G13" s="463">
        <f>PGL_Requirements!Q10/1000</f>
        <v>0.62</v>
      </c>
      <c r="H13" s="463">
        <f>PGL_Requirements!Q11/1000</f>
        <v>0.62</v>
      </c>
      <c r="I13" s="464">
        <f>PGL_Requirements!Q12/1000</f>
        <v>0.62</v>
      </c>
    </row>
    <row r="14" spans="1:256" ht="18.95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95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5"/>
      <c r="B17" s="826" t="s">
        <v>135</v>
      </c>
      <c r="C17" s="826" t="s">
        <v>87</v>
      </c>
      <c r="D17" s="463">
        <f>PGL_Requirements!N7/1000</f>
        <v>8.4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38" t="s">
        <v>141</v>
      </c>
      <c r="B20" s="826"/>
      <c r="C20" s="826"/>
      <c r="D20" s="463">
        <f>PGL_Requirements!F7/1000</f>
        <v>5.0599999999999996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5"/>
      <c r="B23" s="826" t="s">
        <v>394</v>
      </c>
      <c r="C23" s="826"/>
      <c r="D23" s="463">
        <f>PGL_Requirements!D7/1000</f>
        <v>6.7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5"/>
      <c r="B24" s="826" t="s">
        <v>92</v>
      </c>
      <c r="C24" s="826"/>
      <c r="D24" s="465">
        <f>PGL_Requirements!E7/1000</f>
        <v>3</v>
      </c>
      <c r="E24" s="465">
        <f>PGL_Requirements!E8/1000</f>
        <v>3</v>
      </c>
      <c r="F24" s="465">
        <f>PGL_Requirements!E9/1000</f>
        <v>3</v>
      </c>
      <c r="G24" s="465">
        <f>PGL_Requirements!E10/1000</f>
        <v>3</v>
      </c>
      <c r="H24" s="465">
        <f>PGL_Requirements!E11/1000</f>
        <v>3</v>
      </c>
      <c r="I24" s="466">
        <f>PGL_Requirements!E12/1000</f>
        <v>3</v>
      </c>
    </row>
    <row r="25" spans="1:10" ht="18.95" customHeight="1" thickBot="1">
      <c r="A25" s="843" t="s">
        <v>143</v>
      </c>
      <c r="B25" s="844"/>
      <c r="C25" s="844"/>
      <c r="D25" s="467">
        <f t="shared" ref="D25:I25" si="1">SUM(D6:D24)</f>
        <v>359.37999999999994</v>
      </c>
      <c r="E25" s="467">
        <f t="shared" si="1"/>
        <v>357.8</v>
      </c>
      <c r="F25" s="467">
        <f t="shared" si="1"/>
        <v>332.8</v>
      </c>
      <c r="G25" s="467">
        <f t="shared" si="1"/>
        <v>332.8</v>
      </c>
      <c r="H25" s="467">
        <f t="shared" si="1"/>
        <v>332.8</v>
      </c>
      <c r="I25" s="1099">
        <f t="shared" si="1"/>
        <v>322.8</v>
      </c>
    </row>
    <row r="26" spans="1:10" ht="18.95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95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5"/>
      <c r="B29" s="826"/>
      <c r="C29" s="826" t="s">
        <v>90</v>
      </c>
      <c r="D29" s="463">
        <f>PGL_Supplies!G7/1000</f>
        <v>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38" t="s">
        <v>776</v>
      </c>
      <c r="B36" s="826" t="s">
        <v>394</v>
      </c>
      <c r="C36" s="826"/>
      <c r="D36" s="463">
        <f>PGL_Supplies!S7/1000*0.5</f>
        <v>20</v>
      </c>
      <c r="E36" s="463">
        <f>PGL_Supplies!S8/1000*0.5</f>
        <v>20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2" t="s">
        <v>715</v>
      </c>
      <c r="B37" s="826" t="s">
        <v>696</v>
      </c>
      <c r="C37" s="826"/>
      <c r="D37" s="463">
        <f>PGL_Supplies!X7/1000</f>
        <v>90.021000000000001</v>
      </c>
      <c r="E37" s="463">
        <f>PGL_Supplies!X8/1000</f>
        <v>90.021000000000001</v>
      </c>
      <c r="F37" s="463">
        <f>PGL_Supplies!X9/1000</f>
        <v>90.021000000000001</v>
      </c>
      <c r="G37" s="463">
        <f>PGL_Supplies!X10/1000</f>
        <v>90.021000000000001</v>
      </c>
      <c r="H37" s="463">
        <f>PGL_Supplies!X11/1000</f>
        <v>90.021000000000001</v>
      </c>
      <c r="I37" s="464">
        <f>PGL_Supplies!X12/1000</f>
        <v>90.021000000000001</v>
      </c>
    </row>
    <row r="38" spans="1:10" ht="18.95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38"/>
      <c r="B40" s="826" t="s">
        <v>394</v>
      </c>
      <c r="C40" s="839"/>
      <c r="D40" s="463">
        <f>PGL_Supplies!AA7/1000</f>
        <v>192.53</v>
      </c>
      <c r="E40" s="463">
        <f>PGL_Supplies!AA8/1000</f>
        <v>192.53</v>
      </c>
      <c r="F40" s="463">
        <f>PGL_Supplies!AA9/1000</f>
        <v>192.53</v>
      </c>
      <c r="G40" s="463">
        <f>PGL_Supplies!AA10/1000</f>
        <v>192.53</v>
      </c>
      <c r="H40" s="463">
        <f>PGL_Supplies!AA11/1000</f>
        <v>192.53</v>
      </c>
      <c r="I40" s="464">
        <f>PGL_Supplies!AA12/1000</f>
        <v>192.53</v>
      </c>
    </row>
    <row r="41" spans="1:10" ht="18.95" customHeight="1">
      <c r="A41" s="838"/>
      <c r="B41" s="826" t="s">
        <v>135</v>
      </c>
      <c r="C41" s="826"/>
      <c r="D41" s="463">
        <f>PGL_Supplies!AB7/1000</f>
        <v>36.831000000000003</v>
      </c>
      <c r="E41" s="463">
        <f>PGL_Supplies!AB8/1000</f>
        <v>36.831000000000003</v>
      </c>
      <c r="F41" s="463">
        <f>PGL_Supplies!AB9/1000</f>
        <v>36.831000000000003</v>
      </c>
      <c r="G41" s="463">
        <f>PGL_Supplies!AB10/1000</f>
        <v>36.831000000000003</v>
      </c>
      <c r="H41" s="463">
        <f>PGL_Supplies!AB11/1000</f>
        <v>36.831000000000003</v>
      </c>
      <c r="I41" s="464">
        <f>PGL_Supplies!AB12/1000</f>
        <v>36.831000000000003</v>
      </c>
    </row>
    <row r="42" spans="1:10" ht="18.95" customHeight="1">
      <c r="A42" s="838"/>
      <c r="B42" s="826" t="s">
        <v>136</v>
      </c>
      <c r="C42" s="826"/>
      <c r="D42" s="463">
        <f>PGL_Supplies!AC7/1000</f>
        <v>3</v>
      </c>
      <c r="E42" s="463">
        <f>PGL_Supplies!AC8/1000</f>
        <v>3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95" customHeight="1">
      <c r="A43" s="852"/>
      <c r="B43" s="826" t="s">
        <v>147</v>
      </c>
      <c r="C43" s="826"/>
      <c r="D43" s="463">
        <f>PGL_Supplies!H7/1000</f>
        <v>15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95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5" t="s">
        <v>704</v>
      </c>
      <c r="B46" s="826" t="s">
        <v>696</v>
      </c>
      <c r="C46" s="826"/>
      <c r="D46" s="463">
        <f>PGL_Supplies!W7/1000</f>
        <v>0.8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5"/>
      <c r="B48" s="826" t="s">
        <v>394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5" t="s">
        <v>149</v>
      </c>
      <c r="B50" s="856"/>
      <c r="C50" s="856"/>
      <c r="D50" s="473">
        <f t="shared" ref="D50:I50" si="2">SUM(D28:D49)</f>
        <v>359.38200000000001</v>
      </c>
      <c r="E50" s="473">
        <f t="shared" si="2"/>
        <v>358.58199999999999</v>
      </c>
      <c r="F50" s="473">
        <f t="shared" si="2"/>
        <v>338.58199999999999</v>
      </c>
      <c r="G50" s="473">
        <f t="shared" si="2"/>
        <v>338.58199999999999</v>
      </c>
      <c r="H50" s="473">
        <f t="shared" si="2"/>
        <v>338.58199999999999</v>
      </c>
      <c r="I50" s="1101">
        <f t="shared" si="2"/>
        <v>338.58199999999999</v>
      </c>
    </row>
    <row r="51" spans="1:9" ht="18.95" customHeight="1">
      <c r="A51" s="857" t="s">
        <v>150</v>
      </c>
      <c r="B51" s="858"/>
      <c r="C51" s="858"/>
      <c r="D51" s="474">
        <f t="shared" ref="D51:I51" si="3">IF(D50-D25&lt;0,0,D50-D25)</f>
        <v>2.0000000000663931E-3</v>
      </c>
      <c r="E51" s="474">
        <f t="shared" si="3"/>
        <v>0.78199999999998226</v>
      </c>
      <c r="F51" s="474">
        <f t="shared" si="3"/>
        <v>5.7819999999999823</v>
      </c>
      <c r="G51" s="474">
        <f t="shared" si="3"/>
        <v>5.7819999999999823</v>
      </c>
      <c r="H51" s="474">
        <f t="shared" si="3"/>
        <v>5.7819999999999823</v>
      </c>
      <c r="I51" s="1102">
        <f t="shared" si="3"/>
        <v>15.781999999999982</v>
      </c>
    </row>
    <row r="52" spans="1:9" ht="18.95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0</v>
      </c>
      <c r="F52" s="475">
        <f t="shared" si="4"/>
        <v>0</v>
      </c>
      <c r="G52" s="475">
        <f t="shared" si="4"/>
        <v>0</v>
      </c>
      <c r="H52" s="475">
        <f t="shared" si="4"/>
        <v>0</v>
      </c>
      <c r="I52" s="1103">
        <f t="shared" si="4"/>
        <v>0</v>
      </c>
    </row>
    <row r="53" spans="1:9" ht="18.95" customHeight="1" thickTop="1" thickBot="1">
      <c r="A53" s="1090" t="s">
        <v>718</v>
      </c>
      <c r="B53" s="1091"/>
      <c r="C53" s="1091"/>
      <c r="D53" s="1092">
        <f>PGL_Supplies!U7/1000</f>
        <v>110.348</v>
      </c>
      <c r="E53" s="1092">
        <f>PGL_Supplies!U8/1000</f>
        <v>110.348</v>
      </c>
      <c r="F53" s="1092">
        <f>PGL_Supplies!U9/1000</f>
        <v>110.348</v>
      </c>
      <c r="G53" s="1092">
        <f>PGL_Supplies!U10/1000</f>
        <v>110.348</v>
      </c>
      <c r="H53" s="1092">
        <f>PGL_Supplies!U11/1000</f>
        <v>110.348</v>
      </c>
      <c r="I53" s="1093">
        <f>PGL_Supplies!U12/1000</f>
        <v>110.348</v>
      </c>
    </row>
    <row r="54" spans="1:9" ht="18.95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2001-07-15T21:15:39Z</cp:lastPrinted>
  <dcterms:created xsi:type="dcterms:W3CDTF">1997-07-16T16:14:22Z</dcterms:created>
  <dcterms:modified xsi:type="dcterms:W3CDTF">2023-09-10T17:03:27Z</dcterms:modified>
</cp:coreProperties>
</file>