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81339C-9BFA-411D-B79A-B633F49D2405}" xr6:coauthVersionLast="47" xr6:coauthVersionMax="47" xr10:uidLastSave="{00000000-0000-0000-0000-000000000000}"/>
  <bookViews>
    <workbookView xWindow="-120" yWindow="-120" windowWidth="38640" windowHeight="15720" firstSheet="19" activeTab="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<sst xmlns="http://schemas.openxmlformats.org/spreadsheetml/2006/main" count="2068" uniqueCount="816">
  <si>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</si>
  <si>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</si>
  <si>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</si>
  <si>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</si>
  <si>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</si>
  <si>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</si>
  <si>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</si>
  <si>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</si>
  <si>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</si>
  <si>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</si>
  <si>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</si>
  <si>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</si>
  <si>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</si>
  <si>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</si>
  <si>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</si>
  <si>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</si>
  <si>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</si>
  <si>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</si>
  <si>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</si>
  <si>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</si>
  <si>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</si>
  <si>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</si>
  <si>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</si>
  <si>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</si>
  <si>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</si>
  <si>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</si>
  <si>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</si>
  <si>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</si>
  <si>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</si>
  <si>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</si>
  <si>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</si>
  <si>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</si>
  <si>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</si>
  <si>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</si>
  <si>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</si>
  <si>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</si>
  <si>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</si>
  <si>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</si>
  <si>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</si>
  <si>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</si>
  <si>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</si>
  <si>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</si>
  <si>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</si>
  <si>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</si>
  <si>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</si>
  <si>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</si>
  <si>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</si>
  <si>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</si>
  <si>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</si>
  <si>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</si>
  <si>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</si>
  <si>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</si>
  <si>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</si>
  <si>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</si>
  <si>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</si>
  <si>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</si>
  <si>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</si>
  <si>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</si>
  <si>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</si>
  <si>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</si>
  <si>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</si>
  <si>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</si>
  <si>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</si>
  <si>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</si>
  <si>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</si>
  <si>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</si>
  <si>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</si>
  <si>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</si>
  <si>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</si>
  <si>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</si>
  <si>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</si>
  <si>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</si>
  <si>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</si>
  <si>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</si>
  <si>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</si>
  <si>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</si>
  <si>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</si>
  <si>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</si>
  <si>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</si>
  <si>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</si>
  <si>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</si>
  <si>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</si>
  <si>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</si>
  <si>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</si>
  <si>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</si>
  <si>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</si>
  <si>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</si>
  <si>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</si>
  <si>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</si>
  <si>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</si>
  <si>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</si>
  <si>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</si>
  <si>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</si>
  <si>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</si>
  <si>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</si>
  <si>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</si>
  <si>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</si>
  <si>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</si>
  <si>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</si>
  <si>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</si>
  <si>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</si>
  <si>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</si>
  <si>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</si>
  <si>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</si>
  <si>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</si>
  <si>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</si>
  <si>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</si>
  <si>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</si>
  <si>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</si>
  <si>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</si>
  <si>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</si>
  <si>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</si>
  <si>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</si>
  <si>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</si>
  <si>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</si>
  <si>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</si>
  <si>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</si>
  <si>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</si>
  <si>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</si>
  <si>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</si>
  <si>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</si>
  <si>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</si>
  <si>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</si>
  <si>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</si>
  <si>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</si>
  <si>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</si>
  <si>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</si>
  <si>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</si>
  <si>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</si>
  <si>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</si>
  <si>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</si>
  <si>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</si>
  <si>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</si>
  <si>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</si>
  <si>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</si>
  <si>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</si>
  <si>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</si>
  <si>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</si>
  <si>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</si>
  <si>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</si>
  <si>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</si>
  <si>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</si>
  <si>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</si>
  <si>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</si>
  <si>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</si>
  <si>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</si>
  <si>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</si>
  <si>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</si>
  <si>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</si>
  <si>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</si>
  <si>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</si>
  <si>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</si>
  <si>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</si>
  <si>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</si>
  <si>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</si>
  <si>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</si>
  <si>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</si>
  <si>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</si>
  <si>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</si>
  <si>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</si>
  <si>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</si>
  <si>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</si>
  <si>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</si>
  <si>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</si>
  <si>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</si>
  <si>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</si>
  <si>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</si>
  <si>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</si>
  <si>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</si>
  <si>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</si>
  <si>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</si>
  <si>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</si>
  <si>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</si>
  <si>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</si>
  <si>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</si>
  <si>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</si>
  <si>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</si>
  <si>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</si>
  <si>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</si>
  <si>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</si>
  <si>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</si>
  <si>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</si>
  <si>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</si>
  <si>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</si>
  <si>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</si>
  <si>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</si>
  <si>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</si>
  <si>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</si>
  <si>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</si>
  <si>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</si>
  <si>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</si>
  <si>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</si>
  <si>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</si>
  <si>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</si>
  <si>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</si>
  <si>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</si>
  <si>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</si>
  <si>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</si>
  <si>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</si>
  <si>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</si>
  <si>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</si>
  <si>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</si>
  <si>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</si>
  <si>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</si>
  <si>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</si>
  <si>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</si>
  <si>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</si>
  <si>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</si>
  <si>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</si>
  <si>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</si>
  <si>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</si>
  <si>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</si>
  <si>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</si>
  <si>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</si>
  <si>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</si>
  <si>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</si>
  <si>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</si>
  <si>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</si>
  <si>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</si>
  <si>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</si>
  <si>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</si>
  <si>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</si>
  <si>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</si>
  <si>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</si>
  <si>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</si>
  <si>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</si>
  <si>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</si>
  <si>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</si>
  <si>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</si>
  <si>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</si>
  <si>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</si>
  <si>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</si>
  <si>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</si>
  <si>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</si>
  <si>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</si>
  <si>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</si>
  <si>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</si>
  <si>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</si>
  <si>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</si>
  <si>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</si>
  <si>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</si>
  <si>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</si>
  <si>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</si>
  <si>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</si>
  <si>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</si>
  <si>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</si>
  <si>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</si>
  <si>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</si>
  <si>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</si>
  <si>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</si>
  <si>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</si>
  <si>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</si>
  <si>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</si>
  <si>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</si>
  <si>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</si>
  <si>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</si>
  <si>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</si>
  <si>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</si>
  <si>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</si>
  <si>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</si>
  <si>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</si>
  <si>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</si>
  <si>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</si>
  <si>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</si>
  <si>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</si>
  <si>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</si>
  <si>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</si>
  <si>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</si>
  <si>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</si>
  <si>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</si>
  <si>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</si>
  <si>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</si>
  <si>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</si>
  <si>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</si>
  <si>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</si>
  <si>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</si>
  <si>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</si>
  <si>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</si>
  <si>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</si>
  <si>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</si>
  <si>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</si>
  <si>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</si>
  <si>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</si>
  <si>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</si>
  <si>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</si>
  <si>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</si>
  <si>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</si>
  <si>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</si>
  <si>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</si>
  <si>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</si>
  <si>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</si>
  <si>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</si>
  <si>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</si>
  <si>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</si>
  <si>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</si>
  <si>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</si>
  <si>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</si>
  <si>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</si>
  <si>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</si>
  <si>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</si>
  <si>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</si>
  <si>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</si>
  <si>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</si>
  <si>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</si>
  <si>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</si>
  <si>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</si>
  <si>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</si>
  <si>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</si>
  <si>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</si>
  <si>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</si>
  <si>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</si>
  <si>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</si>
  <si>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</si>
  <si>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</si>
  <si>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</si>
  <si>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</si>
  <si>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</si>
  <si>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</si>
  <si>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</si>
  <si>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</si>
  <si>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</si>
  <si>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</si>
  <si>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</si>
  <si>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</si>
  <si>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</si>
  <si>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</si>
  <si>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</si>
  <si>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</si>
  <si>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</si>
  <si>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</si>
  <si>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</si>
  <si>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</si>
  <si>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</si>
  <si>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</si>
  <si>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</si>
  <si>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</si>
  <si>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</si>
  <si>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</si>
  <si>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</si>
  <si>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</si>
  <si>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</si>
  <si>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</si>
  <si>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</si>
  <si>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</si>
  <si>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</si>
  <si>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</si>
  <si>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</si>
  <si>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</si>
  <si>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</si>
  <si>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</si>
  <si>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</si>
  <si>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</si>
  <si>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</si>
  <si>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</si>
  <si>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</si>
  <si>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</si>
  <si>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</si>
  <si>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</si>
  <si>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</si>
  <si>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</si>
  <si>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</si>
  <si>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</si>
  <si>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</si>
  <si>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</si>
  <si>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</si>
  <si>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</si>
  <si>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</si>
  <si>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</si>
  <si>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</si>
  <si>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</si>
  <si>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</si>
  <si>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</si>
  <si>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</si>
  <si>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</si>
  <si>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</si>
  <si>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</si>
  <si>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</si>
  <si>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</si>
  <si>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</si>
  <si>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</si>
  <si>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</si>
  <si>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</si>
  <si>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</si>
  <si>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</si>
  <si>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</si>
  <si>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</si>
  <si>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</si>
  <si>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</si>
  <si>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</si>
  <si>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</si>
  <si>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</si>
  <si>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</si>
  <si>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</si>
  <si>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</si>
  <si>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</si>
  <si>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</si>
  <si>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</si>
  <si>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</si>
  <si>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</si>
  <si>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</si>
  <si>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</si>
  <si>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</si>
  <si>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</si>
  <si>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</si>
  <si>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</si>
  <si>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</si>
  <si>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</si>
  <si>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</si>
  <si>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</si>
  <si>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</si>
  <si>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</si>
  <si>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</si>
  <si>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</si>
  <si>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</si>
  <si>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</si>
  <si>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</si>
  <si>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</si>
  <si>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</si>
  <si>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</si>
  <si>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</si>
  <si>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</si>
  <si>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</si>
  <si>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</si>
  <si>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</si>
  <si>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</si>
  <si>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</si>
  <si>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</si>
  <si>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</si>
  <si>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</si>
  <si>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</si>
  <si>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</si>
  <si>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</si>
  <si>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</si>
  <si>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</si>
  <si>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</si>
  <si>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</si>
  <si>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</si>
  <si>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</si>
  <si>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</si>
  <si>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</si>
  <si>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</si>
  <si>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</si>
  <si>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</si>
  <si>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</si>
  <si>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</si>
  <si>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</si>
  <si>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</si>
  <si>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</si>
  <si>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</si>
  <si>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</si>
  <si>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</si>
  <si>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</si>
  <si>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</si>
  <si>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</si>
  <si>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</si>
  <si>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</si>
  <si>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</si>
  <si>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</si>
  <si>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</si>
  <si>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</si>
  <si>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</si>
  <si>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</si>
  <si>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</si>
  <si>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</si>
  <si>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</si>
  <si>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</si>
  <si>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</si>
  <si>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</si>
  <si>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</si>
  <si>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</si>
  <si>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</si>
  <si>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</si>
  <si>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</si>
  <si>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</si>
  <si>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</si>
  <si>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</si>
  <si>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</si>
  <si>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</si>
  <si>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</si>
  <si>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</si>
  <si>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</si>
  <si>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</si>
  <si>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</si>
  <si>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</si>
  <si>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</si>
  <si>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</si>
  <si>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</si>
  <si>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</si>
  <si>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</si>
  <si>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</si>
  <si>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</si>
  <si>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</si>
  <si>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</si>
  <si>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</si>
  <si>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</si>
  <si>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</si>
  <si>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</si>
  <si>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</si>
  <si>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</si>
  <si>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</si>
  <si>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</si>
  <si>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</si>
  <si>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</si>
  <si>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</si>
  <si>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</si>
  <si>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</si>
  <si>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</si>
  <si>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</si>
  <si>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</si>
  <si>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</si>
  <si>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</si>
  <si>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</si>
  <si>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</si>
  <si>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</si>
  <si>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</si>
  <si>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</si>
  <si>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</si>
  <si>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</si>
  <si>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</si>
  <si>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</si>
  <si>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</si>
  <si>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</si>
  <si>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</si>
  <si>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</si>
  <si>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</si>
  <si>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</si>
  <si>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</si>
  <si>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</si>
  <si>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</si>
  <si>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</si>
  <si>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</si>
  <si>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</si>
  <si>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</si>
  <si>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</si>
  <si>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</si>
  <si>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</si>
  <si>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</si>
  <si>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</si>
  <si>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</si>
  <si>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</si>
  <si>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</si>
  <si>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</si>
  <si>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</si>
  <si>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</si>
  <si>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</si>
  <si>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</si>
  <si>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</si>
  <si>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</si>
  <si>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</si>
  <si>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</si>
  <si>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</si>
  <si>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</si>
  <si>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</si>
  <si>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</si>
  <si>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</si>
  <si>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</si>
  <si>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</si>
  <si>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</si>
  <si>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</si>
  <si>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</si>
  <si>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</si>
  <si>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</si>
  <si>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</si>
  <si>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</si>
  <si>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</si>
  <si>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</si>
  <si>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</si>
  <si>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</si>
  <si>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</si>
  <si>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</si>
  <si>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</si>
  <si>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</si>
  <si>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</si>
  <si>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</si>
  <si>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</si>
  <si>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</si>
  <si>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</si>
  <si>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</si>
  <si>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</si>
  <si>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</si>
  <si>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</si>
  <si>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</si>
  <si>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</si>
  <si>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</si>
  <si>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</si>
  <si>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</si>
  <si>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</si>
  <si>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</si>
  <si>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</si>
  <si>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</si>
  <si>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</si>
  <si>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</si>
  <si>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</si>
  <si>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</si>
  <si>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</si>
  <si>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</si>
  <si>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</si>
  <si>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</si>
  <si>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</si>
  <si>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</si>
  <si>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</si>
  <si>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</si>
  <si>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</si>
  <si>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</si>
  <si>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</si>
  <si>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</si>
  <si>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</si>
  <si>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</si>
  <si>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</si>
  <si>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</si>
  <si>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</si>
  <si>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</si>
  <si>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</si>
  <si>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</si>
  <si>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</si>
  <si>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</si>
  <si>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</si>
  <si>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</si>
  <si>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</si>
  <si>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</si>
  <si>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</si>
  <si>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</si>
  <si>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</si>
  <si>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</si>
  <si>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</si>
  <si>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</si>
  <si>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</si>
  <si>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</si>
  <si>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</si>
  <si>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</si>
  <si>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</si>
  <si>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</si>
  <si>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</si>
  <si>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</si>
  <si>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</si>
  <si>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</si>
  <si>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</si>
  <si>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</si>
  <si>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</si>
  <si>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</si>
  <si>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</si>
  <si>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</si>
  <si>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</si>
  <si>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</si>
  <si>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</si>
  <si>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</si>
  <si>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</si>
  <si>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</si>
  <si>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</si>
  <si>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</si>
  <si>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</si>
  <si>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</si>
  <si>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</si>
  <si>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</si>
  <si>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</si>
  <si>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</si>
  <si>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</si>
  <si>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</si>
  <si>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</si>
  <si>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</si>
  <si>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</si>
  <si>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</si>
  <si>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</si>
  <si>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</si>
  <si>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</si>
  <si>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</si>
  <si>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</si>
  <si>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</si>
  <si>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</si>
  <si>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</si>
  <si>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</si>
  <si>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</si>
  <si>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</si>
  <si>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</si>
  <si>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</si>
  <si>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</si>
  <si>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</si>
  <si>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</si>
  <si>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</si>
  <si>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</si>
  <si>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</si>
  <si>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</si>
  <si>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</si>
  <si>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</si>
  <si>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</si>
  <si>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</si>
  <si>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</si>
  <si>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</si>
  <si>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</si>
  <si>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</si>
  <si>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</si>
  <si>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</si>
  <si>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</si>
  <si>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</si>
  <si>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</si>
  <si>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</si>
  <si>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</si>
  <si>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</si>
  <si>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</si>
  <si>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</si>
  <si>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</si>
  <si>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</si>
  <si>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</si>
  <si>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</si>
  <si>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</si>
  <si>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</si>
  <si>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</si>
  <si>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</si>
  <si>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</si>
  <si>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</si>
  <si>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</si>
  <si>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</si>
  <si>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</si>
  <si>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</si>
  <si>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</si>
  <si>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</si>
  <si>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</si>
  <si>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</si>
  <si>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</si>
  <si>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</si>
  <si>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</si>
  <si>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</si>
  <si>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</si>
  <si>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</si>
  <si>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</si>
  <si>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</si>
  <si>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</si>
  <si>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</si>
  <si>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</si>
  <si>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</si>
  <si>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</si>
  <si>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</si>
  <si>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</si>
  <si>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</si>
  <si>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</si>
  <si>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</si>
  <si>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</si>
  <si>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</si>
  <si>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</si>
  <si>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</si>
  <si>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</si>
  <si>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</si>
  <si>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</si>
  <si>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</si>
  <si>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</si>
  <si>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</si>
  <si>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</si>
  <si>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</si>
  <si>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</si>
  <si>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</si>
  <si>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</si>
  <si>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</si>
  <si>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</si>
  <si>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</si>
  <si>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</si>
  <si>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</si>
  <si>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</si>
  <si>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</si>
  <si>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</si>
  <si>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</si>
  <si>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</si>
  <si>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</si>
  <si>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</si>
  <si>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</si>
  <si>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</si>
  <si>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</si>
  <si>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</si>
  <si>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</si>
  <si>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</si>
  <si>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</si>
  <si>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</si>
  <si>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</si>
  <si>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</si>
  <si>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</si>
  <si>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</si>
  <si>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</si>
  <si>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</si>
  <si>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</si>
  <si>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</si>
  <si>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</si>
  <si>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</si>
  <si>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</si>
  <si>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</si>
  <si>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</si>
  <si>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</si>
  <si>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</si>
  <si>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</si>
  <si>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</si>
  <si>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</si>
  <si>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</si>
  <si>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</si>
  <si>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</si>
  <si>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</si>
  <si>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</si>
  <si>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</si>
  <si>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</si>
  <si>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</si>
  <si>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</si>
  <si>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</si>
  <si>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</si>
  <si>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</si>
  <si>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</si>
  <si>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</si>
  <si>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</si>
  <si>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</si>
  <si>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</si>
  <si>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</si>
  <si>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</si>
  <si>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</si>
  <si>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  PARTLY CLOUDY.</t>
  </si>
  <si>
    <t xml:space="preserve">  TODAY - LOTS OF SUNSHINE AND PLEASANT.</t>
  </si>
  <si>
    <t xml:space="preserve">  TONIGHT - CLEAR.</t>
  </si>
  <si>
    <t xml:space="preserve">  ABUNDANT SUNSHINE AND PLEASANT.</t>
  </si>
  <si>
    <t xml:space="preserve">  SUNNY MUCH OF THE TIME.</t>
  </si>
  <si>
    <t xml:space="preserve">  PARTLY SUNNY.</t>
  </si>
  <si>
    <t xml:space="preserve">  SUN AND CLOUDS.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</si>
</sst>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2C1ADC3-6822-CA45-3254-A8C000AE52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F246FAF1-D75D-E846-953C-6285C45FB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664836B-D276-6956-02EF-7547116C5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86449D6-67BB-9F06-1A77-D2E8934A9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3C10B037-E244-CEE9-CE78-DF15ACF7B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400DF4D-7B25-B445-84CE-5E5FED7139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DF599C8-02D3-B898-BFB2-5618E7B67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B3D46E0-4EB2-4D78-6B24-85B0CA1D4D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BC9BC11C-5C32-81BC-43B4-6B2784F40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7F1B4F68-BF60-F956-BDCE-A8BB41C3C7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3512BFAA-91A4-09EB-A75D-683F86C11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77E24FF-4657-D236-02D1-04F43230E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F8E8764-BEFE-69AE-17FD-018E65ECF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0ED27BB-7D7E-BD17-06CD-080EBE33F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7A8EB1D2-69F1-2B83-79D9-CB7E3E84D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39D8364D-39DB-FE10-AB27-64AF33603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77C71CBE-DE50-E912-053B-043BECE7A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FAC95693-A075-4B4B-0EE2-E660524348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9385F0E1-7415-C6E4-C781-5C634971B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57200A7A-5223-AFC7-B199-EFAF72473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4718D207-1120-30C5-2950-0297C087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2928974-D28B-3FC7-15E6-5226C5DC6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E34E94ED-FA68-5875-A1BD-0A36730AB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F0308B01-78D1-82D1-48A5-5E9C544B0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455F71FF-361D-E685-0972-5C46532D5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5A6A5159-73FB-C5EF-424B-DFA229658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AB41746E-DFF5-4449-BFB4-728244C00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DD548BCC-3754-67C1-2D34-09B5681A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932F37F6-DCDF-6FE1-37D7-A79F29A65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3D5327F8-3C64-5842-3AA5-178039085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23F6D6E1-88E7-FA0B-6364-95C631430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7122B46E-5186-DB06-23F0-8686001A1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050D2106-69D6-253E-9F92-E5BC9BDE7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337B6C2B-0A29-2E80-F6C4-CF7A092C2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E8F1481D-DDFB-AB55-F8F2-9DA3D7FBD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424A3854-38A3-8240-86E4-0144E2C41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D87AED2C-00F7-708A-B7F2-54D2EC0E2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4EFA037F-B3BD-D1DE-4198-25B6C8474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362EB094-07BA-BB87-FA50-8A223306D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DD0A315A-113D-823A-7123-380C523A8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67416323-2E32-58E4-BD7A-3D0674F8F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F69793C8-BC41-F3DC-674A-0BEBE8AF9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02F7D72A-DCCB-6E33-9EA2-5CFB3D5C5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2B17C5F0-6EDB-E368-9DFA-0A444A261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655" name="Day_1">
          <a:extLst>
            <a:ext uri="{FF2B5EF4-FFF2-40B4-BE49-F238E27FC236}">
              <a16:creationId xmlns:a16="http://schemas.microsoft.com/office/drawing/2014/main" id="{0CDAEAC5-E2D3-9BCA-534B-9128AFB38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656" name="Day_2">
          <a:extLst>
            <a:ext uri="{FF2B5EF4-FFF2-40B4-BE49-F238E27FC236}">
              <a16:creationId xmlns:a16="http://schemas.microsoft.com/office/drawing/2014/main" id="{8D12C325-46EF-E97E-F26C-C54AEF821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657" name="Day_3">
          <a:extLst>
            <a:ext uri="{FF2B5EF4-FFF2-40B4-BE49-F238E27FC236}">
              <a16:creationId xmlns:a16="http://schemas.microsoft.com/office/drawing/2014/main" id="{04705B81-2E8E-40E2-9CBA-8D685A599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658" name="Day_4">
          <a:extLst>
            <a:ext uri="{FF2B5EF4-FFF2-40B4-BE49-F238E27FC236}">
              <a16:creationId xmlns:a16="http://schemas.microsoft.com/office/drawing/2014/main" id="{41CF366D-05C8-B445-7D49-9F132DE3F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659" name="Day_5">
          <a:extLst>
            <a:ext uri="{FF2B5EF4-FFF2-40B4-BE49-F238E27FC236}">
              <a16:creationId xmlns:a16="http://schemas.microsoft.com/office/drawing/2014/main" id="{3665DEF7-44D1-F30E-F3FD-EA003BD87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660" name="Day_6">
          <a:extLst>
            <a:ext uri="{FF2B5EF4-FFF2-40B4-BE49-F238E27FC236}">
              <a16:creationId xmlns:a16="http://schemas.microsoft.com/office/drawing/2014/main" id="{98AD2A89-0841-4653-F98A-F701CB29A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C3A39550-D028-8E41-91D2-B90DA438605E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70032C98-DA76-FFE0-A505-20792C1DC899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903794BE-997B-8AC3-D616-1B105F0624B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E6D50011-CB33-E35B-883C-3074F51995F5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F15EA714-2E59-77D3-C6B2-9B68BE137770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DDB26B34-DCB0-0096-9FA0-5BFB3116BD4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7D6ABC73-03B0-9148-4781-B8E561C492AF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3CAB3BFA-BA5D-FADE-8947-CD58EFD5AC38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653B803C-F307-3B40-8A0B-0542E849527E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8140FDD1-A2FC-3371-7809-E291430F6ED2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55F250EE-C514-5032-DD58-9901463D164B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5D642777-0357-DB8F-87DC-A3EFFF202439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54988585-5006-8FC0-196F-A0ADFFA38663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86B87563-9705-D9CF-C88A-3D1FFAE8DE31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02C2F113-F4AE-FB1A-7116-674A6E421D54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1994B9E2-2CB4-A6BB-73D4-40D2F9BA18CF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EF45BA51-3B10-9CE8-7D1E-78C89299253B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EFAE10D3-0903-3260-6501-2E17603A4E36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7A781954-3286-8471-DBC1-CC5A4378CC37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A1A47572-5829-70BE-23BD-67E7EDD091E8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84538A39-1441-2D9F-6432-259C1CF2A00E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9E24C008-6CCF-F31A-0248-8D2352BE8128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6E29DCF6-DBE7-E976-BBBA-82640A95ED13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67108A3B-2FFD-1B7D-74BF-B254A0DCADE9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3CE1609C-5118-6808-238A-1D0C2463E2F1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429FD49D-4026-00AF-7D4E-D363F91DA463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34EF7C7A-DC3C-E1C0-2D6E-7A942512103A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B9FF1114-1799-A1AE-8D88-A5FB899CA6BB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44F91A0E-9647-AF02-69C4-CC1749775A32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E4C8ACDF-5943-6C21-6D1E-B432D1B2419B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C83D6EEC-CD6B-E941-3E17-0B9165B03B08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E3C3F67F-57F3-9F21-4C9D-F4625652598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8CFE8464-FD62-2048-EE24-3CFC9F15F347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1A158194-C257-675E-E618-BA98DDA490A7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CFC9E497-CC62-2B20-BBF7-2A50AAF59731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4D6809EE-8D84-3EFB-783E-DAECCC0196CE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F50DEB58-3F73-3967-52D8-50089F6B43D8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8B500405-62E2-80BD-7F25-8A03A2FA46AA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075F2D90-8481-AF7C-7FC4-89F02C08C81F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CF2046BF-D268-EA45-F086-55CC44918B49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0916D041-C035-B65E-7C00-3EBC9ABE0BFE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2632C803-5445-3419-AA47-CEF22D588C83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8F00F1B7-8903-E1B6-117E-59E899397DF6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4E8133F0-7DA5-8B2A-2F11-E4CC33815FAF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E3006A0D-DE66-B52E-6C5A-E9D6291679EF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3C1EDF47-9294-95D3-BB80-1351E7C1F5A0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F0ACB098-737B-2BC2-692B-74A3DF1E5DEE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F2346A7B-3DF8-AEAD-1E33-64FE78C3EE08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A4C0C059-7D93-C0B4-1294-913C2E2EAF5E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1A4E76AD-6DD9-B0BF-78D0-178268D2F001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E3CC2084-99C6-CE70-D51B-60116C469682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BA10FB82-CE7A-4832-E219-66163E2A2189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330272A1-6AE9-F719-2C76-91D1AB114EC3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3A270820-5754-010B-91DE-D504F87FCE58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97455C91-546D-0579-E546-58BE207B3554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441662F5-56DE-641F-EFD2-71C411EF1D1F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B5D043E0-F07A-4E83-D78F-C565704A7488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F097E7DA-D3BB-FACB-6FF2-04655836F3E9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DE41B13B-AFFF-DC39-EDEE-32CE6175A0CC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79D869F0-62F0-879B-4D7A-5B6C00ABC3D5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4EF6E988-6428-46B3-1A65-D7D531CF5514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D6662FCD-72AD-E90B-3AEC-558A76320B50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E0A29E4C-5761-0F33-1AAD-65F205444B7A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FFAFD34A-0E32-523D-B8FA-993AC0ACD1A4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6F83C81F-1321-63C7-91C9-0555BF3D3F90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63748141-5C4B-2025-F381-9C2CD7F581DB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E483DDD8-AC74-89A0-4B4E-25D939DB05FC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2AA82D6C-7718-8A0A-60DB-557BB4A2FEFF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A5943551-4807-BD0A-A0E8-63E746B1274D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FB1AC9D7-F4C5-FEA5-9244-4F6A9D756C4F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A94E6DDB-DAFF-A597-3684-DE69838F097F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A3F13814-6D36-8D41-0D13-936C9F8EDF62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449965F9-2BAE-9F69-1811-1BB7EF94A4B6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B31E961D-1E7B-A9F7-089C-8734610D44D5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12C1E955-8216-D32F-5E5A-FA3CF9CA16FE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F6187859-DBA3-DDC1-596C-4BE087AF8F4E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E661AA40-C793-E3E5-370D-7B2E3F0E092C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3DB10122-4745-7E23-07A9-DA305E7032C4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8C5F6595-D847-2EE3-3D24-7E3920F823DF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2B7F312B-843A-A3B4-414D-325FA4587B76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A112C3D2-EEF8-CCAF-B48F-625E55A0D547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9064F3C7-BEE0-921C-E41C-B4CABD7808F8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40EFD332-D12B-C667-0DF1-181B4A51E54E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AE9579AC-54B8-D846-C7AD-BA954CE9568D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F5290506-D6D6-C487-AA98-D17A28D5D6D3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D9D91AC6-AA39-9F64-661F-9957241D180B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7158DB76-8078-9436-999B-8CB25D022654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9129429C-D29A-41AA-6089-7CF340633148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BFB01837-A20A-9B7A-C47D-A9012A05DCE1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E1A41493-F710-3C27-B550-D1F4897C751A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3505397B-062F-42B7-D5D4-6C48C6F604B7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8E463501-B5BE-BD96-2C30-E2F79BCCF290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FC21F950-1FF7-F97D-6C6A-C1FB5D38C559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B31080C0-E4C8-87FA-7E07-862F3688DA2B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13F9BA5D-1B75-595E-42F0-8D9E5FEF5BFC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0FFC5277-7339-E59A-2A9E-52EC82562DB8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0822F8FC-11B7-326A-EDE3-72303A11C76A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B0FC8A7D-AC9C-7F2C-A7C3-01A9C3D1AAD3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5B4A8517-A1D2-7F02-F108-CD030AF9FBB0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75BDCD3C-F000-FF32-FDE5-8DFB38163AD8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1DC871F5-217B-7C27-7A5D-0125A7374C7D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EEF665A1-9309-6E78-9934-713D2609CCF0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08141C09-548F-505B-FE64-CC61B6608656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9DB84FDC-9B2B-4AA1-95E9-A2785C05196A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88809DC1-13D7-C769-EAB4-3FAC71FE5671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678C3C59-5501-B66E-6E72-EEC749D0B6EA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F6E6C13E-78CA-A961-F04C-C2761E40F164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1EA9FFB3-5271-3BEB-16ED-5C67DEC305C0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0472B1A9-B7E8-4BB2-EB43-791C2026A48E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57E80AE4-B37D-C307-F4CF-15186713909A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46974DE5-B011-3FA2-333B-85BFFC5019AC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96411148-F178-77A0-5F18-3724E33A3466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487C6A13-A51C-FACF-946E-828B97C9FB35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94FE2D53-4C00-11EE-11D4-E5CE27762766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1B2D9486-9F7B-9627-AC53-A6BBD2F22A9B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664A370B-899B-09F5-E238-F6B34EFBA5F5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9D91EA14-65F4-8D92-50AC-D051FB576E9A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0C248E42-5080-2B95-7A57-808909B5FD58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01EDF998-5DA0-0BC5-957D-16B63AF77BA6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BB259C28-76CF-449F-D57B-802AC112638A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A24539A1-BA87-D8CF-CD7D-EFF69EF1E96A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90FE5E80-4199-E497-1C78-57EF93DDEA50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F4DCCD80-BAA1-CB4C-F27C-17AED79B447E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BC1201D1-8F5E-80F8-242B-5FE5460F15F7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2C4DBD9C-6588-A545-4196-564011EFE954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15CB0718-84CB-97BE-A34C-7251B469FD3F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F2B90F76-F312-6D0C-747A-DEEE3D9D1B93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39A4906F-9BC7-C44E-EA57-A7D5272C93E3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F58205D3-ECD1-4731-7A40-9CBF2CF4962E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1CC04241-AA2D-1EA8-AAB0-F063B62851C0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>
      <selection activeCell="A2" sqref="A2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75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WED</v>
      </c>
      <c r="I1" s="865">
        <f>D4</f>
        <v>37083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37083</v>
      </c>
      <c r="E4" s="833">
        <f>Weather_Input!A6</f>
        <v>37084</v>
      </c>
      <c r="F4" s="833">
        <f>Weather_Input!A7</f>
        <v>37085</v>
      </c>
      <c r="G4" s="833">
        <f>Weather_Input!A8</f>
        <v>37086</v>
      </c>
      <c r="H4" s="833">
        <f>Weather_Input!A9</f>
        <v>37087</v>
      </c>
      <c r="I4" s="834">
        <f>Weather_Input!A10</f>
        <v>37088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76/61/69</v>
      </c>
      <c r="E5" s="866" t="str">
        <f>TEXT(Weather_Input!B6,"0")&amp;"/"&amp;TEXT(Weather_Input!C6,"0") &amp; "/" &amp; TEXT((Weather_Input!B6+Weather_Input!C6)/2,"0")</f>
        <v>79/58/69</v>
      </c>
      <c r="F5" s="866" t="str">
        <f>TEXT(Weather_Input!B7,"0")&amp;"/"&amp;TEXT(Weather_Input!C7,"0") &amp; "/" &amp; TEXT((Weather_Input!B7+Weather_Input!C7)/2,"0")</f>
        <v>81/60/71</v>
      </c>
      <c r="G5" s="866" t="str">
        <f>TEXT(Weather_Input!B8,"0")&amp;"/"&amp;TEXT(Weather_Input!C8,"0") &amp; "/" &amp; TEXT((Weather_Input!B8+Weather_Input!C8)/2,"0")</f>
        <v>83/62/73</v>
      </c>
      <c r="H5" s="866" t="str">
        <f>TEXT(Weather_Input!B9,"0")&amp;"/"&amp;TEXT(Weather_Input!C9,"0") &amp; "/" &amp; TEXT((Weather_Input!B9+Weather_Input!C9)/2,"0")</f>
        <v>86/65/76</v>
      </c>
      <c r="I5" s="867" t="str">
        <f>TEXT(Weather_Input!B10,"0")&amp;"/"&amp;TEXT(Weather_Input!C10,"0") &amp; "/" &amp; TEXT((Weather_Input!B10+Weather_Input!C10)/2,"0")</f>
        <v>89/68/79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34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32</v>
      </c>
      <c r="G6" s="836">
        <f ca="1">VLOOKUP(G4,NSG_Sendouts,CELL("Col",NSG_Deliveries!C8),FALSE)/1000</f>
        <v>31</v>
      </c>
      <c r="H6" s="836">
        <f ca="1">VLOOKUP(H4,NSG_Sendouts,CELL("Col",NSG_Deliveries!C9),FALSE)/1000</f>
        <v>34</v>
      </c>
      <c r="I6" s="841">
        <f ca="1">VLOOKUP(I4,NSG_Sendouts,CELL("Col",NSG_Deliveries!C10),FALSE)/1000</f>
        <v>35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6.0149999999999997</v>
      </c>
      <c r="E8" s="836">
        <f>NSG_Requirements!J8/1000</f>
        <v>3.94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40.015000000000001</v>
      </c>
      <c r="E11" s="845">
        <f t="shared" ca="1" si="1"/>
        <v>37.94</v>
      </c>
      <c r="F11" s="845">
        <f t="shared" ca="1" si="1"/>
        <v>32</v>
      </c>
      <c r="G11" s="845">
        <f t="shared" ca="1" si="1"/>
        <v>31</v>
      </c>
      <c r="H11" s="845">
        <f t="shared" ca="1" si="1"/>
        <v>34</v>
      </c>
      <c r="I11" s="846">
        <f t="shared" ca="1" si="1"/>
        <v>35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789</v>
      </c>
      <c r="D17" s="836">
        <f>NSG_Supplies!F7/1000</f>
        <v>0.67300000000000004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27.363</v>
      </c>
      <c r="E19" s="836">
        <f>NSG_Supplies!Q8/1000</f>
        <v>25.937999999999999</v>
      </c>
      <c r="F19" s="836">
        <f>NSG_Supplies!Q9/1000</f>
        <v>25.937999999999999</v>
      </c>
      <c r="G19" s="836">
        <f>NSG_Supplies!Q10/1000</f>
        <v>25.937999999999999</v>
      </c>
      <c r="H19" s="836">
        <f>NSG_Supplies!Q11/1000</f>
        <v>25.937999999999999</v>
      </c>
      <c r="I19" s="837">
        <f>NSG_Supplies!Q12/1000</f>
        <v>25.937999999999999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5" customHeight="1" thickBot="1">
      <c r="A21" s="1242" t="s">
        <v>149</v>
      </c>
      <c r="B21" s="1243"/>
      <c r="C21" s="1243"/>
      <c r="D21" s="1244">
        <f t="shared" ref="D21:I21" si="2">SUM(D14:D20)</f>
        <v>40.036000000000001</v>
      </c>
      <c r="E21" s="1244">
        <f t="shared" si="2"/>
        <v>37.938000000000002</v>
      </c>
      <c r="F21" s="1244">
        <f t="shared" si="2"/>
        <v>37.938000000000002</v>
      </c>
      <c r="G21" s="1244">
        <f t="shared" si="2"/>
        <v>37.938000000000002</v>
      </c>
      <c r="H21" s="1244">
        <f t="shared" si="2"/>
        <v>37.938000000000002</v>
      </c>
      <c r="I21" s="1245">
        <f t="shared" si="2"/>
        <v>37.938000000000002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2.1000000000000796E-2</v>
      </c>
      <c r="E22" s="877">
        <f t="shared" ca="1" si="3"/>
        <v>0</v>
      </c>
      <c r="F22" s="877">
        <f t="shared" ca="1" si="3"/>
        <v>5.9380000000000024</v>
      </c>
      <c r="G22" s="877">
        <f t="shared" ca="1" si="3"/>
        <v>6.9380000000000024</v>
      </c>
      <c r="H22" s="877">
        <f t="shared" ca="1" si="3"/>
        <v>3.9380000000000024</v>
      </c>
      <c r="I22" s="878">
        <f t="shared" ca="1" si="3"/>
        <v>2.9380000000000024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1.9999999999953388E-3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16.03</v>
      </c>
      <c r="E24" s="1097">
        <f>NSG_Supplies!R8/1000</f>
        <v>14.605</v>
      </c>
      <c r="F24" s="1097">
        <f>NSG_Supplies!R9/1000</f>
        <v>14.605</v>
      </c>
      <c r="G24" s="1097">
        <f>NSG_Supplies!R10/1000</f>
        <v>14.605</v>
      </c>
      <c r="H24" s="1097">
        <f>NSG_Supplies!R11/1000</f>
        <v>14.605</v>
      </c>
      <c r="I24" s="1098">
        <f>NSG_Supplies!R12/1000</f>
        <v>14.605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6</v>
      </c>
      <c r="E26" s="884">
        <f>Weather_Input!D6</f>
        <v>6</v>
      </c>
      <c r="F26" s="884">
        <f>Weather_Input!D7</f>
        <v>8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G1" zoomScale="75" workbookViewId="0">
      <selection activeCell="Q1" sqref="Q1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37083</v>
      </c>
      <c r="N1" s="1218" t="str">
        <f>CHOOSE(WEEKDAY(M1),"SUN","MON","TUE","WED","THU","FRI","SAT")</f>
        <v>WED</v>
      </c>
      <c r="O1" s="588"/>
    </row>
    <row r="2" spans="1:17" ht="16.5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75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15.805</v>
      </c>
      <c r="G3" s="383" t="s">
        <v>9</v>
      </c>
      <c r="H3" s="1132" t="s">
        <v>9</v>
      </c>
      <c r="I3" s="1187" t="s">
        <v>9</v>
      </c>
      <c r="J3" s="944">
        <f>Weather_Input!B5</f>
        <v>76</v>
      </c>
      <c r="K3" s="945">
        <f>Weather_Input!C5</f>
        <v>61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96.158000000000001</v>
      </c>
      <c r="C5" s="1047" t="s">
        <v>9</v>
      </c>
      <c r="D5" s="344"/>
      <c r="E5" s="1197" t="s">
        <v>430</v>
      </c>
      <c r="F5" s="964">
        <f>F3+F4</f>
        <v>15.805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200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96.158000000000001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3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96.158000000000001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-129.64500000000004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130.08000000000001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181.30600000000001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15.805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1.0449999999999999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0.61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-13.85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1.9511999999999998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5" thickBot="1">
      <c r="A19" s="513" t="s">
        <v>430</v>
      </c>
      <c r="B19" s="1208">
        <f>-B13+B14+B16-B17-B15+B20+B21</f>
        <v>-129.64500000000004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0</v>
      </c>
      <c r="L19" s="1214"/>
      <c r="M19" s="157"/>
      <c r="N19" s="1214"/>
      <c r="O19" s="1213"/>
    </row>
    <row r="20" spans="1:15" ht="16.5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149.77399999999997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50.226000000000028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0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1.9511999999999998</v>
      </c>
      <c r="L25" s="951"/>
      <c r="M25" s="1225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52.177200000000028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4.4139999999999997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-45.982999999999997</v>
      </c>
      <c r="L30" s="1161"/>
      <c r="M30" s="1061">
        <f>-PGL_Supplies!AB7/1000</f>
        <v>-45.982999999999997</v>
      </c>
      <c r="N30" s="1162"/>
      <c r="O30" s="1222">
        <f>-PGL_Supplies!AB7/1000</f>
        <v>-45.982999999999997</v>
      </c>
    </row>
    <row r="31" spans="1:15" ht="16.5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176.30600000000001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75" thickBot="1">
      <c r="A33" s="1117" t="s">
        <v>587</v>
      </c>
      <c r="B33" s="966">
        <f>PGL_Supplies!S7/1000</f>
        <v>10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5" thickBot="1">
      <c r="A34" s="1173" t="s">
        <v>650</v>
      </c>
      <c r="B34" s="1198">
        <f>-B30+B31+B32+B33*0.5</f>
        <v>181.30600000000001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181.30600000000001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0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5" thickBot="1">
      <c r="A39" s="1119" t="s">
        <v>2</v>
      </c>
      <c r="B39" s="1221">
        <f>B35+B36+B37+B38</f>
        <v>181.30600000000001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7.25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topLeftCell="A39" zoomScale="75" workbookViewId="0">
      <selection activeCell="A39" sqref="A39"/>
    </sheetView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WED</v>
      </c>
      <c r="G1" s="1224">
        <f>Weather_Input!A5</f>
        <v>37083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/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76</v>
      </c>
      <c r="C4" s="750">
        <f>Weather_Input!C5</f>
        <v>61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34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28.015000000000001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5.9850000000000003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28.015000000000001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-0.67300000000000004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-27.363</v>
      </c>
      <c r="D25" s="710"/>
      <c r="E25" s="703">
        <f>-NSG_Supplies!Q7/1000</f>
        <v>-27.363</v>
      </c>
      <c r="F25" s="710"/>
      <c r="G25" s="703">
        <f>-NSG_Supplies!Q7/1000</f>
        <v>-27.363</v>
      </c>
      <c r="H25" s="709"/>
      <c r="I25" s="766">
        <f>-NSG_Supplies!Q7/1000</f>
        <v>-27.363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6.0149999999999997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5.9850000000000003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37083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76</v>
      </c>
      <c r="C5" s="261">
        <f>Weather_Input!C5</f>
        <v>61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200</v>
      </c>
      <c r="C8" s="269">
        <f>NSG_Deliveries!C5/1000</f>
        <v>34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126.056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15.805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-33.922000000000011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1.0449999999999999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13.85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34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1.9511999999999998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34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0.61</v>
      </c>
      <c r="C27" s="305">
        <f>NSG_Requirements!P7/1000</f>
        <v>0</v>
      </c>
      <c r="D27" s="305">
        <f>PGL_Requirements!Q7/1000</f>
        <v>0.61</v>
      </c>
      <c r="E27" s="305">
        <f>NSG_Requirements!P7/1000</f>
        <v>0</v>
      </c>
      <c r="F27" s="305">
        <f>PGL_Requirements!Q7/1000</f>
        <v>0.61</v>
      </c>
      <c r="G27" s="305">
        <f>NSG_Requirements!P7/1000</f>
        <v>0</v>
      </c>
      <c r="H27" s="306">
        <f>+B27</f>
        <v>0.61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-45.982999999999997</v>
      </c>
      <c r="C32" s="310">
        <f>-NSG_Supplies!Q7/1000</f>
        <v>-27.363</v>
      </c>
      <c r="D32" s="310">
        <f>B32</f>
        <v>-45.982999999999997</v>
      </c>
      <c r="E32" s="310">
        <f>C32</f>
        <v>-27.363</v>
      </c>
      <c r="F32" s="310">
        <f>B32</f>
        <v>-45.982999999999997</v>
      </c>
      <c r="G32" s="310">
        <f>C32</f>
        <v>-27.363</v>
      </c>
      <c r="H32" s="315">
        <f>B32</f>
        <v>-45.982999999999997</v>
      </c>
      <c r="I32" s="316">
        <f>C32</f>
        <v>-27.363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-16.03</v>
      </c>
      <c r="D33" s="310">
        <f>B33</f>
        <v>0</v>
      </c>
      <c r="E33" s="310">
        <f>C33</f>
        <v>-16.03</v>
      </c>
      <c r="F33" s="310">
        <f>B33</f>
        <v>0</v>
      </c>
      <c r="G33" s="310">
        <f>C33</f>
        <v>-16.03</v>
      </c>
      <c r="H33" s="315">
        <f>B33</f>
        <v>0</v>
      </c>
      <c r="I33" s="316">
        <f>C33</f>
        <v>-16.03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4.4139999999999997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-0.67300000000000004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130.08000000000001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1.0449999999999999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1.9511999999999998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1.9511999999999998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1.0449999999999999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126.056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126.056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96.158000000000001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130.08000000000001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3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-33.922000000000011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WED</v>
      </c>
      <c r="H73" s="401">
        <f>Weather_Input!A5</f>
        <v>37083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1.0449999999999999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126.056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96.158000000000001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13.85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-16.03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4.4139999999999997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126.056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126.056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130.08000000000001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1.0449999999999999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1.9511999999999998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1.0449999999999999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3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96.158000000000001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96.158000000000001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37084.450380092596</v>
      </c>
      <c r="F22" s="161" t="s">
        <v>257</v>
      </c>
      <c r="G22" s="188">
        <f ca="1">NOW()</f>
        <v>37084.450380092596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37083</v>
      </c>
      <c r="C5" s="15"/>
      <c r="D5" s="22" t="s">
        <v>275</v>
      </c>
      <c r="E5" s="23">
        <f>Weather_Input!B5</f>
        <v>76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61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69.3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PARTLY CLOUDY.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37084</v>
      </c>
      <c r="C10" s="15"/>
      <c r="D10" s="150" t="s">
        <v>275</v>
      </c>
      <c r="E10" s="23">
        <f>Weather_Input!B6</f>
        <v>79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58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68.5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 xml:space="preserve">  TODAY - LOTS OF SUNSHINE AND PLEASANT.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CLEAR.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37085</v>
      </c>
      <c r="C15" s="15"/>
      <c r="D15" s="22" t="s">
        <v>275</v>
      </c>
      <c r="E15" s="23">
        <f>Weather_Input!B7</f>
        <v>81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60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70.5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282</v>
      </c>
    </row>
    <row r="18" spans="1:109" ht="15">
      <c r="A18" s="18"/>
      <c r="B18" s="20"/>
      <c r="C18" s="15"/>
      <c r="D18" s="32" t="str">
        <f>IF(Weather_Input!I7=""," ",Weather_Input!I7)</f>
        <v xml:space="preserve">  ABUNDANT SUNSHINE AND PLEASANT.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37086</v>
      </c>
      <c r="C20" s="15"/>
      <c r="D20" s="22" t="s">
        <v>275</v>
      </c>
      <c r="E20" s="23">
        <f>Weather_Input!B8</f>
        <v>83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62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72.5</v>
      </c>
      <c r="F22" s="24" t="s">
        <v>281</v>
      </c>
      <c r="G22" s="25">
        <f>IF(AND(DAY(B20)=1,MONTH(B20)=8),G20,G17+G20)</f>
        <v>6704</v>
      </c>
      <c r="H22" s="26" t="s">
        <v>281</v>
      </c>
      <c r="I22" s="27">
        <f ca="1">G22-(VLOOKUP(B20,DD_Normal_Data,CELL("Col",D19),FALSE))</f>
        <v>282</v>
      </c>
    </row>
    <row r="23" spans="1:109" ht="15">
      <c r="A23" s="18"/>
      <c r="B23" s="21"/>
      <c r="C23" s="15"/>
      <c r="D23" s="32" t="str">
        <f>IF(Weather_Input!I8=""," ",Weather_Input!I8)</f>
        <v xml:space="preserve">  SUNNY MUCH OF THE TIME.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37087</v>
      </c>
      <c r="C25" s="15"/>
      <c r="D25" s="22" t="s">
        <v>275</v>
      </c>
      <c r="E25" s="23">
        <f>Weather_Input!B9</f>
        <v>86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65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75.5</v>
      </c>
      <c r="F27" s="24" t="s">
        <v>281</v>
      </c>
      <c r="G27" s="25">
        <f>IF(AND(DAY(B25)=1,MONTH(B25)=8),G25,G22+G25)</f>
        <v>6704</v>
      </c>
      <c r="H27" s="26" t="s">
        <v>281</v>
      </c>
      <c r="I27" s="27">
        <f ca="1">G27-(VLOOKUP(B25,DD_Normal_Data,CELL("Col",D24),FALSE))</f>
        <v>282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37088</v>
      </c>
      <c r="C30" s="15"/>
      <c r="D30" s="22" t="s">
        <v>275</v>
      </c>
      <c r="E30" s="23">
        <f>Weather_Input!B10</f>
        <v>89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68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78.5</v>
      </c>
      <c r="F32" s="24" t="s">
        <v>281</v>
      </c>
      <c r="G32" s="25">
        <f>IF(AND(DAY(B30)=1,MONTH(B30)=8),G30,G27+G30)</f>
        <v>6704</v>
      </c>
      <c r="H32" s="26" t="s">
        <v>281</v>
      </c>
      <c r="I32" s="27">
        <f ca="1">G32-(VLOOKUP(B30,DD_Normal_Data,CELL("Col",D29),FALSE))</f>
        <v>282</v>
      </c>
    </row>
    <row r="33" spans="1:9" ht="15">
      <c r="A33" s="15"/>
      <c r="B33" s="34"/>
      <c r="C33" s="15"/>
      <c r="D33" s="32" t="str">
        <f>IF(Weather_Input!I10=""," ",Weather_Input!I10)</f>
        <v xml:space="preserve">  SUN AND CLOUDS.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37083</v>
      </c>
      <c r="C36" s="89">
        <f>B10</f>
        <v>37084</v>
      </c>
      <c r="D36" s="89">
        <f>B15</f>
        <v>37085</v>
      </c>
      <c r="E36" s="89">
        <f xml:space="preserve">       B20</f>
        <v>37086</v>
      </c>
      <c r="F36" s="89">
        <f>B25</f>
        <v>37087</v>
      </c>
      <c r="G36" s="89">
        <f>B30</f>
        <v>37088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200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185</v>
      </c>
      <c r="E37" s="41">
        <f ca="1">(VLOOKUP(E36,PGL_Sendouts,(CELL("COL",PGL_Deliveries!C9))))/1000</f>
        <v>175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200</v>
      </c>
      <c r="H37" s="14"/>
      <c r="I37" s="15"/>
    </row>
    <row r="38" spans="1:9" ht="15">
      <c r="A38" s="15" t="s">
        <v>286</v>
      </c>
      <c r="B38" s="41">
        <f>PGL_6_Day_Report!D25</f>
        <v>354.10520000000002</v>
      </c>
      <c r="C38" s="41">
        <f>PGL_6_Day_Report!E25</f>
        <v>332.97</v>
      </c>
      <c r="D38" s="41">
        <f>PGL_6_Day_Report!F25</f>
        <v>322.87</v>
      </c>
      <c r="E38" s="41">
        <f>PGL_6_Day_Report!G25</f>
        <v>312.87</v>
      </c>
      <c r="F38" s="41">
        <f>PGL_6_Day_Report!H25</f>
        <v>327.87</v>
      </c>
      <c r="G38" s="41">
        <f>PGL_6_Day_Report!I25</f>
        <v>337.87</v>
      </c>
      <c r="H38" s="14"/>
      <c r="I38" s="15"/>
    </row>
    <row r="39" spans="1:9" ht="15">
      <c r="A39" s="42" t="s">
        <v>104</v>
      </c>
      <c r="B39" s="41">
        <f>SUM(PGL_Supplies!Y7:AD7)/1000</f>
        <v>225.489</v>
      </c>
      <c r="C39" s="41">
        <f>SUM(PGL_Supplies!Y8:AD8)/1000</f>
        <v>190.28899999999999</v>
      </c>
      <c r="D39" s="41">
        <f>SUM(PGL_Supplies!Y9:AD9)/1000</f>
        <v>190.28899999999999</v>
      </c>
      <c r="E39" s="41">
        <f>SUM(PGL_Supplies!Y10:AD10)/1000</f>
        <v>190.28899999999999</v>
      </c>
      <c r="F39" s="41">
        <f>SUM(PGL_Supplies!Y11:AD11)/1000</f>
        <v>190.28899999999999</v>
      </c>
      <c r="G39" s="41">
        <f>SUM(PGL_Supplies!Y12:AD12)/1000</f>
        <v>190.28899999999999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0.81</v>
      </c>
      <c r="C41" s="41">
        <f>SUM(PGL_Requirements!Q7:T7)/1000</f>
        <v>0.81</v>
      </c>
      <c r="D41" s="41">
        <f>SUM(PGL_Requirements!Q7:T7)/1000</f>
        <v>0.81</v>
      </c>
      <c r="E41" s="41">
        <f>SUM(PGL_Requirements!Q7:T7)/1000</f>
        <v>0.81</v>
      </c>
      <c r="F41" s="41">
        <f>SUM(PGL_Requirements!Q7:T7)/1000</f>
        <v>0.81</v>
      </c>
      <c r="G41" s="41">
        <f>SUM(PGL_Requirements!Q7:T7)/1000</f>
        <v>0.81</v>
      </c>
      <c r="H41" s="14"/>
      <c r="I41" s="15"/>
    </row>
    <row r="42" spans="1:9" ht="15">
      <c r="A42" s="15" t="s">
        <v>127</v>
      </c>
      <c r="B42" s="41">
        <f>PGL_Supplies!U7/1000</f>
        <v>126.056</v>
      </c>
      <c r="C42" s="41">
        <f>PGL_Supplies!U8/1000</f>
        <v>112.839</v>
      </c>
      <c r="D42" s="41">
        <f>PGL_Supplies!U9/1000</f>
        <v>112.839</v>
      </c>
      <c r="E42" s="41">
        <f>PGL_Supplies!U10/1000</f>
        <v>112.839</v>
      </c>
      <c r="F42" s="41">
        <f>PGL_Supplies!U11/1000</f>
        <v>112.839</v>
      </c>
      <c r="G42" s="41">
        <f>PGL_Supplies!U12/1000</f>
        <v>112.839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37083</v>
      </c>
      <c r="C44" s="89">
        <f t="shared" si="0"/>
        <v>37084</v>
      </c>
      <c r="D44" s="89">
        <f t="shared" si="0"/>
        <v>37085</v>
      </c>
      <c r="E44" s="89">
        <f t="shared" si="0"/>
        <v>37086</v>
      </c>
      <c r="F44" s="89">
        <f t="shared" si="0"/>
        <v>37087</v>
      </c>
      <c r="G44" s="89">
        <f t="shared" si="0"/>
        <v>37088</v>
      </c>
      <c r="H44" s="14"/>
      <c r="I44" s="15"/>
    </row>
    <row r="45" spans="1:9" ht="15">
      <c r="A45" s="15" t="s">
        <v>54</v>
      </c>
      <c r="B45" s="41">
        <f ca="1">NSG_6_Day_Report!D6</f>
        <v>34</v>
      </c>
      <c r="C45" s="41">
        <f ca="1">NSG_6_Day_Report!E6</f>
        <v>34</v>
      </c>
      <c r="D45" s="41">
        <f ca="1">NSG_6_Day_Report!F6</f>
        <v>32</v>
      </c>
      <c r="E45" s="41">
        <f ca="1">NSG_6_Day_Report!G6</f>
        <v>31</v>
      </c>
      <c r="F45" s="41">
        <f ca="1">NSG_6_Day_Report!H6</f>
        <v>34</v>
      </c>
      <c r="G45" s="41">
        <f ca="1">NSG_6_Day_Report!I6</f>
        <v>35</v>
      </c>
      <c r="H45" s="14"/>
      <c r="I45" s="15"/>
    </row>
    <row r="46" spans="1:9" ht="15">
      <c r="A46" s="42" t="s">
        <v>286</v>
      </c>
      <c r="B46" s="41">
        <f ca="1">NSG_6_Day_Report!D11</f>
        <v>40.015000000000001</v>
      </c>
      <c r="C46" s="41">
        <f ca="1">NSG_6_Day_Report!E11</f>
        <v>37.94</v>
      </c>
      <c r="D46" s="41">
        <f ca="1">NSG_6_Day_Report!F11</f>
        <v>32</v>
      </c>
      <c r="E46" s="41">
        <f ca="1">NSG_6_Day_Report!G11</f>
        <v>31</v>
      </c>
      <c r="F46" s="41">
        <f ca="1">NSG_6_Day_Report!H11</f>
        <v>34</v>
      </c>
      <c r="G46" s="41">
        <f ca="1">NSG_6_Day_Report!I11</f>
        <v>35</v>
      </c>
      <c r="H46" s="14"/>
      <c r="I46" s="15"/>
    </row>
    <row r="47" spans="1:9" ht="15">
      <c r="A47" s="42" t="s">
        <v>104</v>
      </c>
      <c r="B47" s="41">
        <f>SUM(NSG_Supplies!O7:Q7)/1000</f>
        <v>39.363</v>
      </c>
      <c r="C47" s="41">
        <f>SUM(NSG_Supplies!O8:Q8)/1000</f>
        <v>37.938000000000002</v>
      </c>
      <c r="D47" s="41">
        <f>SUM(NSG_Supplies!O9:Q9)/1000</f>
        <v>37.938000000000002</v>
      </c>
      <c r="E47" s="41">
        <f>SUM(NSG_Supplies!O10:Q10)/1000</f>
        <v>37.938000000000002</v>
      </c>
      <c r="F47" s="41">
        <f>SUM(NSG_Supplies!O11:Q11)/1000</f>
        <v>37.938000000000002</v>
      </c>
      <c r="G47" s="41">
        <f>SUM(NSG_Supplies!O12:Q12)/1000</f>
        <v>37.938000000000002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16.03</v>
      </c>
      <c r="C50" s="41">
        <f>NSG_Supplies!R8/1000</f>
        <v>14.605</v>
      </c>
      <c r="D50" s="41">
        <f>NSG_Supplies!R9/1000</f>
        <v>14.605</v>
      </c>
      <c r="E50" s="41">
        <f>NSG_Supplies!R10/1000</f>
        <v>14.605</v>
      </c>
      <c r="F50" s="41">
        <f>NSG_Supplies!R11/1000</f>
        <v>14.605</v>
      </c>
      <c r="G50" s="41">
        <f>NSG_Supplies!R12/1000</f>
        <v>14.605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37083</v>
      </c>
      <c r="C52" s="89">
        <f t="shared" si="1"/>
        <v>37084</v>
      </c>
      <c r="D52" s="89">
        <f t="shared" si="1"/>
        <v>37085</v>
      </c>
      <c r="E52" s="89">
        <f t="shared" si="1"/>
        <v>37086</v>
      </c>
      <c r="F52" s="89">
        <f t="shared" si="1"/>
        <v>37087</v>
      </c>
      <c r="G52" s="89">
        <f t="shared" si="1"/>
        <v>37088</v>
      </c>
      <c r="H52" s="14"/>
      <c r="I52" s="15"/>
    </row>
    <row r="53" spans="1:9" ht="15">
      <c r="A53" s="92" t="s">
        <v>290</v>
      </c>
      <c r="B53" s="41">
        <f>PGL_Requirements!O7/1000</f>
        <v>130.08000000000001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Thursday</v>
      </c>
      <c r="C4" s="1066" t="str">
        <f>Six_Day_Summary!A15</f>
        <v>Friday</v>
      </c>
      <c r="D4" s="1066" t="str">
        <f>Six_Day_Summary!A20</f>
        <v>Saturday</v>
      </c>
      <c r="E4" s="1066" t="str">
        <f>Six_Day_Summary!A25</f>
        <v>Sunday</v>
      </c>
      <c r="F4" s="1067" t="str">
        <f>Six_Day_Summary!A30</f>
        <v>Monday</v>
      </c>
      <c r="G4" s="98"/>
    </row>
    <row r="5" spans="1:8">
      <c r="A5" s="101" t="s">
        <v>297</v>
      </c>
      <c r="B5" s="1068">
        <f>Weather_Input!A6</f>
        <v>37084</v>
      </c>
      <c r="C5" s="1069">
        <f>Weather_Input!A7</f>
        <v>37085</v>
      </c>
      <c r="D5" s="1069">
        <f>Weather_Input!A8</f>
        <v>37086</v>
      </c>
      <c r="E5" s="1069">
        <f>Weather_Input!A9</f>
        <v>37087</v>
      </c>
      <c r="F5" s="1070">
        <f>Weather_Input!A10</f>
        <v>37088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23.283000000000001</v>
      </c>
      <c r="C6" s="1071">
        <f>PGL_Supplies!AB9/1000+PGL_Supplies!K9/1000-PGL_Requirements!N9/1000+C15-PGL_Requirements!S9/1000</f>
        <v>23.283000000000001</v>
      </c>
      <c r="D6" s="1071">
        <f>PGL_Supplies!AB10/1000+PGL_Supplies!K10/1000-PGL_Requirements!N10/1000+D15-PGL_Requirements!S10/1000</f>
        <v>23.283000000000001</v>
      </c>
      <c r="E6" s="1071">
        <f>PGL_Supplies!AB11/1000+PGL_Supplies!K11/1000-PGL_Requirements!N11/1000+E15-PGL_Requirements!S11/1000</f>
        <v>23.283000000000001</v>
      </c>
      <c r="F6" s="1072">
        <f>PGL_Supplies!AB12/1000+PGL_Supplies!K12/1000-PGL_Requirements!N12/1000+F15-PGL_Requirements!S12/1000</f>
        <v>23.283000000000001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Thursday</v>
      </c>
      <c r="C21" s="1081" t="str">
        <f t="shared" si="0"/>
        <v>Friday</v>
      </c>
      <c r="D21" s="1081" t="str">
        <f t="shared" si="0"/>
        <v>Saturday</v>
      </c>
      <c r="E21" s="1081" t="str">
        <f t="shared" si="0"/>
        <v>Sunday</v>
      </c>
      <c r="F21" s="1082" t="str">
        <f t="shared" si="0"/>
        <v>Monday</v>
      </c>
      <c r="G21" s="98"/>
    </row>
    <row r="22" spans="1:7">
      <c r="A22" s="105" t="s">
        <v>297</v>
      </c>
      <c r="B22" s="1083">
        <f t="shared" si="0"/>
        <v>37084</v>
      </c>
      <c r="C22" s="1083">
        <f t="shared" si="0"/>
        <v>37085</v>
      </c>
      <c r="D22" s="1083">
        <f t="shared" si="0"/>
        <v>37086</v>
      </c>
      <c r="E22" s="1083">
        <f t="shared" si="0"/>
        <v>37087</v>
      </c>
      <c r="F22" s="1084">
        <f t="shared" si="0"/>
        <v>37088</v>
      </c>
      <c r="G22" s="98"/>
    </row>
    <row r="23" spans="1:7">
      <c r="A23" s="98" t="s">
        <v>298</v>
      </c>
      <c r="B23" s="1077">
        <f>NSG_Supplies!Q8/1000+NSG_Supplies!F8/1000-NSG_Requirements!H8/1000</f>
        <v>25.937999999999999</v>
      </c>
      <c r="C23" s="1077">
        <f>NSG_Supplies!Q9/1000+NSG_Supplies!F9/1000-NSG_Requirements!H9/1000</f>
        <v>25.937999999999999</v>
      </c>
      <c r="D23" s="1077">
        <f>NSG_Supplies!Q10/1000+NSG_Supplies!F10/1000-NSG_Requirements!H10/1000</f>
        <v>25.937999999999999</v>
      </c>
      <c r="E23" s="1077">
        <f>NSG_Supplies!Q12/1000+NSG_Supplies!F11/1000-NSG_Requirements!H11/1000</f>
        <v>25.937999999999999</v>
      </c>
      <c r="F23" s="1072">
        <f>NSG_Supplies!Q12/1000+NSG_Supplies!F12/1000-NSG_Requirements!H12/1000</f>
        <v>25.937999999999999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/>
      <c r="B1" s="796" t="s">
        <v>359</v>
      </c>
      <c r="C1" s="892">
        <f>Weather_Input!A6</f>
        <v>37084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3.94</v>
      </c>
      <c r="E4" s="789"/>
      <c r="F4" s="169" t="s">
        <v>520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8.06</v>
      </c>
      <c r="D5" s="433"/>
      <c r="E5" s="435">
        <f>AVERAGE(C5/24)</f>
        <v>0.33583333333333337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40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163.80600000000001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97.656000000000006</v>
      </c>
      <c r="D11" s="778"/>
      <c r="E11" s="1056"/>
      <c r="F11" s="430" t="s">
        <v>356</v>
      </c>
      <c r="G11" s="442">
        <f>G8+G10</f>
        <v>203.80600000000001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97.656000000000006</v>
      </c>
      <c r="D14" s="433"/>
      <c r="E14" s="435">
        <f>AVERAGE(C14/24)</f>
        <v>4.069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203.60600000000002</v>
      </c>
      <c r="H15" s="433" t="s">
        <v>9</v>
      </c>
      <c r="I15" s="435">
        <f>AVERAGE(G15/24)</f>
        <v>8.4835833333333337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0.2</v>
      </c>
      <c r="H16" s="443" t="s">
        <v>9</v>
      </c>
      <c r="I16" s="435">
        <f>AVERAGE(G16/24)</f>
        <v>8.3333333333333332E-3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37084</v>
      </c>
      <c r="I1" s="914"/>
      <c r="J1" s="916"/>
      <c r="K1" s="916"/>
    </row>
    <row r="2" spans="1:22" ht="16.5" customHeight="1">
      <c r="A2" s="934" t="s">
        <v>641</v>
      </c>
      <c r="C2" s="982">
        <v>376</v>
      </c>
      <c r="F2" s="983">
        <v>378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8.06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25.937999999999999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-2.0000000000024443E-3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97.656000000000006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378</v>
      </c>
      <c r="F15" s="988">
        <v>378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489</v>
      </c>
      <c r="D18" s="990"/>
      <c r="E18" s="990"/>
      <c r="F18" s="983">
        <v>770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203.60600000000002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9.1999999999999993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185.06200000000007</v>
      </c>
      <c r="L28" s="917" t="s">
        <v>689</v>
      </c>
      <c r="M28" s="942">
        <f>SUM(J2+K17+K19+H11+H9-M26)</f>
        <v>3.9380000000000024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37083</v>
      </c>
      <c r="G29" s="936">
        <f>PGL_Requirements!G7/1000</f>
        <v>0</v>
      </c>
      <c r="H29" s="915"/>
      <c r="J29" s="917" t="s">
        <v>649</v>
      </c>
      <c r="K29" s="936">
        <f>PGL_Supplies!AB8/1000+PGL_Supplies!K8/1000-PGL_Requirements!N8/1000</f>
        <v>23.283000000000001</v>
      </c>
    </row>
    <row r="30" spans="1:17" ht="10.5" customHeight="1">
      <c r="A30" s="919"/>
      <c r="B30" s="936"/>
      <c r="C30" s="917"/>
      <c r="D30" s="936"/>
      <c r="F30" s="1041">
        <f>PGL_Requirements!A8</f>
        <v>37084</v>
      </c>
      <c r="G30" s="936">
        <f>PGL_Requirements!G8/1000</f>
        <v>0.2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13.345000000000084</v>
      </c>
    </row>
    <row r="32" spans="1:17">
      <c r="A32" s="936">
        <f>PGL_Supplies!G8/1000</f>
        <v>1</v>
      </c>
      <c r="G32" s="936">
        <f>PGL_Requirements!O8/1000</f>
        <v>132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489</v>
      </c>
      <c r="F38" s="988">
        <v>749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317.26200000000006</v>
      </c>
      <c r="B40" s="930"/>
      <c r="C40" s="929"/>
      <c r="D40" s="930"/>
      <c r="E40" s="930"/>
      <c r="F40" s="998"/>
      <c r="G40" s="998">
        <f>SUM(G30:G35)</f>
        <v>132.19999999999999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185.06200000000007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378</v>
      </c>
      <c r="E45" s="1003"/>
      <c r="F45" s="1004">
        <v>6.7000000000000004E-2</v>
      </c>
      <c r="G45" s="1005">
        <f>(C45-D45)*F45</f>
        <v>4.8239999999999998</v>
      </c>
      <c r="H45" s="1005">
        <f>(D45-B45)*F45</f>
        <v>6.9010000000000007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377</v>
      </c>
      <c r="E47" s="1003"/>
      <c r="F47" s="1004">
        <v>0.14099999999999999</v>
      </c>
      <c r="G47" s="1005">
        <f>(C47-D47)*F47</f>
        <v>10.292999999999999</v>
      </c>
      <c r="H47" s="1005">
        <f>(D47-B47)*F47</f>
        <v>14.381999999999998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489</v>
      </c>
      <c r="E48" s="1003"/>
      <c r="F48" s="1004">
        <v>0.161</v>
      </c>
      <c r="G48" s="1005">
        <f>(C48-D48)*F48</f>
        <v>42.021000000000001</v>
      </c>
      <c r="H48" s="1005">
        <f>(D48-B48)*F48</f>
        <v>32.844000000000001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57.137999999999998</v>
      </c>
      <c r="H49" s="1005">
        <f>SUM(H45:H48)</f>
        <v>54.126999999999995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37083</v>
      </c>
      <c r="B5" s="11">
        <v>76</v>
      </c>
      <c r="C5" s="49">
        <v>61</v>
      </c>
      <c r="D5" s="49">
        <v>6</v>
      </c>
      <c r="E5" s="11">
        <v>69.3</v>
      </c>
      <c r="F5" s="11">
        <v>5</v>
      </c>
      <c r="G5" s="11">
        <v>6704</v>
      </c>
      <c r="H5" s="11">
        <v>0</v>
      </c>
      <c r="I5" s="894" t="s">
        <v>809</v>
      </c>
      <c r="J5" s="894" t="s">
        <v>9</v>
      </c>
      <c r="K5" s="11">
        <v>3</v>
      </c>
      <c r="L5" s="11">
        <v>1</v>
      </c>
      <c r="N5" s="15" t="str">
        <f>I5&amp;" "&amp;I5</f>
        <v xml:space="preserve">  PARTLY CLOUDY.   PARTLY CLOUDY.</v>
      </c>
      <c r="AE5" s="15">
        <v>1</v>
      </c>
      <c r="AH5" s="15" t="s">
        <v>32</v>
      </c>
    </row>
    <row r="6" spans="1:34" ht="16.5" customHeight="1">
      <c r="A6" s="86">
        <f>A5+1</f>
        <v>37084</v>
      </c>
      <c r="B6" s="11">
        <v>79</v>
      </c>
      <c r="C6" s="49">
        <v>58</v>
      </c>
      <c r="D6" s="49">
        <v>6</v>
      </c>
      <c r="E6" s="11" t="s">
        <v>9</v>
      </c>
      <c r="F6" s="11" t="s">
        <v>9</v>
      </c>
      <c r="G6" s="11"/>
      <c r="H6" s="11" t="s">
        <v>9</v>
      </c>
      <c r="I6" s="894" t="s">
        <v>810</v>
      </c>
      <c r="J6" s="894" t="s">
        <v>811</v>
      </c>
      <c r="K6" s="11">
        <v>1</v>
      </c>
      <c r="L6" s="11" t="s">
        <v>590</v>
      </c>
      <c r="N6" s="15" t="str">
        <f>I6&amp;" "&amp;J6</f>
        <v xml:space="preserve">  TODAY - LOTS OF SUNSHINE AND PLEASANT.   TONIGHT - CLEAR.</v>
      </c>
      <c r="AE6" s="15">
        <v>1</v>
      </c>
      <c r="AH6" s="15" t="s">
        <v>33</v>
      </c>
    </row>
    <row r="7" spans="1:34" ht="16.5" customHeight="1">
      <c r="A7" s="86">
        <f>A6+1</f>
        <v>37085</v>
      </c>
      <c r="B7" s="11">
        <v>81</v>
      </c>
      <c r="C7" s="49">
        <v>60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94" t="s">
        <v>812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  ABUNDANT SUNSHINE AND PLEASANT.  </v>
      </c>
    </row>
    <row r="8" spans="1:34" ht="16.5" customHeight="1">
      <c r="A8" s="86">
        <f>A7+1</f>
        <v>37086</v>
      </c>
      <c r="B8" s="11">
        <v>83</v>
      </c>
      <c r="C8" s="49">
        <v>62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813</v>
      </c>
      <c r="J8" s="894" t="s">
        <v>9</v>
      </c>
      <c r="K8" s="11">
        <v>1</v>
      </c>
      <c r="L8" s="11"/>
      <c r="N8" s="15" t="str">
        <f>I8&amp;" "&amp;J8</f>
        <v xml:space="preserve">  SUNNY MUCH OF THE TIME.  </v>
      </c>
    </row>
    <row r="9" spans="1:34" ht="16.5" customHeight="1">
      <c r="A9" s="86">
        <f>A8+1</f>
        <v>37087</v>
      </c>
      <c r="B9" s="11">
        <v>86</v>
      </c>
      <c r="C9" s="49">
        <v>65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814</v>
      </c>
      <c r="J9" s="894" t="s">
        <v>9</v>
      </c>
      <c r="K9" s="11">
        <v>3</v>
      </c>
      <c r="L9" s="11">
        <v>0</v>
      </c>
      <c r="M9" s="87"/>
      <c r="N9" s="15" t="str">
        <f>I9&amp;" "&amp;J9</f>
        <v xml:space="preserve">  PARTLY SUNNY.  </v>
      </c>
    </row>
    <row r="10" spans="1:34" ht="16.5" customHeight="1">
      <c r="A10" s="86">
        <f>A9+1</f>
        <v>37088</v>
      </c>
      <c r="B10" s="11">
        <v>89</v>
      </c>
      <c r="C10" s="49">
        <v>68</v>
      </c>
      <c r="D10" s="49">
        <v>7</v>
      </c>
      <c r="E10" s="11" t="s">
        <v>9</v>
      </c>
      <c r="F10" s="11" t="s">
        <v>9</v>
      </c>
      <c r="G10" s="11"/>
      <c r="H10" s="11" t="s">
        <v>9</v>
      </c>
      <c r="I10" s="894" t="s">
        <v>815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  SUN AND CLOUDS.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191.88399999999999</v>
      </c>
      <c r="C2" s="60"/>
      <c r="D2" s="118" t="s">
        <v>310</v>
      </c>
      <c r="E2" s="421">
        <f>Weather_Input!A5</f>
        <v>37083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2E-3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152.26599999999999</v>
      </c>
      <c r="C6" s="166"/>
      <c r="D6" s="59" t="s">
        <v>545</v>
      </c>
      <c r="E6" s="151">
        <f>PGL_Deliveries!P5/1000</f>
        <v>0.752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152.26599999999999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96.162999999999997</v>
      </c>
      <c r="C8" s="626"/>
      <c r="D8" s="115" t="s">
        <v>547</v>
      </c>
      <c r="E8" s="151">
        <f>PGL_Deliveries!N5/1000</f>
        <v>0.98499999999999999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0.245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4.0750000000000002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15.805</v>
      </c>
      <c r="C11" s="63"/>
      <c r="D11" s="115" t="s">
        <v>549</v>
      </c>
      <c r="E11" s="151">
        <f>PGL_Deliveries!R5/1000</f>
        <v>0.54700000000000004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2E-3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183.79300000000001</v>
      </c>
      <c r="C13" s="63"/>
      <c r="D13" s="115" t="s">
        <v>205</v>
      </c>
      <c r="E13" s="151">
        <f>PGL_Deliveries!F5/1000</f>
        <v>31.306999999999999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1.7999999999999999E-2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-129.64500000000004</v>
      </c>
      <c r="C15" s="63"/>
      <c r="D15" s="59" t="s">
        <v>380</v>
      </c>
      <c r="E15" s="151">
        <f>PGL_Deliveries!K5/1000</f>
        <v>6.0000000000000001E-3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13.85</v>
      </c>
      <c r="D16" s="115" t="s">
        <v>209</v>
      </c>
      <c r="E16" s="151">
        <f>PGL_Deliveries!L5/1000</f>
        <v>1.7000000000000001E-2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1.6619999999999999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152.26599999999993</v>
      </c>
      <c r="C18" s="166"/>
      <c r="D18" s="176" t="s">
        <v>554</v>
      </c>
      <c r="E18" s="175">
        <f>SUM(E5:E17)</f>
        <v>39.618000000000002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96.158000000000001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1.9511999999999998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41.569200000000002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96.158000000000001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4.4139999999999997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0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45.982999999999997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130.08000000000001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1.0449999999999999</v>
      </c>
      <c r="C39" s="63"/>
      <c r="D39" s="209" t="s">
        <v>210</v>
      </c>
      <c r="E39" s="208">
        <f>SUM(E22:E33)-SUM(F23:F38)-E29</f>
        <v>41.568999999999996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176.30600000000001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1.9511999999999998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0.61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76</v>
      </c>
      <c r="C45" s="182"/>
      <c r="D45" s="60" t="s">
        <v>587</v>
      </c>
      <c r="E45" s="795">
        <f>PGL_Supplies!S7/1000</f>
        <v>10</v>
      </c>
      <c r="F45" s="168"/>
    </row>
    <row r="46" spans="1:13" ht="15">
      <c r="A46" s="169" t="s">
        <v>580</v>
      </c>
      <c r="B46" s="234">
        <f>Weather_Input!C5</f>
        <v>61</v>
      </c>
      <c r="C46" s="159"/>
      <c r="D46" s="72" t="s">
        <v>791</v>
      </c>
      <c r="E46" s="60"/>
      <c r="F46" s="173">
        <f>PGL_Deliveries!BE5/1000</f>
        <v>0.35</v>
      </c>
    </row>
    <row r="47" spans="1:13" ht="15">
      <c r="A47" s="170" t="s">
        <v>581</v>
      </c>
      <c r="B47" s="60">
        <f>Weather_Input!E5</f>
        <v>69.3</v>
      </c>
      <c r="C47" s="159"/>
      <c r="D47" s="769" t="s">
        <v>792</v>
      </c>
      <c r="E47" s="67"/>
      <c r="F47" s="1246">
        <f>PGL_Deliveries!BF5/1000</f>
        <v>0</v>
      </c>
    </row>
    <row r="48" spans="1:13" ht="15">
      <c r="A48" s="169" t="s">
        <v>582</v>
      </c>
      <c r="B48" s="223">
        <f>Weather_Input!D5</f>
        <v>6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1.0229999999999999</v>
      </c>
      <c r="C49" s="159"/>
      <c r="D49" s="60" t="s">
        <v>727</v>
      </c>
      <c r="E49" s="151">
        <f>PGL_Deliveries!AJ5/1000</f>
        <v>15.805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tabSelected="1"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34.051000000000002</v>
      </c>
      <c r="C3" s="117"/>
      <c r="D3" s="226" t="s">
        <v>310</v>
      </c>
      <c r="E3" s="424">
        <f>Weather_Input!A5</f>
        <v>37083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28.036000000000001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28.036000000000001</v>
      </c>
      <c r="C8" s="158"/>
      <c r="D8" s="806" t="s">
        <v>603</v>
      </c>
      <c r="E8" s="800">
        <f>NSG_Deliveries!F5/1000</f>
        <v>6.0149999999999997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5.9850000000000003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27.363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0.67300000000000004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28.036000000000001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37083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37082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98258</v>
      </c>
      <c r="O6" s="201">
        <v>0</v>
      </c>
      <c r="P6" s="201">
        <v>54200228</v>
      </c>
      <c r="Q6" s="201">
        <v>15045098</v>
      </c>
      <c r="R6" s="201">
        <v>39155130</v>
      </c>
      <c r="S6" s="201">
        <v>0</v>
      </c>
    </row>
    <row r="7" spans="1:19">
      <c r="A7" s="4">
        <f>B1</f>
        <v>37083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99158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54299386</v>
      </c>
      <c r="Q7">
        <f>IF(O7&gt;0,Q6+O7,Q6)</f>
        <v>15045098</v>
      </c>
      <c r="R7">
        <f>IF(P7&gt;Q7,P7-Q7,0)</f>
        <v>39254288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N1" zoomScale="75" workbookViewId="0">
      <selection activeCell="AV6" sqref="AV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37083</v>
      </c>
      <c r="B5" s="1">
        <f>(Weather_Input!B5+Weather_Input!C5)/2</f>
        <v>68.5</v>
      </c>
      <c r="C5" s="895">
        <v>200000</v>
      </c>
      <c r="D5" s="896">
        <v>0</v>
      </c>
      <c r="E5" s="896">
        <v>0</v>
      </c>
      <c r="F5" s="896">
        <v>31307</v>
      </c>
      <c r="G5" s="896">
        <v>2</v>
      </c>
      <c r="H5" s="896">
        <v>18</v>
      </c>
      <c r="I5" s="896">
        <v>152266</v>
      </c>
      <c r="J5" s="896">
        <v>0</v>
      </c>
      <c r="K5" s="896">
        <v>6</v>
      </c>
      <c r="L5" s="896">
        <v>17</v>
      </c>
      <c r="M5" s="896">
        <v>1662</v>
      </c>
      <c r="N5" s="896">
        <v>985</v>
      </c>
      <c r="O5" s="896">
        <v>2</v>
      </c>
      <c r="P5" s="896">
        <v>752</v>
      </c>
      <c r="Q5" s="896">
        <v>245</v>
      </c>
      <c r="R5" s="896">
        <v>547</v>
      </c>
      <c r="S5" s="901">
        <v>4075</v>
      </c>
      <c r="T5" s="1085">
        <v>0</v>
      </c>
      <c r="U5" s="895">
        <f>SUM(D5:S5)-T5</f>
        <v>191884</v>
      </c>
      <c r="V5" s="895">
        <v>96163</v>
      </c>
      <c r="W5" s="11">
        <v>0</v>
      </c>
      <c r="X5" s="11">
        <v>0</v>
      </c>
      <c r="Y5" s="11">
        <v>0</v>
      </c>
      <c r="Z5" s="11">
        <v>184143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15805</v>
      </c>
      <c r="AK5" s="11">
        <v>0</v>
      </c>
      <c r="AL5" s="11">
        <v>0</v>
      </c>
      <c r="AM5" s="1">
        <v>1023</v>
      </c>
      <c r="AN5" s="1"/>
      <c r="AO5" s="1">
        <v>13850</v>
      </c>
      <c r="AP5" s="1">
        <v>0</v>
      </c>
      <c r="AQ5" s="1">
        <v>4414</v>
      </c>
      <c r="AR5" s="1">
        <v>0</v>
      </c>
      <c r="AS5" s="1">
        <v>0</v>
      </c>
      <c r="AT5" s="1">
        <v>1045</v>
      </c>
      <c r="AU5" s="1">
        <v>130080</v>
      </c>
      <c r="AV5" s="1">
        <v>610</v>
      </c>
      <c r="AW5" s="622">
        <f>AU5*0.015</f>
        <v>1951.1999999999998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350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37084</v>
      </c>
      <c r="B6" s="913">
        <f>(Weather_Input!B6+Weather_Input!C6)/2</f>
        <v>68.5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37085</v>
      </c>
      <c r="B7" s="913">
        <f>(Weather_Input!B7+Weather_Input!C7)/2</f>
        <v>70.5</v>
      </c>
      <c r="C7" s="895">
        <v>185000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37086</v>
      </c>
      <c r="B8" s="913">
        <f>(Weather_Input!B8+Weather_Input!C8)/2</f>
        <v>72.5</v>
      </c>
      <c r="C8" s="895">
        <v>175000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37087</v>
      </c>
      <c r="B9" s="913">
        <f>(Weather_Input!B9+Weather_Input!C9)/2</f>
        <v>75.5</v>
      </c>
      <c r="C9" s="895">
        <v>190000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37088</v>
      </c>
      <c r="B10" s="913">
        <f>(Weather_Input!B10+Weather_Input!C10)/2</f>
        <v>78.5</v>
      </c>
      <c r="C10" s="895">
        <v>200000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L6" sqref="L6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37083</v>
      </c>
      <c r="B5" s="1">
        <f>(Weather_Input!B5+Weather_Input!C5)/2</f>
        <v>68.5</v>
      </c>
      <c r="C5" s="895">
        <v>34000</v>
      </c>
      <c r="D5" s="895">
        <v>0</v>
      </c>
      <c r="E5" s="895">
        <v>28036</v>
      </c>
      <c r="F5" s="895">
        <v>6015</v>
      </c>
      <c r="G5" s="895">
        <v>0</v>
      </c>
      <c r="H5" s="903">
        <f>SUM(D5:G5)</f>
        <v>34051</v>
      </c>
      <c r="I5" s="1">
        <v>1007</v>
      </c>
      <c r="J5" s="1" t="s">
        <v>9</v>
      </c>
      <c r="K5" s="1">
        <v>0</v>
      </c>
      <c r="L5" s="1">
        <v>673</v>
      </c>
      <c r="M5" s="1">
        <v>5985</v>
      </c>
      <c r="N5" s="1">
        <v>0</v>
      </c>
    </row>
    <row r="6" spans="1:14">
      <c r="A6" s="12">
        <f>A5+1</f>
        <v>37084</v>
      </c>
      <c r="B6" s="913">
        <f>(Weather_Input!B6+Weather_Input!C6)/2</f>
        <v>68.5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37085</v>
      </c>
      <c r="B7" s="913">
        <f>(Weather_Input!B7+Weather_Input!C7)/2</f>
        <v>70.5</v>
      </c>
      <c r="C7" s="895">
        <v>32000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37086</v>
      </c>
      <c r="B8" s="913">
        <f>(Weather_Input!B8+Weather_Input!C8)/2</f>
        <v>72.5</v>
      </c>
      <c r="C8" s="895">
        <v>31000</v>
      </c>
      <c r="D8" s="898" t="s">
        <v>9</v>
      </c>
      <c r="E8" s="898"/>
      <c r="F8" s="898"/>
      <c r="G8" s="898"/>
      <c r="H8" s="15"/>
    </row>
    <row r="9" spans="1:14">
      <c r="A9" s="12">
        <f>A8+1</f>
        <v>37087</v>
      </c>
      <c r="B9" s="913">
        <f>(Weather_Input!B9+Weather_Input!C9)/2</f>
        <v>75.5</v>
      </c>
      <c r="C9" s="895">
        <v>34000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37088</v>
      </c>
      <c r="B10" s="913">
        <f>(Weather_Input!B10+Weather_Input!C10)/2</f>
        <v>78.5</v>
      </c>
      <c r="C10" s="895">
        <v>35000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F8" sqref="F8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37083</v>
      </c>
      <c r="B7" s="904">
        <v>0</v>
      </c>
      <c r="C7" s="620">
        <v>0</v>
      </c>
      <c r="D7" s="620">
        <v>0</v>
      </c>
      <c r="E7" s="904">
        <v>3000</v>
      </c>
      <c r="F7" s="904">
        <v>13850</v>
      </c>
      <c r="G7" s="906">
        <v>0</v>
      </c>
      <c r="H7" s="619">
        <v>0</v>
      </c>
      <c r="I7" s="619">
        <v>0</v>
      </c>
      <c r="J7" s="620">
        <v>0</v>
      </c>
      <c r="K7" s="619">
        <v>0</v>
      </c>
      <c r="L7" s="620">
        <v>0</v>
      </c>
      <c r="M7" s="620">
        <v>0</v>
      </c>
      <c r="N7" s="621">
        <v>4414</v>
      </c>
      <c r="O7" s="620">
        <v>130080</v>
      </c>
      <c r="P7" s="622">
        <f t="shared" ref="P7:P12" si="0">O7*0.015</f>
        <v>1951.1999999999998</v>
      </c>
      <c r="Q7" s="620">
        <v>610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37084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200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132000</v>
      </c>
      <c r="P8" s="622">
        <f t="shared" si="0"/>
        <v>1980</v>
      </c>
      <c r="Q8" s="620">
        <v>690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37085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690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37086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690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37087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690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37088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690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K7" sqref="K7"/>
    </sheetView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37083</v>
      </c>
      <c r="B7" s="622">
        <v>0</v>
      </c>
      <c r="C7" s="622">
        <v>0</v>
      </c>
      <c r="D7" s="622">
        <v>0</v>
      </c>
      <c r="E7" s="622">
        <v>0</v>
      </c>
      <c r="F7" s="904">
        <v>0</v>
      </c>
      <c r="G7" s="620">
        <v>1045</v>
      </c>
      <c r="H7" s="620">
        <v>15805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10000</v>
      </c>
      <c r="T7" s="620">
        <v>0</v>
      </c>
      <c r="U7" s="621">
        <v>126056</v>
      </c>
      <c r="V7" s="621">
        <v>0</v>
      </c>
      <c r="W7" s="619">
        <v>0</v>
      </c>
      <c r="X7" s="907">
        <v>96158</v>
      </c>
      <c r="Y7" s="621">
        <v>200</v>
      </c>
      <c r="Z7" s="1">
        <v>0</v>
      </c>
      <c r="AA7" s="619">
        <v>176306</v>
      </c>
      <c r="AB7" s="619">
        <v>45983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37084</v>
      </c>
      <c r="B8" s="622">
        <v>8920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40000</v>
      </c>
      <c r="T8" s="620">
        <v>0</v>
      </c>
      <c r="U8" s="621">
        <v>112839</v>
      </c>
      <c r="V8" s="621">
        <v>0</v>
      </c>
      <c r="W8" s="619">
        <v>0</v>
      </c>
      <c r="X8" s="907">
        <v>97656</v>
      </c>
      <c r="Y8" s="621">
        <v>200</v>
      </c>
      <c r="Z8" s="1">
        <v>0</v>
      </c>
      <c r="AA8" s="619">
        <v>163806</v>
      </c>
      <c r="AB8" s="619">
        <v>23283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37085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40000</v>
      </c>
      <c r="T9" s="620">
        <v>0</v>
      </c>
      <c r="U9" s="621">
        <v>112839</v>
      </c>
      <c r="V9" s="621">
        <v>0</v>
      </c>
      <c r="W9" s="619">
        <v>0</v>
      </c>
      <c r="X9" s="907">
        <v>97656</v>
      </c>
      <c r="Y9" s="621">
        <v>200</v>
      </c>
      <c r="Z9" s="1">
        <v>0</v>
      </c>
      <c r="AA9" s="619">
        <v>163806</v>
      </c>
      <c r="AB9" s="619">
        <v>23283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37086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112839</v>
      </c>
      <c r="V10" s="621">
        <v>0</v>
      </c>
      <c r="W10" s="619">
        <v>0</v>
      </c>
      <c r="X10" s="907">
        <v>97656</v>
      </c>
      <c r="Y10" s="621">
        <v>200</v>
      </c>
      <c r="Z10" s="1">
        <v>0</v>
      </c>
      <c r="AA10" s="619">
        <v>163806</v>
      </c>
      <c r="AB10" s="619">
        <v>23283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37087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112839</v>
      </c>
      <c r="V11" s="621">
        <v>0</v>
      </c>
      <c r="W11" s="619">
        <v>0</v>
      </c>
      <c r="X11" s="907">
        <v>97656</v>
      </c>
      <c r="Y11" s="621">
        <v>200</v>
      </c>
      <c r="Z11" s="1">
        <v>0</v>
      </c>
      <c r="AA11" s="619">
        <v>163806</v>
      </c>
      <c r="AB11" s="619">
        <v>23283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37088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112839</v>
      </c>
      <c r="V12" s="621">
        <v>0</v>
      </c>
      <c r="W12" s="619">
        <v>0</v>
      </c>
      <c r="X12" s="907">
        <v>97656</v>
      </c>
      <c r="Y12" s="621">
        <v>200</v>
      </c>
      <c r="Z12" s="1">
        <v>0</v>
      </c>
      <c r="AA12" s="619">
        <v>163806</v>
      </c>
      <c r="AB12" s="619">
        <v>23283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J8" sqref="J8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37083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6015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37083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37084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3940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37084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37085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37085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37086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37086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37087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37087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37088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37088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F8" sqref="F8"/>
    </sheetView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37083</v>
      </c>
      <c r="B7" s="622">
        <v>0</v>
      </c>
      <c r="C7" s="623">
        <v>0</v>
      </c>
      <c r="D7" s="622">
        <v>0</v>
      </c>
      <c r="E7" s="622">
        <v>0</v>
      </c>
      <c r="F7" s="622">
        <v>673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27363</v>
      </c>
      <c r="R7" s="622">
        <v>16030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37084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25938</v>
      </c>
      <c r="R8" s="622">
        <v>14605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37085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25938</v>
      </c>
      <c r="R9" s="622">
        <v>14605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37086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25938</v>
      </c>
      <c r="R10" s="622">
        <v>14605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37087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25938</v>
      </c>
      <c r="R11" s="622">
        <v>14605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37088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25938</v>
      </c>
      <c r="R12" s="622">
        <v>14605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WED</v>
      </c>
      <c r="I1" s="824">
        <f>D4</f>
        <v>37083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</row>
    <row r="4" spans="1:256" ht="18.95" customHeight="1" thickBot="1">
      <c r="A4" s="831"/>
      <c r="B4" s="832"/>
      <c r="C4" s="832"/>
      <c r="D4" s="461">
        <f>Weather_Input!A5</f>
        <v>37083</v>
      </c>
      <c r="E4" s="461">
        <f>Weather_Input!A6</f>
        <v>37084</v>
      </c>
      <c r="F4" s="461">
        <f>Weather_Input!A7</f>
        <v>37085</v>
      </c>
      <c r="G4" s="461">
        <f>Weather_Input!A8</f>
        <v>37086</v>
      </c>
      <c r="H4" s="461">
        <f>Weather_Input!A9</f>
        <v>37087</v>
      </c>
      <c r="I4" s="462">
        <f>Weather_Input!A10</f>
        <v>37088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76/61/69</v>
      </c>
      <c r="E5" s="463" t="str">
        <f>TEXT(Weather_Input!B6,"0")&amp;"/"&amp;TEXT(Weather_Input!C6,"0") &amp; "/" &amp; TEXT((Weather_Input!B6+Weather_Input!C6)/2,"0")</f>
        <v>79/58/69</v>
      </c>
      <c r="F5" s="463" t="str">
        <f>TEXT(Weather_Input!B7,"0")&amp;"/"&amp;TEXT(Weather_Input!C7,"0") &amp; "/" &amp; TEXT((Weather_Input!B7+Weather_Input!C7)/2,"0")</f>
        <v>81/60/71</v>
      </c>
      <c r="G5" s="463" t="str">
        <f>TEXT(Weather_Input!B8,"0")&amp;"/"&amp;TEXT(Weather_Input!C8,"0") &amp; "/" &amp; TEXT((Weather_Input!B8+Weather_Input!C8)/2,"0")</f>
        <v>83/62/73</v>
      </c>
      <c r="H5" s="463" t="str">
        <f>TEXT(Weather_Input!B9,"0")&amp;"/"&amp;TEXT(Weather_Input!C9,"0") &amp; "/" &amp; TEXT((Weather_Input!B9+Weather_Input!C9)/2,"0")</f>
        <v>86/65/76</v>
      </c>
      <c r="I5" s="464" t="str">
        <f>TEXT(Weather_Input!B10,"0")&amp;"/"&amp;TEXT(Weather_Input!C10,"0") &amp; "/" &amp; TEXT((Weather_Input!B10+Weather_Input!C10)/2,"0")</f>
        <v>89/68/79</v>
      </c>
    </row>
    <row r="6" spans="1:256" ht="18.95" customHeight="1">
      <c r="A6" s="838" t="s">
        <v>134</v>
      </c>
      <c r="B6" s="826"/>
      <c r="C6" s="826"/>
      <c r="D6" s="463">
        <f>PGL_Deliveries!C5/1000</f>
        <v>200</v>
      </c>
      <c r="E6" s="463">
        <f>PGL_Deliveries!C6/1000</f>
        <v>195</v>
      </c>
      <c r="F6" s="463">
        <f>PGL_Deliveries!C7/1000</f>
        <v>185</v>
      </c>
      <c r="G6" s="463">
        <f>PGL_Deliveries!C8/1000</f>
        <v>175</v>
      </c>
      <c r="H6" s="463">
        <f>PGL_Deliveries!C9/1000</f>
        <v>190</v>
      </c>
      <c r="I6" s="464">
        <f>PGL_Deliveries!C10/1000</f>
        <v>200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0</v>
      </c>
      <c r="E7" s="463">
        <f>PGL_Requirements!G8/1000*0.5</f>
        <v>0.1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774</v>
      </c>
      <c r="B8" s="826"/>
      <c r="C8" s="826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130.08000000000001</v>
      </c>
      <c r="E11" s="463">
        <f>PGL_Requirements!O8/1000</f>
        <v>132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1.9511999999999998</v>
      </c>
      <c r="E12" s="463">
        <f>PGL_Requirements!P8/1000</f>
        <v>1.98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95" customHeight="1">
      <c r="A13" s="835"/>
      <c r="C13" s="826" t="s">
        <v>690</v>
      </c>
      <c r="D13" s="463">
        <f>PGL_Requirements!Q7/1000</f>
        <v>0.61</v>
      </c>
      <c r="E13" s="463">
        <f>PGL_Requirements!Q8/1000</f>
        <v>0.69</v>
      </c>
      <c r="F13" s="463">
        <f>PGL_Requirements!Q9/1000</f>
        <v>0.69</v>
      </c>
      <c r="G13" s="463">
        <f>PGL_Requirements!Q10/1000</f>
        <v>0.69</v>
      </c>
      <c r="H13" s="463">
        <f>PGL_Requirements!Q11/1000</f>
        <v>0.69</v>
      </c>
      <c r="I13" s="464">
        <f>PGL_Requirements!Q12/1000</f>
        <v>0.69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95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4.4139999999999997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13.85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3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354.10520000000002</v>
      </c>
      <c r="E25" s="467">
        <f t="shared" si="1"/>
        <v>332.97</v>
      </c>
      <c r="F25" s="467">
        <f t="shared" si="1"/>
        <v>322.87</v>
      </c>
      <c r="G25" s="467">
        <f t="shared" si="1"/>
        <v>312.87</v>
      </c>
      <c r="H25" s="467">
        <f t="shared" si="1"/>
        <v>327.87</v>
      </c>
      <c r="I25" s="1099">
        <f t="shared" si="1"/>
        <v>337.87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1.0449999999999999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776</v>
      </c>
      <c r="B36" s="826" t="s">
        <v>394</v>
      </c>
      <c r="C36" s="826"/>
      <c r="D36" s="463">
        <f>PGL_Supplies!S7/1000*0.5</f>
        <v>5</v>
      </c>
      <c r="E36" s="463">
        <f>PGL_Supplies!S8/1000*0.5</f>
        <v>20</v>
      </c>
      <c r="F36" s="463">
        <f>PGL_Supplies!S9/1000*0.5</f>
        <v>20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96.158000000000001</v>
      </c>
      <c r="E37" s="463">
        <f>PGL_Supplies!X8/1000</f>
        <v>97.656000000000006</v>
      </c>
      <c r="F37" s="463">
        <f>PGL_Supplies!X9/1000</f>
        <v>97.656000000000006</v>
      </c>
      <c r="G37" s="463">
        <f>PGL_Supplies!X10/1000</f>
        <v>97.656000000000006</v>
      </c>
      <c r="H37" s="463">
        <f>PGL_Supplies!X11/1000</f>
        <v>97.656000000000006</v>
      </c>
      <c r="I37" s="464">
        <f>PGL_Supplies!X12/1000</f>
        <v>97.656000000000006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176.30600000000001</v>
      </c>
      <c r="E40" s="463">
        <f>PGL_Supplies!AA8/1000</f>
        <v>163.80600000000001</v>
      </c>
      <c r="F40" s="463">
        <f>PGL_Supplies!AA9/1000</f>
        <v>163.80600000000001</v>
      </c>
      <c r="G40" s="463">
        <f>PGL_Supplies!AA10/1000</f>
        <v>163.80600000000001</v>
      </c>
      <c r="H40" s="463">
        <f>PGL_Supplies!AA11/1000</f>
        <v>163.80600000000001</v>
      </c>
      <c r="I40" s="464">
        <f>PGL_Supplies!AA12/1000</f>
        <v>163.80600000000001</v>
      </c>
    </row>
    <row r="41" spans="1:10" ht="18.95" customHeight="1">
      <c r="A41" s="838"/>
      <c r="B41" s="826" t="s">
        <v>135</v>
      </c>
      <c r="C41" s="826"/>
      <c r="D41" s="463">
        <f>PGL_Supplies!AB7/1000</f>
        <v>45.982999999999997</v>
      </c>
      <c r="E41" s="463">
        <f>PGL_Supplies!AB8/1000</f>
        <v>23.283000000000001</v>
      </c>
      <c r="F41" s="463">
        <f>PGL_Supplies!AB9/1000</f>
        <v>23.283000000000001</v>
      </c>
      <c r="G41" s="463">
        <f>PGL_Supplies!AB10/1000</f>
        <v>23.283000000000001</v>
      </c>
      <c r="H41" s="463">
        <f>PGL_Supplies!AB11/1000</f>
        <v>23.283000000000001</v>
      </c>
      <c r="I41" s="464">
        <f>PGL_Supplies!AB12/1000</f>
        <v>23.283000000000001</v>
      </c>
    </row>
    <row r="42" spans="1:10" ht="18.95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95" customHeight="1">
      <c r="A43" s="852"/>
      <c r="B43" s="826" t="s">
        <v>147</v>
      </c>
      <c r="C43" s="826"/>
      <c r="D43" s="463">
        <f>PGL_Supplies!H7/1000</f>
        <v>15.805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8.92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343.49700000000001</v>
      </c>
      <c r="E50" s="473">
        <f t="shared" si="2"/>
        <v>332.86500000000007</v>
      </c>
      <c r="F50" s="473">
        <f t="shared" si="2"/>
        <v>323.94500000000005</v>
      </c>
      <c r="G50" s="473">
        <f t="shared" si="2"/>
        <v>303.94500000000005</v>
      </c>
      <c r="H50" s="473">
        <f t="shared" si="2"/>
        <v>303.94500000000005</v>
      </c>
      <c r="I50" s="1101">
        <f t="shared" si="2"/>
        <v>303.94500000000005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0</v>
      </c>
      <c r="F51" s="474">
        <f t="shared" si="3"/>
        <v>1.0750000000000455</v>
      </c>
      <c r="G51" s="474">
        <f t="shared" si="3"/>
        <v>0</v>
      </c>
      <c r="H51" s="474">
        <f t="shared" si="3"/>
        <v>0</v>
      </c>
      <c r="I51" s="1102">
        <f t="shared" si="3"/>
        <v>0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10.608200000000011</v>
      </c>
      <c r="E52" s="475">
        <f t="shared" si="4"/>
        <v>0.10499999999996135</v>
      </c>
      <c r="F52" s="475">
        <f t="shared" si="4"/>
        <v>0</v>
      </c>
      <c r="G52" s="475">
        <f t="shared" si="4"/>
        <v>8.9249999999999545</v>
      </c>
      <c r="H52" s="475">
        <f t="shared" si="4"/>
        <v>23.924999999999955</v>
      </c>
      <c r="I52" s="1103">
        <f t="shared" si="4"/>
        <v>33.924999999999955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126.056</v>
      </c>
      <c r="E53" s="1092">
        <f>PGL_Supplies!U8/1000</f>
        <v>112.839</v>
      </c>
      <c r="F53" s="1092">
        <f>PGL_Supplies!U9/1000</f>
        <v>112.839</v>
      </c>
      <c r="G53" s="1092">
        <f>PGL_Supplies!U10/1000</f>
        <v>112.839</v>
      </c>
      <c r="H53" s="1092">
        <f>PGL_Supplies!U11/1000</f>
        <v>112.839</v>
      </c>
      <c r="I53" s="1093">
        <f>PGL_Supplies!U12/1000</f>
        <v>112.839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2001-07-12T15:48:33Z</cp:lastPrinted>
  <dcterms:created xsi:type="dcterms:W3CDTF">1997-07-16T16:14:22Z</dcterms:created>
  <dcterms:modified xsi:type="dcterms:W3CDTF">2023-09-10T17:03:38Z</dcterms:modified>
</cp:coreProperties>
</file>