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BF4883-5EE5-4609-9F0F-40C4738EC44D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<sst xmlns="http://schemas.openxmlformats.org/spreadsheetml/2006/main" count="2069" uniqueCount="818">
  <si>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</si>
  <si>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</si>
  <si>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</si>
  <si>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</si>
  <si>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</si>
  <si>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</si>
  <si>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</si>
  <si>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</si>
  <si>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</si>
  <si>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</si>
  <si>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</si>
  <si>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</si>
  <si>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</si>
  <si>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</si>
  <si>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</si>
  <si>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</si>
  <si>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</si>
  <si>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</si>
  <si>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</si>
  <si>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</si>
  <si>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</si>
  <si>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</si>
  <si>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</si>
  <si>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</si>
  <si>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</si>
  <si>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</si>
  <si>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</si>
  <si>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</si>
  <si>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</si>
  <si>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</si>
  <si>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</si>
  <si>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</si>
  <si>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</si>
  <si>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</si>
  <si>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</si>
  <si>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</si>
  <si>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</si>
  <si>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</si>
  <si>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</si>
  <si>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</si>
  <si>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</si>
  <si>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</si>
  <si>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</si>
  <si>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</si>
  <si>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</si>
  <si>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</si>
  <si>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</si>
  <si>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</si>
  <si>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</si>
  <si>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</si>
  <si>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</si>
  <si>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</si>
  <si>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</si>
  <si>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</si>
  <si>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</si>
  <si>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</si>
  <si>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</si>
  <si>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</si>
  <si>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</si>
  <si>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</si>
  <si>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</si>
  <si>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</si>
  <si>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</si>
  <si>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</si>
  <si>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</si>
  <si>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</si>
  <si>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</si>
  <si>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</si>
  <si>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</si>
  <si>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</si>
  <si>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</si>
  <si>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</si>
  <si>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</si>
  <si>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</si>
  <si>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</si>
  <si>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</si>
  <si>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</si>
  <si>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</si>
  <si>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</si>
  <si>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</si>
  <si>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</si>
  <si>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</si>
  <si>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</si>
  <si>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</si>
  <si>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</si>
  <si>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</si>
  <si>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</si>
  <si>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</si>
  <si>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</si>
  <si>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</si>
  <si>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</si>
  <si>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</si>
  <si>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</si>
  <si>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</si>
  <si>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</si>
  <si>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</si>
  <si>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</si>
  <si>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</si>
  <si>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</si>
  <si>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</si>
  <si>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</si>
  <si>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</si>
  <si>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</si>
  <si>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</si>
  <si>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</si>
  <si>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</si>
  <si>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</si>
  <si>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</si>
  <si>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</si>
  <si>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</si>
  <si>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</si>
  <si>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</si>
  <si>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</si>
  <si>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</si>
  <si>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</si>
  <si>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</si>
  <si>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</si>
  <si>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</si>
  <si>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</si>
  <si>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</si>
  <si>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</si>
  <si>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</si>
  <si>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</si>
  <si>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</si>
  <si>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</si>
  <si>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</si>
  <si>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</si>
  <si>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</si>
  <si>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</si>
  <si>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</si>
  <si>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</si>
  <si>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</si>
  <si>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</si>
  <si>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</si>
  <si>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</si>
  <si>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</si>
  <si>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</si>
  <si>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</si>
  <si>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</si>
  <si>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</si>
  <si>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</si>
  <si>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</si>
  <si>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</si>
  <si>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</si>
  <si>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</si>
  <si>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</si>
  <si>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</si>
  <si>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</si>
  <si>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</si>
  <si>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</si>
  <si>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</si>
  <si>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</si>
  <si>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</si>
  <si>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</si>
  <si>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</si>
  <si>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</si>
  <si>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</si>
  <si>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</si>
  <si>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</si>
  <si>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</si>
  <si>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</si>
  <si>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</si>
  <si>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</si>
  <si>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</si>
  <si>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</si>
  <si>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</si>
  <si>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</si>
  <si>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</si>
  <si>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</si>
  <si>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</si>
  <si>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</si>
  <si>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</si>
  <si>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</si>
  <si>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</si>
  <si>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</si>
  <si>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</si>
  <si>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</si>
  <si>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</si>
  <si>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</si>
  <si>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</si>
  <si>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</si>
  <si>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</si>
  <si>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</si>
  <si>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</si>
  <si>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</si>
  <si>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</si>
  <si>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</si>
  <si>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</si>
  <si>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</si>
  <si>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</si>
  <si>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</si>
  <si>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</si>
  <si>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</si>
  <si>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</si>
  <si>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</si>
  <si>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</si>
  <si>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</si>
  <si>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</si>
  <si>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</si>
  <si>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</si>
  <si>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</si>
  <si>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</si>
  <si>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</si>
  <si>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</si>
  <si>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</si>
  <si>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</si>
  <si>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</si>
  <si>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</si>
  <si>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</si>
  <si>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</si>
  <si>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</si>
  <si>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</si>
  <si>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</si>
  <si>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</si>
  <si>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</si>
  <si>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</si>
  <si>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</si>
  <si>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</si>
  <si>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</si>
  <si>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</si>
  <si>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</si>
  <si>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</si>
  <si>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</si>
  <si>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</si>
  <si>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</si>
  <si>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</si>
  <si>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</si>
  <si>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</si>
  <si>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</si>
  <si>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</si>
  <si>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</si>
  <si>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</si>
  <si>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</si>
  <si>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</si>
  <si>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</si>
  <si>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</si>
  <si>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</si>
  <si>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</si>
  <si>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</si>
  <si>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</si>
  <si>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</si>
  <si>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</si>
  <si>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</si>
  <si>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</si>
  <si>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</si>
  <si>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</si>
  <si>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</si>
  <si>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</si>
  <si>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</si>
  <si>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</si>
  <si>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</si>
  <si>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</si>
  <si>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</si>
  <si>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</si>
  <si>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</si>
  <si>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</si>
  <si>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</si>
  <si>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</si>
  <si>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</si>
  <si>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</si>
  <si>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</si>
  <si>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</si>
  <si>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</si>
  <si>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</si>
  <si>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</si>
  <si>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</si>
  <si>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</si>
  <si>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</si>
  <si>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</si>
  <si>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</si>
  <si>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</si>
  <si>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</si>
  <si>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</si>
  <si>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</si>
  <si>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</si>
  <si>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</si>
  <si>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</si>
  <si>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</si>
  <si>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</si>
  <si>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</si>
  <si>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</si>
  <si>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</si>
  <si>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</si>
  <si>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</si>
  <si>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</si>
  <si>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</si>
  <si>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</si>
  <si>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</si>
  <si>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</si>
  <si>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</si>
  <si>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</si>
  <si>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</si>
  <si>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</si>
  <si>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</si>
  <si>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</si>
  <si>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</si>
  <si>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</si>
  <si>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</si>
  <si>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</si>
  <si>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</si>
  <si>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</si>
  <si>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</si>
  <si>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</si>
  <si>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</si>
  <si>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</si>
  <si>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</si>
  <si>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</si>
  <si>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</si>
  <si>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</si>
  <si>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</si>
  <si>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</si>
  <si>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</si>
  <si>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</si>
  <si>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</si>
  <si>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</si>
  <si>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</si>
  <si>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</si>
  <si>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</si>
  <si>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</si>
  <si>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</si>
  <si>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</si>
  <si>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</si>
  <si>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</si>
  <si>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</si>
  <si>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</si>
  <si>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</si>
  <si>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</si>
  <si>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</si>
  <si>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</si>
  <si>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</si>
  <si>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</si>
  <si>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</si>
  <si>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</si>
  <si>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</si>
  <si>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</si>
  <si>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</si>
  <si>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</si>
  <si>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</si>
  <si>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</si>
  <si>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</si>
  <si>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</si>
  <si>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</si>
  <si>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</si>
  <si>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</si>
  <si>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</si>
  <si>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</si>
  <si>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</si>
  <si>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</si>
  <si>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</si>
  <si>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</si>
  <si>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</si>
  <si>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</si>
  <si>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</si>
  <si>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</si>
  <si>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</si>
  <si>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</si>
  <si>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</si>
  <si>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</si>
  <si>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</si>
  <si>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</si>
  <si>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</si>
  <si>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</si>
  <si>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</si>
  <si>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</si>
  <si>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</si>
  <si>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</si>
  <si>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</si>
  <si>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</si>
  <si>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</si>
  <si>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</si>
  <si>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</si>
  <si>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</si>
  <si>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</si>
  <si>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</si>
  <si>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</si>
  <si>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</si>
  <si>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</si>
  <si>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</si>
  <si>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</si>
  <si>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</si>
  <si>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</si>
  <si>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</si>
  <si>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</si>
  <si>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</si>
  <si>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</si>
  <si>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</si>
  <si>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</si>
  <si>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</si>
  <si>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</si>
  <si>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</si>
  <si>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</si>
  <si>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</si>
  <si>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</si>
  <si>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</si>
  <si>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</si>
  <si>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</si>
  <si>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</si>
  <si>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</si>
  <si>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</si>
  <si>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</si>
  <si>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</si>
  <si>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</si>
  <si>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</si>
  <si>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</si>
  <si>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</si>
  <si>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</si>
  <si>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</si>
  <si>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</si>
  <si>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</si>
  <si>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</si>
  <si>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</si>
  <si>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</si>
  <si>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</si>
  <si>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</si>
  <si>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</si>
  <si>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</si>
  <si>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</si>
  <si>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</si>
  <si>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</si>
  <si>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</si>
  <si>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</si>
  <si>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</si>
  <si>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</si>
  <si>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</si>
  <si>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</si>
  <si>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</si>
  <si>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</si>
  <si>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</si>
  <si>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</si>
  <si>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</si>
  <si>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</si>
  <si>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</si>
  <si>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</si>
  <si>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</si>
  <si>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</si>
  <si>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</si>
  <si>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</si>
  <si>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</si>
  <si>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</si>
  <si>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</si>
  <si>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</si>
  <si>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</si>
  <si>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</si>
  <si>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</si>
  <si>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</si>
  <si>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</si>
  <si>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</si>
  <si>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</si>
  <si>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</si>
  <si>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</si>
  <si>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</si>
  <si>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</si>
  <si>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</si>
  <si>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</si>
  <si>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</si>
  <si>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</si>
  <si>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</si>
  <si>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</si>
  <si>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</si>
  <si>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</si>
  <si>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</si>
  <si>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</si>
  <si>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</si>
  <si>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</si>
  <si>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</si>
  <si>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</si>
  <si>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</si>
  <si>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</si>
  <si>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</si>
  <si>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</si>
  <si>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</si>
  <si>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</si>
  <si>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</si>
  <si>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</si>
  <si>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</si>
  <si>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</si>
  <si>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</si>
  <si>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</si>
  <si>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</si>
  <si>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</si>
  <si>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</si>
  <si>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</si>
  <si>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</si>
  <si>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</si>
  <si>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</si>
  <si>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</si>
  <si>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</si>
  <si>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</si>
  <si>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</si>
  <si>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</si>
  <si>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</si>
  <si>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</si>
  <si>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</si>
  <si>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</si>
  <si>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</si>
  <si>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</si>
  <si>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</si>
  <si>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</si>
  <si>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</si>
  <si>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</si>
  <si>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</si>
  <si>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</si>
  <si>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</si>
  <si>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</si>
  <si>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</si>
  <si>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</si>
  <si>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</si>
  <si>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</si>
  <si>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</si>
  <si>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</si>
  <si>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</si>
  <si>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</si>
  <si>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</si>
  <si>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</si>
  <si>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</si>
  <si>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</si>
  <si>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</si>
  <si>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</si>
  <si>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</si>
  <si>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</si>
  <si>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</si>
  <si>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</si>
  <si>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</si>
  <si>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</si>
  <si>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</si>
  <si>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</si>
  <si>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</si>
  <si>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</si>
  <si>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</si>
  <si>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</si>
  <si>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</si>
  <si>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</si>
  <si>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</si>
  <si>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</si>
  <si>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</si>
  <si>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</si>
  <si>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</si>
  <si>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</si>
  <si>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</si>
  <si>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</si>
  <si>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</si>
  <si>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</si>
  <si>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</si>
  <si>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</si>
  <si>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</si>
  <si>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</si>
  <si>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</si>
  <si>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</si>
  <si>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</si>
  <si>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</si>
  <si>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</si>
  <si>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</si>
  <si>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</si>
  <si>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</si>
  <si>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</si>
  <si>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</si>
  <si>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</si>
  <si>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</si>
  <si>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</si>
  <si>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</si>
  <si>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</si>
  <si>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</si>
  <si>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</si>
  <si>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</si>
  <si>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</si>
  <si>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</si>
  <si>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</si>
  <si>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</si>
  <si>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</si>
  <si>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</si>
  <si>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</si>
  <si>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</si>
  <si>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</si>
  <si>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</si>
  <si>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</si>
  <si>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</si>
  <si>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</si>
  <si>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</si>
  <si>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</si>
  <si>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</si>
  <si>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</si>
  <si>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</si>
  <si>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</si>
  <si>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</si>
  <si>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</si>
  <si>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</si>
  <si>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</si>
  <si>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</si>
  <si>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</si>
  <si>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</si>
  <si>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</si>
  <si>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</si>
  <si>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</si>
  <si>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</si>
  <si>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</si>
  <si>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</si>
  <si>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</si>
  <si>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</si>
  <si>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</si>
  <si>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</si>
  <si>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</si>
  <si>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</si>
  <si>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</si>
  <si>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</si>
  <si>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</si>
  <si>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</si>
  <si>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</si>
  <si>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</si>
  <si>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</si>
  <si>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</si>
  <si>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</si>
  <si>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</si>
  <si>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</si>
  <si>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</si>
  <si>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</si>
  <si>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</si>
  <si>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</si>
  <si>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</si>
  <si>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</si>
  <si>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</si>
  <si>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</si>
  <si>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</si>
  <si>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</si>
  <si>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</si>
  <si>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</si>
  <si>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</si>
  <si>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</si>
  <si>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</si>
  <si>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</si>
  <si>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</si>
  <si>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</si>
  <si>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</si>
  <si>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</si>
  <si>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</si>
  <si>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</si>
  <si>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</si>
  <si>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</si>
  <si>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</si>
  <si>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</si>
  <si>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</si>
  <si>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</si>
  <si>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</si>
  <si>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</si>
  <si>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</si>
  <si>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</si>
  <si>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</si>
  <si>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</si>
  <si>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</si>
  <si>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</si>
  <si>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</si>
  <si>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</si>
  <si>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</si>
  <si>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</si>
  <si>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</si>
  <si>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</si>
  <si>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</si>
  <si>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</si>
  <si>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</si>
  <si>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</si>
  <si>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</si>
  <si>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</si>
  <si>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</si>
  <si>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</si>
  <si>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</si>
  <si>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</si>
  <si>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</si>
  <si>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</si>
  <si>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</si>
  <si>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</si>
  <si>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</si>
  <si>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</si>
  <si>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</si>
  <si>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</si>
  <si>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</si>
  <si>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</si>
  <si>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</si>
  <si>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</si>
  <si>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</si>
  <si>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</si>
  <si>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</si>
  <si>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</si>
  <si>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</si>
  <si>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</si>
  <si>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</si>
  <si>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</si>
  <si>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</si>
  <si>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</si>
  <si>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</si>
  <si>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</si>
  <si>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</si>
  <si>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</si>
  <si>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</si>
  <si>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</si>
  <si>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</si>
  <si>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</si>
  <si>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</si>
  <si>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</si>
  <si>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</si>
  <si>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</si>
  <si>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</si>
  <si>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</si>
  <si>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</si>
  <si>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</si>
  <si>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</si>
  <si>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</si>
  <si>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</si>
  <si>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</si>
  <si>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</si>
  <si>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</si>
  <si>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</si>
  <si>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</si>
  <si>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</si>
  <si>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</si>
  <si>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</si>
  <si>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</si>
  <si>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</si>
  <si>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</si>
  <si>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</si>
  <si>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</si>
  <si>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</si>
  <si>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</si>
  <si>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</si>
  <si>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</si>
  <si>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</si>
  <si>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</si>
  <si>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</si>
  <si>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</si>
  <si>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</si>
  <si>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</si>
  <si>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</si>
  <si>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</si>
  <si>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</si>
  <si>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</si>
  <si>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</si>
  <si>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</si>
  <si>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</si>
  <si>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</si>
  <si>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</si>
  <si>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</si>
  <si>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</si>
  <si>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</si>
  <si>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</si>
  <si>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</si>
  <si>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</si>
  <si>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</si>
  <si>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</si>
  <si>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</si>
  <si>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</si>
  <si>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</si>
  <si>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</si>
  <si>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</si>
  <si>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</si>
  <si>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</si>
  <si>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</si>
  <si>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</si>
  <si>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</si>
  <si>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</si>
  <si>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</si>
  <si>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</si>
  <si>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</si>
  <si>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</si>
  <si>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</si>
  <si>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</si>
  <si>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</si>
  <si>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</si>
  <si>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</si>
  <si>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</si>
  <si>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</si>
  <si>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</si>
  <si>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</si>
  <si>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</si>
  <si>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</si>
  <si>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</si>
  <si>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</si>
  <si>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</si>
  <si>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</si>
  <si>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</si>
  <si>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</si>
  <si>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</si>
  <si>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</si>
  <si>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</si>
  <si>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</si>
  <si>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</si>
  <si>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</si>
  <si>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</si>
  <si>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</si>
  <si>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</si>
  <si>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</si>
  <si>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</si>
  <si>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</si>
  <si>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</si>
  <si>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</si>
  <si>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</si>
  <si>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</si>
  <si>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</si>
  <si>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</si>
  <si>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</si>
  <si>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</si>
  <si>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</si>
  <si>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</si>
  <si>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</si>
  <si>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</si>
  <si>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</si>
  <si>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</si>
  <si>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</si>
  <si>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</si>
  <si>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</si>
  <si>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</si>
  <si>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</si>
  <si>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PARTLY CLOUDY. HIGHS IN THE 80S NEAR THE LAKE TO 90S INLAND WITH LIGHT </t>
  </si>
  <si>
    <t>WINDS. A LITTLE COOLER AT NIGHT WITH LOWS IN THE MIDDLE 60S. LIGHT WINDS.</t>
  </si>
  <si>
    <t>MOSTLY SUNNY. HIGH 85 TO 90….BUT ONLY IN THE LOWER 80S NEAR THE LAKE.</t>
  </si>
  <si>
    <t>TONIGHT MOSTLY CLEAR. LOW IN THE LOWER 60S.</t>
  </si>
  <si>
    <t xml:space="preserve">SUNNY,,,,COOLER AND LESS HUMID, WITH A HIGH AROUND LOWER 80S. MOSTLY </t>
  </si>
  <si>
    <t>CLEAR  AND LOW IN THE LOWER 60S .</t>
  </si>
  <si>
    <t>SUNNY,,,,  HIGH AROUND 80.</t>
  </si>
  <si>
    <t>SUNNY,,, LOW IN THE MIDDLE 50S . HIGH AROUND 80.</t>
  </si>
  <si>
    <t>PARTLY CLOUDY, LOW NEAR 60. HIGH 80 TO 85.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</si>
</sst>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A8452F4-A854-603F-8816-2CCF340D3E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6D23D89-A030-67E9-8998-C3DE6B14FF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B1994B0-AAB7-91B2-5044-8D95BD1549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EBAAE12-6516-3439-9814-5DD0A6A63D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6A5C49E-FC83-19CB-DFD1-2F80C91E09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DCE7341C-9EDD-5343-7270-9D8490A57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441C273-1E5A-00C4-5307-B3E45D818D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90DCC8D-4EBC-2393-D436-02545A017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3F197809-4831-17BC-E31B-E496A8210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EAB5FCE-561A-2F3A-8D07-B0C53632C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77C471D2-60A2-5255-9139-D603C15DC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F8457C4-5C7C-CAA7-52DF-B83559D71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2C70097-72FD-08B8-5EF5-1B2CA75B2B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141DE857-72EB-B1D8-42EA-71D7314BD3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9E4194A8-1C16-46DD-091D-2322EB0BB9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76DDC34F-1CC4-50BE-8171-474C015CA7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A76E1050-1705-2268-4EDF-D2FB42636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18EEA23A-D8D9-B91A-43E3-625D74248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A6E95798-ACB8-413A-EEF9-E79850EB3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AF664FF-D21B-F7F3-C07C-3D687AD5C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ECDBBB7F-CE55-ECAD-7914-B4AC7CA08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CEF29D26-C74A-6D5A-7C5D-54D65050D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7A58563F-9DD3-E96E-7FD3-C8626C5EA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CCDE9970-2889-FFAF-3868-929D86832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23918B4D-9456-71E3-245C-D997BEDDE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8B09F4A8-9A08-446E-0833-4D396D940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44091668-6549-DBE6-3E30-5D53CBAB1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E39B56F9-7E5A-7096-19C1-E658A5A94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79AF46B0-D92E-3148-7AF9-466FB887F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A29E3EEC-5ABE-580B-FCA8-D1CA495F1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3802D540-8E2D-0DA3-A47A-B489299CC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8D7FD3BC-1B12-D0BE-5835-830F2DE14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D5091D9E-96DE-3C60-B7A9-97D2D4E3E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83F3BA8B-105B-8A12-1B42-FA80EDC30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9EF8312C-46D7-5555-D34C-C9E5B4132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9A59D519-CC0F-ABE7-6B2F-657227E52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DF7929A0-906A-EB8C-90A8-1B18E0AFA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2AD1D9F3-EFEA-4038-C9D0-E405CBE0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C81E94A7-5E08-18D8-6C37-BA5F6E9B6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0C8C9F43-AED8-AEB7-A9DB-5AA722EF2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E49AD6C2-22C0-04B7-A921-D6861969F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B5A743B2-B1D1-BC26-3582-5B480261D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9AE7A08E-548D-4857-74F9-9C409C10D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F2C34A7F-A5B4-BAE9-6CEA-DC47C4510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607" name="Day_1">
          <a:extLst>
            <a:ext uri="{FF2B5EF4-FFF2-40B4-BE49-F238E27FC236}">
              <a16:creationId xmlns:a16="http://schemas.microsoft.com/office/drawing/2014/main" id="{175DBAB5-7D33-E176-8AD3-75E12736B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608" name="Day_2">
          <a:extLst>
            <a:ext uri="{FF2B5EF4-FFF2-40B4-BE49-F238E27FC236}">
              <a16:creationId xmlns:a16="http://schemas.microsoft.com/office/drawing/2014/main" id="{77FC5F30-D267-8BFA-BC61-A951BABA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609" name="Day_3">
          <a:extLst>
            <a:ext uri="{FF2B5EF4-FFF2-40B4-BE49-F238E27FC236}">
              <a16:creationId xmlns:a16="http://schemas.microsoft.com/office/drawing/2014/main" id="{2A668BAC-35A2-674F-AFF9-FC0500570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610" name="Day_4">
          <a:extLst>
            <a:ext uri="{FF2B5EF4-FFF2-40B4-BE49-F238E27FC236}">
              <a16:creationId xmlns:a16="http://schemas.microsoft.com/office/drawing/2014/main" id="{2760B265-9848-E171-9D51-4E625C001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611" name="Day_5">
          <a:extLst>
            <a:ext uri="{FF2B5EF4-FFF2-40B4-BE49-F238E27FC236}">
              <a16:creationId xmlns:a16="http://schemas.microsoft.com/office/drawing/2014/main" id="{A42E2474-B70E-4D84-27A7-1EB3073E9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612" name="Day_6">
          <a:extLst>
            <a:ext uri="{FF2B5EF4-FFF2-40B4-BE49-F238E27FC236}">
              <a16:creationId xmlns:a16="http://schemas.microsoft.com/office/drawing/2014/main" id="{17568AD4-F252-25E6-7FB9-171B2FDF8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6E9E7679-4D3F-C3DD-D61E-903F0A328B46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95279006-CD72-8BF5-DA3E-6AF51ABAD36D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FDCF961A-7376-85B9-0AD4-B27018E93774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BC3F7974-8E48-60E9-F148-DAC26C01A87F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BCEC3FBC-2EF6-56B3-B6EC-805156C8789C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6249B5D1-D811-3D85-6924-3A70C05D5FC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5DD89371-8FC8-AE18-E92B-6DAD70018242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6C62CDBB-E30B-E9BD-9DC2-A04559E3FDDB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354FE9D6-10AA-2FCD-E003-1DA5991947C7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5E60E285-16F7-CC79-148B-48C964920800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ED73B4AD-61E7-BABF-072F-9B24F0DD514F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0239638F-B858-6A38-1F75-19213ABA70B9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39D34514-B628-BCFC-E07D-C82CC45663E8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227111A2-7C44-C87F-86DA-FEBBAB57EBC8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D26DD8AC-1275-6E20-B79A-34CACE7B48EB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DE91A2DA-9794-B954-5782-6FEFF37A8C3E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11FE2572-35E5-7112-A9CF-20D15B594141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73E0E013-340E-3059-B925-22436E796FEF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5D416807-AE29-A98E-861C-F3A6D98A53E1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055080FB-FDBF-1BCC-2DE7-E920A8AB48C6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601C6A05-1566-C08D-229B-11953DB9ECB6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06FFD283-4DBF-6A5D-4703-BAB2A8AA9137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FA9AF220-21DF-8120-09C4-9E7A8765711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6551F230-D732-A66A-20B3-5DDE40B1347E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CC07AA2B-E75B-B6F6-E01F-AF9AD915D3D5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D8D89E3D-5110-41BA-0884-F297ACAE0132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25D0F152-B4E7-EA9D-5B7C-AA9F12A77299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802CE72A-4498-BEDC-33B1-4F1E0197E3C6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9DA2CAF9-05A5-E400-838F-17417478665A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470B8CEF-1388-CE16-7FCB-D23FE0FF4D20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3A81423A-DA2C-B152-F02E-357CEA85B1A6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59662544-244A-B75F-59D1-A9855BD40A7E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9EE33DCF-30BC-F105-5577-140451404A9A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BFFF1F9F-B0CD-297F-DB3A-700F284CF06F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C3D8136F-3597-7F6D-A5C1-91F774222896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3806CDB9-2790-AFFD-6528-2EF88E747B2B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6D7F6A2B-E54A-6D01-8E63-8DEEBEC533D9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ADC71108-BB0D-8C14-F287-838BC22877A8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DD9BF57E-C042-2182-EF4B-E18993706CE9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0906D817-B76D-4EF2-1DFD-6B3703F99A37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B7D9DF6E-ADB0-0E57-692C-F6238C222096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70444577-99E3-80B9-2A08-6910D90434A6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85DE013B-EB49-6BF7-DD32-E02CEFAB6D6D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8696AC5C-88C0-2255-BCD7-453E113ABDAC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39AE133F-A38B-58CA-F51B-CBD887A67D4C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266999CA-03DF-F4A8-92FF-54C7C4AB0E82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326C9F5F-3BD2-D580-D137-3E3045A955F5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47FE0879-61A0-2F00-BD74-09016038EBBF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7B338E19-A2CD-0B84-8841-155A8CC78221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366154C4-6777-D023-B8A4-0EEA9083081F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CBC58C88-6D14-1986-90C2-5560ED9ACC05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2E187711-BAC9-E49C-F45A-5E9F3CDF9D2D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3B236A2E-DEBF-2FC8-1080-87FCD8B86A14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3EA920E6-E25F-B1BA-5E87-DFF552F1EB5B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4776C3DE-0EED-75E2-9AD7-CBE8E375476E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751F1DAA-891C-ECE2-8B21-32497E0A31DF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D7D6B823-0DDA-874C-EEF7-3BC5D47CFB24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770A2434-9FCC-24D4-5506-3538F45B529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99BE5D73-6D2C-E649-61AE-1FEB0363F4C5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B276E47A-0034-2C8A-0E21-25691328611B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70805DC7-7E74-37CC-672E-41E2EE9FE1E8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A7AC2A25-2C0D-6CB6-5748-900D18FB2D84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4D076572-1679-FBFA-F346-7A67B5567485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8F891DD5-AC41-4F50-BC5E-03277D9CD267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699872BD-A2D5-C4F9-A9DE-76638F52B8FA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0275A0B9-FFCA-8E39-BB0B-842CE349E661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CBAF4459-8A16-2B35-6843-2FD937EE19AA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EA1C7997-D302-832C-CF98-B32EA17D3E2A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6C2EDC06-7DD4-14BB-8C72-6EFB3CBF4332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A27CFD48-CEB7-418B-7FD6-8670059B485C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661AB87E-947C-8900-3303-37D5C948A400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A6D8ACD3-D7C0-0070-2680-C051AA8BF21C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2841B891-6F2D-89C6-77F4-74460D69B701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4F86661F-031D-E62D-4DBB-A2C5C5B17A10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E0CE2E80-2931-D8F7-FD47-45543FD49749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1E1E2BF5-5755-79FD-1D15-0BED0E98CDB3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DC5EEBA5-527F-BEF4-283F-D856DC16E91A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11FC217F-AD67-A213-3D42-BD64139D4358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1638AEBF-2DBF-F074-0751-C5E77D502000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7FA20CA1-82FF-6065-FA14-E4A5596C8DCA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C54F24F6-FD01-53A5-C91C-CC1E75737213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4A6E9F00-517C-6809-0FD6-8C8075596C7C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5526D9C0-BC92-022B-A543-B3E4B38FA072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1AC7065A-F5C5-7B8A-931B-5E672C952184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4A32174B-7950-B51E-B3BC-81D85442DA31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51052415-923D-019B-B0F8-5521012188A3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D16D147E-09C1-45F9-7D4C-38B06CB691FC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F451C877-EE79-FD11-3480-6AB7450F95E1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FA27198B-8E9A-027D-C1AB-01CEE079D058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83AB155D-E41B-09A1-43B7-77E3D4BDEAAA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200538C7-EC43-A0E6-8600-DA3DDF098AFF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52AA3A5F-85C4-83A1-E834-5599C8F8151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F1AAB9F6-C7E5-D33F-37C3-56325FC6F2B7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AA35DAA9-4FC8-8289-9D40-2A3C1D973896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832DED33-8ED0-0077-FB12-94F7392C8D3C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662F80D7-7DEF-7563-D1AC-98B432D3F825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B99BFDEF-3242-7A65-6493-6B2732E43688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C7BE257D-D30A-FB41-78A9-E2E70ED5FAAF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B4C36447-1E25-B82F-73E3-B1097F38483B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D601CC31-4CEE-C165-E5AC-4BB963EFFD8F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D88AF459-41AB-FDB7-B036-60EC390C282D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10FFC4EB-F21A-FB3B-6885-382B851706E8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FE762C5D-CC84-C0D1-6F92-A910A62B6E00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B2C91628-B52B-987C-527F-C77E72873046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763A57A7-42B3-B982-ADEE-3AD44C1B27EB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0D1A286A-E97C-E48C-4EA4-71E6FC14F848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53CDBD68-75B5-5EB9-60B3-4EF2519F9487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F7646B63-2AFA-3CAC-5431-97649A0ED83C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29F468FE-7DEB-3534-03A7-2DC6C561D6F5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50F4E61A-EDCC-7E5D-564B-9E9246ED7097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F84C72B7-AA79-BE1A-0F64-1AD4A4AF9932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217B9971-DD6B-A0B4-DDCA-13A736DE7EF5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06A37C36-20BD-0D36-DF2D-143103AD1B86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56B5E69F-3B40-FB64-D857-E5BF78ADE975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2231B6F8-E45A-DBAE-E63D-CC01AB4F6268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63C0DE38-C4F6-A843-C335-5CAF1739F514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62C9366E-D7BF-2341-CE64-0FDB711F939C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F9D8AACE-07F3-5003-1292-CE85D713BCE2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DE87D484-D3D1-0713-D5B9-020BA4470A96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E0EA0AAF-CFF9-6BCF-5D5D-0616117D6B44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8FE4B787-F079-999E-891E-E5AC220C87CA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D4DF31E3-C293-C991-8FA8-0B7E7D709CA1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BDE67007-8EA5-0EB1-F18D-FEB972B87D0B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47E2B5CA-5314-6392-33EF-16E4D225E767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6B0EE861-751E-44BB-2B9C-A761F98D4E39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74505D24-9B9A-05AE-369B-A9EB8992CEDD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0C1FFE3A-0EA2-0492-959A-184C4423513C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FF882C73-1426-F5B1-CE76-A05B2BAC512A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899C1D28-095D-0971-AF71-50DCD0D23E45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F672686B-4E4C-C8B0-4321-F26E4B85AB49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75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MON</v>
      </c>
      <c r="I1" s="865">
        <f>D4</f>
        <v>37081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MON</v>
      </c>
      <c r="E3" s="829" t="str">
        <f t="shared" si="0"/>
        <v>TUE</v>
      </c>
      <c r="F3" s="829" t="str">
        <f t="shared" si="0"/>
        <v>WED</v>
      </c>
      <c r="G3" s="829" t="str">
        <f t="shared" si="0"/>
        <v>THU</v>
      </c>
      <c r="H3" s="829" t="str">
        <f t="shared" si="0"/>
        <v>FRI</v>
      </c>
      <c r="I3" s="830" t="str">
        <f t="shared" si="0"/>
        <v>SAT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37081</v>
      </c>
      <c r="E4" s="833">
        <f>Weather_Input!A6</f>
        <v>37082</v>
      </c>
      <c r="F4" s="833">
        <f>Weather_Input!A7</f>
        <v>37083</v>
      </c>
      <c r="G4" s="833">
        <f>Weather_Input!A8</f>
        <v>37084</v>
      </c>
      <c r="H4" s="833">
        <f>Weather_Input!A9</f>
        <v>37085</v>
      </c>
      <c r="I4" s="834">
        <f>Weather_Input!A10</f>
        <v>37086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89/70/80</v>
      </c>
      <c r="E5" s="866" t="str">
        <f>TEXT(Weather_Input!B6,"0")&amp;"/"&amp;TEXT(Weather_Input!C6,"0") &amp; "/" &amp; TEXT((Weather_Input!B6+Weather_Input!C6)/2,"0")</f>
        <v>89/60/75</v>
      </c>
      <c r="F5" s="866" t="str">
        <f>TEXT(Weather_Input!B7,"0")&amp;"/"&amp;TEXT(Weather_Input!C7,"0") &amp; "/" &amp; TEXT((Weather_Input!B7+Weather_Input!C7)/2,"0")</f>
        <v>78/58/68</v>
      </c>
      <c r="G5" s="866" t="str">
        <f>TEXT(Weather_Input!B8,"0")&amp;"/"&amp;TEXT(Weather_Input!C8,"0") &amp; "/" &amp; TEXT((Weather_Input!B8+Weather_Input!C8)/2,"0")</f>
        <v>72/55/64</v>
      </c>
      <c r="H5" s="866" t="str">
        <f>TEXT(Weather_Input!B9,"0")&amp;"/"&amp;TEXT(Weather_Input!C9,"0") &amp; "/" &amp; TEXT((Weather_Input!B9+Weather_Input!C9)/2,"0")</f>
        <v>75/57/66</v>
      </c>
      <c r="I5" s="867" t="str">
        <f>TEXT(Weather_Input!B10,"0")&amp;"/"&amp;TEXT(Weather_Input!C10,"0") &amp; "/" &amp; TEXT((Weather_Input!B10+Weather_Input!C10)/2,"0")</f>
        <v>84/64/74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34.5</v>
      </c>
      <c r="E6" s="836">
        <f ca="1">VLOOKUP(E4,NSG_Sendouts,CELL("Col",NSG_Deliveries!C6),FALSE)/1000</f>
        <v>35</v>
      </c>
      <c r="F6" s="836">
        <f ca="1">VLOOKUP(F4,NSG_Sendouts,CELL("Col",NSG_Deliveries!C7),FALSE)/1000</f>
        <v>35</v>
      </c>
      <c r="G6" s="836">
        <f ca="1">VLOOKUP(G4,NSG_Sendouts,CELL("Col",NSG_Deliveries!C8),FALSE)/1000</f>
        <v>35</v>
      </c>
      <c r="H6" s="836">
        <f ca="1">VLOOKUP(H4,NSG_Sendouts,CELL("Col",NSG_Deliveries!C9),FALSE)/1000</f>
        <v>33</v>
      </c>
      <c r="I6" s="841">
        <f ca="1">VLOOKUP(I4,NSG_Sendouts,CELL("Col",NSG_Deliveries!C10),FALSE)/1000</f>
        <v>31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6.1130000000000004</v>
      </c>
      <c r="E8" s="836">
        <f>NSG_Requirements!J8/1000</f>
        <v>4.18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0.97399999999999998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41.586999999999996</v>
      </c>
      <c r="E11" s="845">
        <f t="shared" ca="1" si="1"/>
        <v>39.18</v>
      </c>
      <c r="F11" s="845">
        <f t="shared" ca="1" si="1"/>
        <v>35</v>
      </c>
      <c r="G11" s="845">
        <f t="shared" ca="1" si="1"/>
        <v>35</v>
      </c>
      <c r="H11" s="845">
        <f t="shared" ca="1" si="1"/>
        <v>33</v>
      </c>
      <c r="I11" s="846">
        <f t="shared" ca="1" si="1"/>
        <v>31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789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28.4</v>
      </c>
      <c r="E19" s="836">
        <f>NSG_Supplies!Q8/1000</f>
        <v>27.183</v>
      </c>
      <c r="F19" s="836">
        <f>NSG_Supplies!Q9/1000</f>
        <v>27.183</v>
      </c>
      <c r="G19" s="836">
        <f>NSG_Supplies!Q10/1000</f>
        <v>27.183</v>
      </c>
      <c r="H19" s="836">
        <f>NSG_Supplies!Q11/1000</f>
        <v>27.183</v>
      </c>
      <c r="I19" s="837">
        <f>NSG_Supplies!Q12/1000</f>
        <v>27.183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5" customHeight="1" thickBot="1">
      <c r="A21" s="1242" t="s">
        <v>149</v>
      </c>
      <c r="B21" s="1243"/>
      <c r="C21" s="1243"/>
      <c r="D21" s="1244">
        <f t="shared" ref="D21:I21" si="2">SUM(D14:D20)</f>
        <v>40.4</v>
      </c>
      <c r="E21" s="1244">
        <f t="shared" si="2"/>
        <v>39.183</v>
      </c>
      <c r="F21" s="1244">
        <f t="shared" si="2"/>
        <v>39.183</v>
      </c>
      <c r="G21" s="1244">
        <f t="shared" si="2"/>
        <v>39.183</v>
      </c>
      <c r="H21" s="1244">
        <f t="shared" si="2"/>
        <v>39.183</v>
      </c>
      <c r="I21" s="1245">
        <f t="shared" si="2"/>
        <v>39.183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3.0000000000001137E-3</v>
      </c>
      <c r="F22" s="877">
        <f t="shared" ca="1" si="3"/>
        <v>4.1829999999999998</v>
      </c>
      <c r="G22" s="877">
        <f t="shared" ca="1" si="3"/>
        <v>4.1829999999999998</v>
      </c>
      <c r="H22" s="877">
        <f t="shared" ca="1" si="3"/>
        <v>6.1829999999999998</v>
      </c>
      <c r="I22" s="878">
        <f t="shared" ca="1" si="3"/>
        <v>8.1829999999999998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1.1869999999999976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17.067</v>
      </c>
      <c r="E24" s="1097">
        <f>NSG_Supplies!R8/1000</f>
        <v>15.85</v>
      </c>
      <c r="F24" s="1097">
        <f>NSG_Supplies!R9/1000</f>
        <v>15.85</v>
      </c>
      <c r="G24" s="1097">
        <f>NSG_Supplies!R10/1000</f>
        <v>15.85</v>
      </c>
      <c r="H24" s="1097">
        <f>NSG_Supplies!R11/1000</f>
        <v>15.85</v>
      </c>
      <c r="I24" s="1098">
        <f>NSG_Supplies!R12/1000</f>
        <v>15.85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6.4</v>
      </c>
      <c r="E26" s="884">
        <f>Weather_Input!D6</f>
        <v>7.5</v>
      </c>
      <c r="F26" s="884">
        <f>Weather_Input!D7</f>
        <v>10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37081</v>
      </c>
      <c r="N1" s="1218" t="str">
        <f>CHOOSE(WEEKDAY(M1),"SUN","MON","TUE","WED","THU","FRI","SAT")</f>
        <v>MON</v>
      </c>
      <c r="O1" s="588"/>
    </row>
    <row r="2" spans="1:17" ht="16.5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75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89</v>
      </c>
      <c r="K3" s="945">
        <f>Weather_Input!C5</f>
        <v>70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100.583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206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100.583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0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5</v>
      </c>
      <c r="G9" s="319"/>
      <c r="H9" s="1126"/>
      <c r="I9" s="119" t="s">
        <v>695</v>
      </c>
      <c r="J9" s="1044"/>
      <c r="K9" s="1264">
        <f>+B6</f>
        <v>100.583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8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-67.510000000000005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67.98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179.012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8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0.53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-15.42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1.0196999999999998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-48.49</v>
      </c>
      <c r="L18" s="1044"/>
      <c r="M18" s="221"/>
      <c r="N18" s="1044"/>
      <c r="O18" s="799"/>
    </row>
    <row r="19" spans="1:15" ht="16.5" thickBot="1">
      <c r="A19" s="513" t="s">
        <v>430</v>
      </c>
      <c r="B19" s="1208">
        <f>-B13+B14+B16-B17-B15+B20+B21</f>
        <v>-67.510000000000005</v>
      </c>
      <c r="C19" s="515"/>
      <c r="D19" s="527"/>
      <c r="E19" s="1146" t="s">
        <v>743</v>
      </c>
      <c r="F19" s="1211">
        <f>PGL_Requirements!J7/1000</f>
        <v>48.49</v>
      </c>
      <c r="G19" s="1033" t="s">
        <v>9</v>
      </c>
      <c r="H19" s="1147" t="s">
        <v>9</v>
      </c>
      <c r="I19" t="s">
        <v>536</v>
      </c>
      <c r="J19" s="1214"/>
      <c r="K19" s="1268">
        <f>-F24</f>
        <v>-41.933500000000002</v>
      </c>
      <c r="L19" s="1214"/>
      <c r="M19" s="157"/>
      <c r="N19" s="1214"/>
      <c r="O19" s="1213"/>
    </row>
    <row r="20" spans="1:15" ht="16.5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129.24149999999997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76.758500000000026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41.933500000000002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1.0196999999999998</v>
      </c>
      <c r="L25" s="951"/>
      <c r="M25" s="1225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77.778200000000027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-22.777999999999999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-27.414999999999999</v>
      </c>
      <c r="L30" s="1161"/>
      <c r="M30" s="1061">
        <f>-PGL_Supplies!AB7/1000</f>
        <v>-27.414999999999999</v>
      </c>
      <c r="N30" s="1162"/>
      <c r="O30" s="1222">
        <f>-PGL_Supplies!AB7/1000</f>
        <v>-27.414999999999999</v>
      </c>
    </row>
    <row r="31" spans="1:15" ht="16.5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178.846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75" thickBot="1">
      <c r="A33" s="1117" t="s">
        <v>587</v>
      </c>
      <c r="B33" s="966">
        <f>PGL_Supplies!S7/1000</f>
        <v>0.33200000000000002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5" thickBot="1">
      <c r="A34" s="1173" t="s">
        <v>650</v>
      </c>
      <c r="B34" s="1198">
        <f>-B30+B31+B32+B33*0.5</f>
        <v>179.012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137.07849999999999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41.933500000000002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48.49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5" thickBot="1">
      <c r="A39" s="1119" t="s">
        <v>2</v>
      </c>
      <c r="B39" s="1221">
        <f>B35+B36+B37+B38</f>
        <v>227.50200000000001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7.25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MON</v>
      </c>
      <c r="G1" s="1224">
        <f>Weather_Input!A5</f>
        <v>37081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/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89</v>
      </c>
      <c r="C4" s="750">
        <f>Weather_Input!C5</f>
        <v>70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34.5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28.613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5.8869999999999996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28.613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0.97399999999999998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-28.4</v>
      </c>
      <c r="D25" s="710"/>
      <c r="E25" s="703">
        <f>-NSG_Supplies!Q7/1000</f>
        <v>-28.4</v>
      </c>
      <c r="F25" s="710"/>
      <c r="G25" s="703">
        <f>-NSG_Supplies!Q7/1000</f>
        <v>-28.4</v>
      </c>
      <c r="H25" s="709"/>
      <c r="I25" s="766">
        <f>-NSG_Supplies!Q7/1000</f>
        <v>-28.4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6.1130000000000004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5.8869999999999996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37081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89</v>
      </c>
      <c r="C5" s="261">
        <f>Weather_Input!C5</f>
        <v>70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206</v>
      </c>
      <c r="C8" s="269">
        <f>NSG_Deliveries!C5/1000</f>
        <v>34.5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128.80199999999999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40.602999999999994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15.42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34.5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1.0196999999999998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34.5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0.53</v>
      </c>
      <c r="C27" s="305">
        <f>NSG_Requirements!P7/1000</f>
        <v>0</v>
      </c>
      <c r="D27" s="305">
        <f>PGL_Requirements!Q7/1000</f>
        <v>0.53</v>
      </c>
      <c r="E27" s="305">
        <f>NSG_Requirements!P7/1000</f>
        <v>0</v>
      </c>
      <c r="F27" s="305">
        <f>PGL_Requirements!Q7/1000</f>
        <v>0.53</v>
      </c>
      <c r="G27" s="305">
        <f>NSG_Requirements!P7/1000</f>
        <v>0</v>
      </c>
      <c r="H27" s="306">
        <f>+B27</f>
        <v>0.53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-27.414999999999999</v>
      </c>
      <c r="C32" s="310">
        <f>-NSG_Supplies!Q7/1000</f>
        <v>-28.4</v>
      </c>
      <c r="D32" s="310">
        <f>B32</f>
        <v>-27.414999999999999</v>
      </c>
      <c r="E32" s="310">
        <f>C32</f>
        <v>-28.4</v>
      </c>
      <c r="F32" s="310">
        <f>B32</f>
        <v>-27.414999999999999</v>
      </c>
      <c r="G32" s="310">
        <f>C32</f>
        <v>-28.4</v>
      </c>
      <c r="H32" s="315">
        <f>B32</f>
        <v>-27.414999999999999</v>
      </c>
      <c r="I32" s="316">
        <f>C32</f>
        <v>-28.4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-17.067</v>
      </c>
      <c r="D33" s="310">
        <f>B33</f>
        <v>0</v>
      </c>
      <c r="E33" s="310">
        <f>C33</f>
        <v>-17.067</v>
      </c>
      <c r="F33" s="310">
        <f>B33</f>
        <v>0</v>
      </c>
      <c r="G33" s="310">
        <f>C33</f>
        <v>-17.067</v>
      </c>
      <c r="H33" s="315">
        <f>B33</f>
        <v>0</v>
      </c>
      <c r="I33" s="316">
        <f>C33</f>
        <v>-17.067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0.97399999999999998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-22.777999999999999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67.98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1.0196999999999998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1.0196999999999998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128.80199999999999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128.80199999999999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100.583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8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67.98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40.602999999999994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MON</v>
      </c>
      <c r="H73" s="401">
        <f>Weather_Input!A5</f>
        <v>37081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128.80199999999999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108.583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15.42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-17.067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128.80199999999999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128.80199999999999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67.98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1.0196999999999998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5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100.583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108.583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37082.467991087964</v>
      </c>
      <c r="F22" s="161" t="s">
        <v>257</v>
      </c>
      <c r="G22" s="188">
        <f ca="1">NOW()</f>
        <v>37082.467991087964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37081</v>
      </c>
      <c r="C5" s="15"/>
      <c r="D5" s="22" t="s">
        <v>275</v>
      </c>
      <c r="E5" s="23">
        <f>Weather_Input!B5</f>
        <v>89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70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80.099999999999994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PARTLY CLOUDY. HIGHS IN THE 80S NEAR THE LAKE TO 90S INLAND WITH LIGHT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WINDS. A LITTLE COOLER AT NIGHT WITH LOWS IN THE MIDDLE 60S. LIGHT WINDS.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37082</v>
      </c>
      <c r="C10" s="15"/>
      <c r="D10" s="150" t="s">
        <v>275</v>
      </c>
      <c r="E10" s="23">
        <f>Weather_Input!B6</f>
        <v>89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60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74.5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>MOSTLY SUNNY. HIGH 85 TO 90….BUT ONLY IN THE LOWER 80S NEAR THE LAKE.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TONIGHT MOSTLY CLEAR. LOW IN THE LOWER 60S.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37083</v>
      </c>
      <c r="C15" s="15"/>
      <c r="D15" s="22" t="s">
        <v>275</v>
      </c>
      <c r="E15" s="23">
        <f>Weather_Input!B7</f>
        <v>78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58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68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282</v>
      </c>
    </row>
    <row r="18" spans="1:109" ht="15">
      <c r="A18" s="18"/>
      <c r="B18" s="20"/>
      <c r="C18" s="15"/>
      <c r="D18" s="32" t="str">
        <f>IF(Weather_Input!I7=""," ",Weather_Input!I7)</f>
        <v xml:space="preserve">SUNNY,,,,COOLER AND LESS HUMID, WITH A HIGH AROUND LOWER 80S. MOSTLY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CLEAR  AND LOW IN THE LOWER 60S 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37084</v>
      </c>
      <c r="C20" s="15"/>
      <c r="D20" s="22" t="s">
        <v>275</v>
      </c>
      <c r="E20" s="23">
        <f>Weather_Input!B8</f>
        <v>72</v>
      </c>
      <c r="F20" s="24" t="s">
        <v>276</v>
      </c>
      <c r="G20" s="25">
        <f>IF(E22&lt;65,65-(Weather_Input!B8+Weather_Input!C8)/2,0)</f>
        <v>1.5</v>
      </c>
      <c r="H20" s="26" t="s">
        <v>277</v>
      </c>
      <c r="I20" s="27">
        <f ca="1">G20-(VLOOKUP(B20,DD_Normal_Data,CELL("Col",B21),FALSE))</f>
        <v>1.5</v>
      </c>
    </row>
    <row r="21" spans="1:109" ht="15">
      <c r="A21" s="18"/>
      <c r="B21" s="21"/>
      <c r="C21" s="15"/>
      <c r="D21" s="22" t="s">
        <v>162</v>
      </c>
      <c r="E21" s="23">
        <f>Weather_Input!C8</f>
        <v>55</v>
      </c>
      <c r="F21" s="24" t="s">
        <v>278</v>
      </c>
      <c r="G21" s="25">
        <f>IF(DAY(B20)=1,G20,G16+G20)</f>
        <v>6.5</v>
      </c>
      <c r="H21" s="30" t="s">
        <v>279</v>
      </c>
      <c r="I21" s="27">
        <f ca="1">G21-(VLOOKUP(B20,DD_Normal_Data,CELL("Col",C22),FALSE))</f>
        <v>6.5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63.5</v>
      </c>
      <c r="F22" s="24" t="s">
        <v>281</v>
      </c>
      <c r="G22" s="25">
        <f>IF(AND(DAY(B20)=1,MONTH(B20)=8),G20,G17+G20)</f>
        <v>6705.5</v>
      </c>
      <c r="H22" s="26" t="s">
        <v>281</v>
      </c>
      <c r="I22" s="27">
        <f ca="1">G22-(VLOOKUP(B20,DD_Normal_Data,CELL("Col",D19),FALSE))</f>
        <v>283.5</v>
      </c>
    </row>
    <row r="23" spans="1:109" ht="15">
      <c r="A23" s="18"/>
      <c r="B23" s="21"/>
      <c r="C23" s="15"/>
      <c r="D23" s="32" t="str">
        <f>IF(Weather_Input!I8=""," ",Weather_Input!I8)</f>
        <v>SUNNY,,,,  HIGH AROUND 80.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37085</v>
      </c>
      <c r="C25" s="15"/>
      <c r="D25" s="22" t="s">
        <v>275</v>
      </c>
      <c r="E25" s="23">
        <f>Weather_Input!B9</f>
        <v>75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57</v>
      </c>
      <c r="F26" s="24" t="s">
        <v>278</v>
      </c>
      <c r="G26" s="25">
        <f>IF(DAY(B25)=1,G25,G21+G25)</f>
        <v>6.5</v>
      </c>
      <c r="H26" s="30" t="s">
        <v>279</v>
      </c>
      <c r="I26" s="27">
        <f ca="1">G26-(VLOOKUP(B25,DD_Normal_Data,CELL("Col",C27),FALSE))</f>
        <v>6.5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66</v>
      </c>
      <c r="F27" s="24" t="s">
        <v>281</v>
      </c>
      <c r="G27" s="25">
        <f>IF(AND(DAY(B25)=1,MONTH(B25)=8),G25,G22+G25)</f>
        <v>6705.5</v>
      </c>
      <c r="H27" s="26" t="s">
        <v>281</v>
      </c>
      <c r="I27" s="27">
        <f ca="1">G27-(VLOOKUP(B25,DD_Normal_Data,CELL("Col",D24),FALSE))</f>
        <v>283.5</v>
      </c>
    </row>
    <row r="28" spans="1:109" ht="15">
      <c r="A28" s="18"/>
      <c r="B28" s="20"/>
      <c r="C28" s="15"/>
      <c r="D28" s="32" t="str">
        <f>IF(Weather_Input!I9=""," ",Weather_Input!I9)</f>
        <v>SUNNY,,, LOW IN THE MIDDLE 50S . HIGH AROUND 80.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37086</v>
      </c>
      <c r="C30" s="15"/>
      <c r="D30" s="22" t="s">
        <v>275</v>
      </c>
      <c r="E30" s="23">
        <f>Weather_Input!B10</f>
        <v>84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64</v>
      </c>
      <c r="F31" s="24" t="s">
        <v>278</v>
      </c>
      <c r="G31" s="25">
        <f>IF(DAY(B30)=1,G30,G26+G30)</f>
        <v>6.5</v>
      </c>
      <c r="H31" s="30" t="s">
        <v>279</v>
      </c>
      <c r="I31" s="27">
        <f ca="1">G31-(VLOOKUP(B30,DD_Normal_Data,CELL("Col",C32),FALSE))</f>
        <v>6.5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74</v>
      </c>
      <c r="F32" s="24" t="s">
        <v>281</v>
      </c>
      <c r="G32" s="25">
        <f>IF(AND(DAY(B30)=1,MONTH(B30)=8),G30,G27+G30)</f>
        <v>6705.5</v>
      </c>
      <c r="H32" s="26" t="s">
        <v>281</v>
      </c>
      <c r="I32" s="27">
        <f ca="1">G32-(VLOOKUP(B30,DD_Normal_Data,CELL("Col",D29),FALSE))</f>
        <v>283.5</v>
      </c>
    </row>
    <row r="33" spans="1:9" ht="15">
      <c r="A33" s="15"/>
      <c r="B33" s="34"/>
      <c r="C33" s="15"/>
      <c r="D33" s="32" t="str">
        <f>IF(Weather_Input!I10=""," ",Weather_Input!I10)</f>
        <v>PARTLY CLOUDY, LOW NEAR 60. HIGH 80 TO 85.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37081</v>
      </c>
      <c r="C36" s="89">
        <f>B10</f>
        <v>37082</v>
      </c>
      <c r="D36" s="89">
        <f>B15</f>
        <v>37083</v>
      </c>
      <c r="E36" s="89">
        <f xml:space="preserve">       B20</f>
        <v>37084</v>
      </c>
      <c r="F36" s="89">
        <f>B25</f>
        <v>37085</v>
      </c>
      <c r="G36" s="89">
        <f>B30</f>
        <v>37086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206</v>
      </c>
      <c r="C37" s="41">
        <f ca="1">(VLOOKUP(C36,PGL_Sendouts,(CELL("COL",PGL_Deliveries!C7))))/1000</f>
        <v>205</v>
      </c>
      <c r="D37" s="41">
        <f ca="1">(VLOOKUP(D36,PGL_Sendouts,(CELL("COL",PGL_Deliveries!C8))))/1000</f>
        <v>205</v>
      </c>
      <c r="E37" s="41">
        <f ca="1">(VLOOKUP(E36,PGL_Sendouts,(CELL("COL",PGL_Deliveries!C9))))/1000</f>
        <v>205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180</v>
      </c>
      <c r="H37" s="14"/>
      <c r="I37" s="15"/>
    </row>
    <row r="38" spans="1:9" ht="15">
      <c r="A38" s="15" t="s">
        <v>286</v>
      </c>
      <c r="B38" s="41">
        <f>PGL_6_Day_Report!D25</f>
        <v>381.57319999999999</v>
      </c>
      <c r="C38" s="41">
        <f>PGL_6_Day_Report!E25</f>
        <v>385.09485000000001</v>
      </c>
      <c r="D38" s="41">
        <f>PGL_6_Day_Report!F25</f>
        <v>342.87</v>
      </c>
      <c r="E38" s="41">
        <f>PGL_6_Day_Report!G25</f>
        <v>342.87</v>
      </c>
      <c r="F38" s="41">
        <f>PGL_6_Day_Report!H25</f>
        <v>327.87</v>
      </c>
      <c r="G38" s="41">
        <f>PGL_6_Day_Report!I25</f>
        <v>317.87</v>
      </c>
      <c r="H38" s="14"/>
      <c r="I38" s="15"/>
    </row>
    <row r="39" spans="1:9" ht="15">
      <c r="A39" s="42" t="s">
        <v>104</v>
      </c>
      <c r="B39" s="41">
        <f>SUM(PGL_Supplies!Y7:AD7)/1000</f>
        <v>209.46100000000001</v>
      </c>
      <c r="C39" s="41">
        <f>SUM(PGL_Supplies!Y8:AD8)/1000</f>
        <v>224.03399999999999</v>
      </c>
      <c r="D39" s="41">
        <f>SUM(PGL_Supplies!Y9:AD9)/1000</f>
        <v>224.03399999999999</v>
      </c>
      <c r="E39" s="41">
        <f>SUM(PGL_Supplies!Y10:AD10)/1000</f>
        <v>224.03399999999999</v>
      </c>
      <c r="F39" s="41">
        <f>SUM(PGL_Supplies!Y11:AD11)/1000</f>
        <v>224.03399999999999</v>
      </c>
      <c r="G39" s="41">
        <f>SUM(PGL_Supplies!Y12:AD12)/1000</f>
        <v>224.03399999999999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0.73</v>
      </c>
      <c r="C41" s="41">
        <f>SUM(PGL_Requirements!Q7:T7)/1000</f>
        <v>0.73</v>
      </c>
      <c r="D41" s="41">
        <f>SUM(PGL_Requirements!Q7:T7)/1000</f>
        <v>0.73</v>
      </c>
      <c r="E41" s="41">
        <f>SUM(PGL_Requirements!Q7:T7)/1000</f>
        <v>0.73</v>
      </c>
      <c r="F41" s="41">
        <f>SUM(PGL_Requirements!Q7:T7)/1000</f>
        <v>0.73</v>
      </c>
      <c r="G41" s="41">
        <f>SUM(PGL_Requirements!Q7:T7)/1000</f>
        <v>0.73</v>
      </c>
      <c r="H41" s="14"/>
      <c r="I41" s="15"/>
    </row>
    <row r="42" spans="1:9" ht="15">
      <c r="A42" s="15" t="s">
        <v>127</v>
      </c>
      <c r="B42" s="41">
        <f>PGL_Supplies!U7/1000</f>
        <v>128.80199999999999</v>
      </c>
      <c r="C42" s="41">
        <f>PGL_Supplies!U8/1000</f>
        <v>119.884</v>
      </c>
      <c r="D42" s="41">
        <f>PGL_Supplies!U9/1000</f>
        <v>119.884</v>
      </c>
      <c r="E42" s="41">
        <f>PGL_Supplies!U10/1000</f>
        <v>119.884</v>
      </c>
      <c r="F42" s="41">
        <f>PGL_Supplies!U11/1000</f>
        <v>119.884</v>
      </c>
      <c r="G42" s="41">
        <f>PGL_Supplies!U12/1000</f>
        <v>119.884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37081</v>
      </c>
      <c r="C44" s="89">
        <f t="shared" si="0"/>
        <v>37082</v>
      </c>
      <c r="D44" s="89">
        <f t="shared" si="0"/>
        <v>37083</v>
      </c>
      <c r="E44" s="89">
        <f t="shared" si="0"/>
        <v>37084</v>
      </c>
      <c r="F44" s="89">
        <f t="shared" si="0"/>
        <v>37085</v>
      </c>
      <c r="G44" s="89">
        <f t="shared" si="0"/>
        <v>37086</v>
      </c>
      <c r="H44" s="14"/>
      <c r="I44" s="15"/>
    </row>
    <row r="45" spans="1:9" ht="15">
      <c r="A45" s="15" t="s">
        <v>54</v>
      </c>
      <c r="B45" s="41">
        <f ca="1">NSG_6_Day_Report!D6</f>
        <v>34.5</v>
      </c>
      <c r="C45" s="41">
        <f ca="1">NSG_6_Day_Report!E6</f>
        <v>35</v>
      </c>
      <c r="D45" s="41">
        <f ca="1">NSG_6_Day_Report!F6</f>
        <v>35</v>
      </c>
      <c r="E45" s="41">
        <f ca="1">NSG_6_Day_Report!G6</f>
        <v>35</v>
      </c>
      <c r="F45" s="41">
        <f ca="1">NSG_6_Day_Report!H6</f>
        <v>33</v>
      </c>
      <c r="G45" s="41">
        <f ca="1">NSG_6_Day_Report!I6</f>
        <v>31</v>
      </c>
      <c r="H45" s="14"/>
      <c r="I45" s="15"/>
    </row>
    <row r="46" spans="1:9" ht="15">
      <c r="A46" s="42" t="s">
        <v>286</v>
      </c>
      <c r="B46" s="41">
        <f ca="1">NSG_6_Day_Report!D11</f>
        <v>41.586999999999996</v>
      </c>
      <c r="C46" s="41">
        <f ca="1">NSG_6_Day_Report!E11</f>
        <v>39.18</v>
      </c>
      <c r="D46" s="41">
        <f ca="1">NSG_6_Day_Report!F11</f>
        <v>35</v>
      </c>
      <c r="E46" s="41">
        <f ca="1">NSG_6_Day_Report!G11</f>
        <v>35</v>
      </c>
      <c r="F46" s="41">
        <f ca="1">NSG_6_Day_Report!H11</f>
        <v>33</v>
      </c>
      <c r="G46" s="41">
        <f ca="1">NSG_6_Day_Report!I11</f>
        <v>31</v>
      </c>
      <c r="H46" s="14"/>
      <c r="I46" s="15"/>
    </row>
    <row r="47" spans="1:9" ht="15">
      <c r="A47" s="42" t="s">
        <v>104</v>
      </c>
      <c r="B47" s="41">
        <f>SUM(NSG_Supplies!O7:Q7)/1000</f>
        <v>40.4</v>
      </c>
      <c r="C47" s="41">
        <f>SUM(NSG_Supplies!O8:Q8)/1000</f>
        <v>39.183</v>
      </c>
      <c r="D47" s="41">
        <f>SUM(NSG_Supplies!O9:Q9)/1000</f>
        <v>39.183</v>
      </c>
      <c r="E47" s="41">
        <f>SUM(NSG_Supplies!O10:Q10)/1000</f>
        <v>39.183</v>
      </c>
      <c r="F47" s="41">
        <f>SUM(NSG_Supplies!O11:Q11)/1000</f>
        <v>39.183</v>
      </c>
      <c r="G47" s="41">
        <f>SUM(NSG_Supplies!O12:Q12)/1000</f>
        <v>39.183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17.067</v>
      </c>
      <c r="C50" s="41">
        <f>NSG_Supplies!R8/1000</f>
        <v>15.85</v>
      </c>
      <c r="D50" s="41">
        <f>NSG_Supplies!R9/1000</f>
        <v>15.85</v>
      </c>
      <c r="E50" s="41">
        <f>NSG_Supplies!R10/1000</f>
        <v>15.85</v>
      </c>
      <c r="F50" s="41">
        <f>NSG_Supplies!R11/1000</f>
        <v>15.85</v>
      </c>
      <c r="G50" s="41">
        <f>NSG_Supplies!R12/1000</f>
        <v>15.85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37081</v>
      </c>
      <c r="C52" s="89">
        <f t="shared" si="1"/>
        <v>37082</v>
      </c>
      <c r="D52" s="89">
        <f t="shared" si="1"/>
        <v>37083</v>
      </c>
      <c r="E52" s="89">
        <f t="shared" si="1"/>
        <v>37084</v>
      </c>
      <c r="F52" s="89">
        <f t="shared" si="1"/>
        <v>37085</v>
      </c>
      <c r="G52" s="89">
        <f t="shared" si="1"/>
        <v>37086</v>
      </c>
      <c r="H52" s="14"/>
      <c r="I52" s="15"/>
    </row>
    <row r="53" spans="1:9" ht="15">
      <c r="A53" s="92" t="s">
        <v>290</v>
      </c>
      <c r="B53" s="41">
        <f>PGL_Requirements!O7/1000</f>
        <v>67.98</v>
      </c>
      <c r="C53" s="41">
        <f>PGL_Requirements!O8/1000</f>
        <v>63.09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Tuesday</v>
      </c>
      <c r="C4" s="1066" t="str">
        <f>Six_Day_Summary!A15</f>
        <v>Wednesday</v>
      </c>
      <c r="D4" s="1066" t="str">
        <f>Six_Day_Summary!A20</f>
        <v>Thursday</v>
      </c>
      <c r="E4" s="1066" t="str">
        <f>Six_Day_Summary!A25</f>
        <v>Friday</v>
      </c>
      <c r="F4" s="1067" t="str">
        <f>Six_Day_Summary!A30</f>
        <v>Saturday</v>
      </c>
      <c r="G4" s="98"/>
    </row>
    <row r="5" spans="1:8">
      <c r="A5" s="101" t="s">
        <v>297</v>
      </c>
      <c r="B5" s="1068">
        <f>Weather_Input!A6</f>
        <v>37082</v>
      </c>
      <c r="C5" s="1069">
        <f>Weather_Input!A7</f>
        <v>37083</v>
      </c>
      <c r="D5" s="1069">
        <f>Weather_Input!A8</f>
        <v>37084</v>
      </c>
      <c r="E5" s="1069">
        <f>Weather_Input!A9</f>
        <v>37085</v>
      </c>
      <c r="F5" s="1070">
        <f>Weather_Input!A10</f>
        <v>37086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62.358000000000004</v>
      </c>
      <c r="C6" s="1071">
        <f>PGL_Supplies!AB9/1000+PGL_Supplies!K9/1000-PGL_Requirements!N9/1000+C15-PGL_Requirements!S9/1000</f>
        <v>32.558</v>
      </c>
      <c r="D6" s="1071">
        <f>PGL_Supplies!AB10/1000+PGL_Supplies!K10/1000-PGL_Requirements!N10/1000+D15-PGL_Requirements!S10/1000</f>
        <v>32.558</v>
      </c>
      <c r="E6" s="1071">
        <f>PGL_Supplies!AB11/1000+PGL_Supplies!K11/1000-PGL_Requirements!N11/1000+E15-PGL_Requirements!S11/1000</f>
        <v>32.558</v>
      </c>
      <c r="F6" s="1072">
        <f>PGL_Supplies!AB12/1000+PGL_Supplies!K12/1000-PGL_Requirements!N12/1000+F15-PGL_Requirements!S12/1000</f>
        <v>32.558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Tuesday</v>
      </c>
      <c r="C21" s="1081" t="str">
        <f t="shared" si="0"/>
        <v>Wednesday</v>
      </c>
      <c r="D21" s="1081" t="str">
        <f t="shared" si="0"/>
        <v>Thursday</v>
      </c>
      <c r="E21" s="1081" t="str">
        <f t="shared" si="0"/>
        <v>Friday</v>
      </c>
      <c r="F21" s="1082" t="str">
        <f t="shared" si="0"/>
        <v>Saturday</v>
      </c>
      <c r="G21" s="98"/>
    </row>
    <row r="22" spans="1:7">
      <c r="A22" s="105" t="s">
        <v>297</v>
      </c>
      <c r="B22" s="1083">
        <f t="shared" si="0"/>
        <v>37082</v>
      </c>
      <c r="C22" s="1083">
        <f t="shared" si="0"/>
        <v>37083</v>
      </c>
      <c r="D22" s="1083">
        <f t="shared" si="0"/>
        <v>37084</v>
      </c>
      <c r="E22" s="1083">
        <f t="shared" si="0"/>
        <v>37085</v>
      </c>
      <c r="F22" s="1084">
        <f t="shared" si="0"/>
        <v>37086</v>
      </c>
      <c r="G22" s="98"/>
    </row>
    <row r="23" spans="1:7">
      <c r="A23" s="98" t="s">
        <v>298</v>
      </c>
      <c r="B23" s="1077">
        <f>NSG_Supplies!Q8/1000+NSG_Supplies!F8/1000-NSG_Requirements!H8/1000</f>
        <v>27.183</v>
      </c>
      <c r="C23" s="1077">
        <f>NSG_Supplies!Q9/1000+NSG_Supplies!F9/1000-NSG_Requirements!H9/1000</f>
        <v>27.183</v>
      </c>
      <c r="D23" s="1077">
        <f>NSG_Supplies!Q10/1000+NSG_Supplies!F10/1000-NSG_Requirements!H10/1000</f>
        <v>27.183</v>
      </c>
      <c r="E23" s="1077">
        <f>NSG_Supplies!Q12/1000+NSG_Supplies!F11/1000-NSG_Requirements!H11/1000</f>
        <v>27.183</v>
      </c>
      <c r="F23" s="1072">
        <f>NSG_Supplies!Q12/1000+NSG_Supplies!F12/1000-NSG_Requirements!H12/1000</f>
        <v>27.183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/>
      <c r="B1" s="796" t="s">
        <v>359</v>
      </c>
      <c r="C1" s="892">
        <f>Weather_Input!A6</f>
        <v>37082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4.18</v>
      </c>
      <c r="E4" s="789"/>
      <c r="F4" s="169" t="s">
        <v>520</v>
      </c>
      <c r="G4" s="60"/>
      <c r="H4" s="151">
        <f>PGL_Requirements!O8/1000</f>
        <v>63.09</v>
      </c>
      <c r="I4" s="173">
        <f>AVERAGE(H4/1.025)</f>
        <v>61.551219512195132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7.82</v>
      </c>
      <c r="D5" s="433"/>
      <c r="E5" s="435">
        <f>AVERAGE(C5/24)</f>
        <v>0.32583333333333336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2.6287500000000001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40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188.27600000000001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95.257999999999996</v>
      </c>
      <c r="D11" s="778"/>
      <c r="E11" s="1056"/>
      <c r="F11" s="430" t="s">
        <v>356</v>
      </c>
      <c r="G11" s="442">
        <f>G8+G10</f>
        <v>228.27600000000001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95.257999999999996</v>
      </c>
      <c r="D14" s="433"/>
      <c r="E14" s="435">
        <f>AVERAGE(C14/24)</f>
        <v>3.9690833333333333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93.939000000000021</v>
      </c>
      <c r="H15" s="433" t="s">
        <v>9</v>
      </c>
      <c r="I15" s="435">
        <f>AVERAGE(G15/24)</f>
        <v>3.9141250000000007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134.33699999999999</v>
      </c>
      <c r="H16" s="443" t="s">
        <v>9</v>
      </c>
      <c r="I16" s="435">
        <f>AVERAGE(G16/24)</f>
        <v>5.5973749999999995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37082</v>
      </c>
      <c r="I1" s="914"/>
      <c r="J1" s="916"/>
      <c r="K1" s="916"/>
    </row>
    <row r="2" spans="1:22" ht="16.5" customHeight="1">
      <c r="A2" s="934" t="s">
        <v>641</v>
      </c>
      <c r="C2" s="982">
        <v>376</v>
      </c>
      <c r="F2" s="983">
        <v>378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7.82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27.183</v>
      </c>
      <c r="I9" s="987"/>
      <c r="K9" s="914" t="s">
        <v>645</v>
      </c>
      <c r="L9" s="936">
        <f>NSG_Deliveries!C6/1000</f>
        <v>35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3.0000000000001137E-3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95.257999999999996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378</v>
      </c>
      <c r="F15" s="988">
        <v>378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489</v>
      </c>
      <c r="D18" s="990"/>
      <c r="E18" s="990"/>
      <c r="F18" s="983">
        <v>770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93.939000000000021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48.49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9.1999999999999993</v>
      </c>
      <c r="H26" s="917"/>
      <c r="I26" s="917"/>
      <c r="J26" s="917" t="s">
        <v>542</v>
      </c>
      <c r="K26" s="995">
        <f>PGL_Deliveries!C6/1000</f>
        <v>205</v>
      </c>
      <c r="L26" s="914" t="s">
        <v>645</v>
      </c>
      <c r="M26" s="936">
        <f>NSG_Deliveries!C6/1000</f>
        <v>35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7.7700000000000102</v>
      </c>
      <c r="L28" s="917" t="s">
        <v>689</v>
      </c>
      <c r="M28" s="942">
        <f>SUM(J2+K17+K19+H11+H9-M26)</f>
        <v>4.1829999999999998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37081</v>
      </c>
      <c r="G29" s="936">
        <f>PGL_Requirements!G7/1000</f>
        <v>83.867000000000004</v>
      </c>
      <c r="H29" s="915"/>
      <c r="J29" s="917" t="s">
        <v>649</v>
      </c>
      <c r="K29" s="936">
        <f>PGL_Supplies!AB8/1000+PGL_Supplies!K8/1000-PGL_Requirements!N8/1000</f>
        <v>62.358000000000004</v>
      </c>
    </row>
    <row r="30" spans="1:17" ht="10.5" customHeight="1">
      <c r="A30" s="919"/>
      <c r="B30" s="936"/>
      <c r="C30" s="917"/>
      <c r="D30" s="936"/>
      <c r="F30" s="1041">
        <f>PGL_Requirements!A8</f>
        <v>37082</v>
      </c>
      <c r="G30" s="936">
        <f>PGL_Requirements!G8/1000</f>
        <v>134.33699999999999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-134.87199999999999</v>
      </c>
    </row>
    <row r="32" spans="1:17">
      <c r="A32" s="936">
        <f>PGL_Supplies!G8/1000</f>
        <v>1</v>
      </c>
      <c r="G32" s="936">
        <f>PGL_Requirements!O8/1000</f>
        <v>63.09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489</v>
      </c>
      <c r="F38" s="988">
        <v>749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205.197</v>
      </c>
      <c r="B40" s="930"/>
      <c r="C40" s="929"/>
      <c r="D40" s="930"/>
      <c r="E40" s="930"/>
      <c r="F40" s="998"/>
      <c r="G40" s="998">
        <f>SUM(G30:G35)</f>
        <v>197.42699999999999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7.7700000000000102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378</v>
      </c>
      <c r="E45" s="1003"/>
      <c r="F45" s="1004">
        <v>6.7000000000000004E-2</v>
      </c>
      <c r="G45" s="1005">
        <f>(C45-D45)*F45</f>
        <v>4.8239999999999998</v>
      </c>
      <c r="H45" s="1005">
        <f>(D45-B45)*F45</f>
        <v>6.9010000000000007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377</v>
      </c>
      <c r="E47" s="1003"/>
      <c r="F47" s="1004">
        <v>0.14099999999999999</v>
      </c>
      <c r="G47" s="1005">
        <f>(C47-D47)*F47</f>
        <v>10.292999999999999</v>
      </c>
      <c r="H47" s="1005">
        <f>(D47-B47)*F47</f>
        <v>14.381999999999998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489</v>
      </c>
      <c r="E48" s="1003"/>
      <c r="F48" s="1004">
        <v>0.161</v>
      </c>
      <c r="G48" s="1005">
        <f>(C48-D48)*F48</f>
        <v>42.021000000000001</v>
      </c>
      <c r="H48" s="1005">
        <f>(D48-B48)*F48</f>
        <v>32.844000000000001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57.137999999999998</v>
      </c>
      <c r="H49" s="1005">
        <f>SUM(H45:H48)</f>
        <v>54.126999999999995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37081</v>
      </c>
      <c r="B5" s="11">
        <v>89</v>
      </c>
      <c r="C5" s="49">
        <v>70</v>
      </c>
      <c r="D5" s="49">
        <v>6.4</v>
      </c>
      <c r="E5" s="11">
        <v>80.099999999999994</v>
      </c>
      <c r="F5" s="11">
        <v>5</v>
      </c>
      <c r="G5" s="11">
        <v>6704</v>
      </c>
      <c r="H5" s="11">
        <v>0</v>
      </c>
      <c r="I5" s="894" t="s">
        <v>809</v>
      </c>
      <c r="J5" s="894" t="s">
        <v>810</v>
      </c>
      <c r="K5" s="11">
        <v>3</v>
      </c>
      <c r="L5" s="11">
        <v>1</v>
      </c>
      <c r="N5" s="15" t="str">
        <f>I5&amp;" "&amp;I5</f>
        <v xml:space="preserve">PARTLY CLOUDY. HIGHS IN THE 80S NEAR THE LAKE TO 90S INLAND WITH LIGHT  PARTLY CLOUDY. HIGHS IN THE 80S NEAR THE LAKE TO 90S INLAND WITH LIGHT </v>
      </c>
      <c r="AE5" s="15">
        <v>1</v>
      </c>
      <c r="AH5" s="15" t="s">
        <v>32</v>
      </c>
    </row>
    <row r="6" spans="1:34" ht="16.5" customHeight="1">
      <c r="A6" s="86">
        <f>A5+1</f>
        <v>37082</v>
      </c>
      <c r="B6" s="11">
        <v>89</v>
      </c>
      <c r="C6" s="49">
        <v>60</v>
      </c>
      <c r="D6" s="49">
        <v>7.5</v>
      </c>
      <c r="E6" s="11" t="s">
        <v>9</v>
      </c>
      <c r="F6" s="11" t="s">
        <v>9</v>
      </c>
      <c r="G6" s="11"/>
      <c r="H6" s="11" t="s">
        <v>9</v>
      </c>
      <c r="I6" s="894" t="s">
        <v>811</v>
      </c>
      <c r="J6" s="894" t="s">
        <v>812</v>
      </c>
      <c r="K6" s="11">
        <v>1</v>
      </c>
      <c r="L6" s="11" t="s">
        <v>590</v>
      </c>
      <c r="N6" s="15" t="str">
        <f>I6&amp;" "&amp;J6</f>
        <v>MOSTLY SUNNY. HIGH 85 TO 90….BUT ONLY IN THE LOWER 80S NEAR THE LAKE. TONIGHT MOSTLY CLEAR. LOW IN THE LOWER 60S.</v>
      </c>
      <c r="AE6" s="15">
        <v>1</v>
      </c>
      <c r="AH6" s="15" t="s">
        <v>33</v>
      </c>
    </row>
    <row r="7" spans="1:34" ht="16.5" customHeight="1">
      <c r="A7" s="86">
        <f>A6+1</f>
        <v>37083</v>
      </c>
      <c r="B7" s="11">
        <v>78</v>
      </c>
      <c r="C7" s="49">
        <v>58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94" t="s">
        <v>813</v>
      </c>
      <c r="J7" s="894" t="s">
        <v>814</v>
      </c>
      <c r="K7" s="11">
        <v>1</v>
      </c>
      <c r="L7" s="11" t="s">
        <v>20</v>
      </c>
      <c r="N7" s="15" t="str">
        <f>I7&amp;" "&amp;J7</f>
        <v>SUNNY,,,,COOLER AND LESS HUMID, WITH A HIGH AROUND LOWER 80S. MOSTLY  CLEAR  AND LOW IN THE LOWER 60S .</v>
      </c>
    </row>
    <row r="8" spans="1:34" ht="16.5" customHeight="1">
      <c r="A8" s="86">
        <f>A7+1</f>
        <v>37084</v>
      </c>
      <c r="B8" s="11">
        <v>72</v>
      </c>
      <c r="C8" s="49">
        <v>55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815</v>
      </c>
      <c r="J8" s="894" t="s">
        <v>9</v>
      </c>
      <c r="K8" s="11">
        <v>1</v>
      </c>
      <c r="L8" s="11"/>
      <c r="N8" s="15" t="str">
        <f>I8&amp;" "&amp;J8</f>
        <v xml:space="preserve">SUNNY,,,,  HIGH AROUND 80.  </v>
      </c>
    </row>
    <row r="9" spans="1:34" ht="16.5" customHeight="1">
      <c r="A9" s="86">
        <f>A8+1</f>
        <v>37085</v>
      </c>
      <c r="B9" s="11">
        <v>75</v>
      </c>
      <c r="C9" s="49">
        <v>57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94" t="s">
        <v>816</v>
      </c>
      <c r="J9" s="894" t="s">
        <v>9</v>
      </c>
      <c r="K9" s="11">
        <v>1</v>
      </c>
      <c r="L9" s="11">
        <v>0</v>
      </c>
      <c r="M9" s="87"/>
      <c r="N9" s="15" t="str">
        <f>I9&amp;" "&amp;J9</f>
        <v xml:space="preserve">SUNNY,,, LOW IN THE MIDDLE 50S . HIGH AROUND 80.  </v>
      </c>
    </row>
    <row r="10" spans="1:34" ht="16.5" customHeight="1">
      <c r="A10" s="86">
        <f>A9+1</f>
        <v>37086</v>
      </c>
      <c r="B10" s="11">
        <v>84</v>
      </c>
      <c r="C10" s="49">
        <v>64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4" t="s">
        <v>817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PARTLY CLOUDY, LOW NEAR 60. HIGH 80 TO 85.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199.06399999999999</v>
      </c>
      <c r="C2" s="60"/>
      <c r="D2" s="118" t="s">
        <v>310</v>
      </c>
      <c r="E2" s="421">
        <f>Weather_Input!A5</f>
        <v>37081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2E-3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149.89099999999999</v>
      </c>
      <c r="C6" s="166"/>
      <c r="D6" s="59" t="s">
        <v>545</v>
      </c>
      <c r="E6" s="151">
        <f>PGL_Deliveries!P5/1000</f>
        <v>0.72399999999999998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149.89099999999999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100.59699999999999</v>
      </c>
      <c r="C8" s="626"/>
      <c r="D8" s="115" t="s">
        <v>547</v>
      </c>
      <c r="E8" s="151">
        <f>PGL_Deliveries!N5/1000</f>
        <v>1.2050000000000001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0.25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1.0980000000000001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31.087</v>
      </c>
      <c r="C11" s="63"/>
      <c r="D11" s="115" t="s">
        <v>549</v>
      </c>
      <c r="E11" s="151">
        <f>PGL_Deliveries!R5/1000</f>
        <v>3.6469999999999998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1.0999999999999999E-2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92.549999999999955</v>
      </c>
      <c r="C13" s="63"/>
      <c r="D13" s="115" t="s">
        <v>205</v>
      </c>
      <c r="E13" s="151">
        <f>PGL_Deliveries!F5/1000</f>
        <v>4.3920000000000003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7.915</v>
      </c>
      <c r="C14" s="63"/>
      <c r="D14" s="115" t="s">
        <v>206</v>
      </c>
      <c r="E14" s="151">
        <f>PGL_Deliveries!H5/1000</f>
        <v>36.338000000000001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-66.838000000000008</v>
      </c>
      <c r="C15" s="63"/>
      <c r="D15" s="59" t="s">
        <v>380</v>
      </c>
      <c r="E15" s="151">
        <f>PGL_Deliveries!K5/1000</f>
        <v>1.2999999999999999E-2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15.42</v>
      </c>
      <c r="D16" s="115" t="s">
        <v>209</v>
      </c>
      <c r="E16" s="151">
        <f>PGL_Deliveries!L5/1000</f>
        <v>1E-3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1.492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149.89099999999993</v>
      </c>
      <c r="C18" s="166"/>
      <c r="D18" s="176" t="s">
        <v>554</v>
      </c>
      <c r="E18" s="175">
        <f>SUM(E5:E17)</f>
        <v>49.172999999999995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100.583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1.0196999999999998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50.192699999999995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100.583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0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22.777999999999999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27.414999999999999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7.915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67.98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1.6719999999999999</v>
      </c>
      <c r="C39" s="63"/>
      <c r="D39" s="209" t="s">
        <v>210</v>
      </c>
      <c r="E39" s="208">
        <f>SUM(E22:E33)-SUM(F23:F38)-E29</f>
        <v>50.192999999999998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48.49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178.846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1.0196999999999998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0.53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89</v>
      </c>
      <c r="C45" s="182"/>
      <c r="D45" s="60" t="s">
        <v>587</v>
      </c>
      <c r="E45" s="795">
        <f>PGL_Supplies!S7/1000</f>
        <v>0.33200000000000002</v>
      </c>
      <c r="F45" s="168"/>
    </row>
    <row r="46" spans="1:13" ht="15">
      <c r="A46" s="169" t="s">
        <v>580</v>
      </c>
      <c r="B46" s="234">
        <f>Weather_Input!C5</f>
        <v>70</v>
      </c>
      <c r="C46" s="159"/>
      <c r="D46" s="72" t="s">
        <v>791</v>
      </c>
      <c r="E46" s="60"/>
      <c r="F46" s="173">
        <f>PGL_Deliveries!BE5/1000</f>
        <v>83.867000000000004</v>
      </c>
    </row>
    <row r="47" spans="1:13" ht="15">
      <c r="A47" s="170" t="s">
        <v>581</v>
      </c>
      <c r="B47" s="60">
        <f>Weather_Input!E5</f>
        <v>80.099999999999994</v>
      </c>
      <c r="C47" s="159"/>
      <c r="D47" s="769" t="s">
        <v>792</v>
      </c>
      <c r="E47" s="67"/>
      <c r="F47" s="1246">
        <f>PGL_Deliveries!BF5/1000</f>
        <v>48.49</v>
      </c>
    </row>
    <row r="48" spans="1:13" ht="15">
      <c r="A48" s="169" t="s">
        <v>582</v>
      </c>
      <c r="B48" s="223">
        <f>Weather_Input!D5</f>
        <v>6.4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1.026</v>
      </c>
      <c r="C49" s="159"/>
      <c r="D49" s="60" t="s">
        <v>727</v>
      </c>
      <c r="E49" s="151">
        <f>PGL_Deliveries!AJ5/1000</f>
        <v>18.620999999999999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12.465999999999999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33.313000000000002</v>
      </c>
      <c r="C3" s="117"/>
      <c r="D3" s="226" t="s">
        <v>310</v>
      </c>
      <c r="E3" s="424">
        <f>Weather_Input!A5</f>
        <v>37081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27.425999999999998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27.425999999999998</v>
      </c>
      <c r="C8" s="158"/>
      <c r="D8" s="806" t="s">
        <v>603</v>
      </c>
      <c r="E8" s="800">
        <f>NSG_Deliveries!F5/1000</f>
        <v>5.8869999999999996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6.1130000000000004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28.4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0.97399999999999998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27.425999999999998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37081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37080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103583</v>
      </c>
      <c r="O6" s="201">
        <v>0</v>
      </c>
      <c r="P6" s="201">
        <v>53998387</v>
      </c>
      <c r="Q6" s="201">
        <v>15045098</v>
      </c>
      <c r="R6" s="201">
        <v>38953289</v>
      </c>
      <c r="S6" s="201">
        <v>0</v>
      </c>
    </row>
    <row r="7" spans="1:19">
      <c r="A7" s="4">
        <f>B1</f>
        <v>37081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95668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54094055</v>
      </c>
      <c r="Q7">
        <f>IF(O7&gt;0,Q6+O7,Q6)</f>
        <v>15045098</v>
      </c>
      <c r="R7">
        <f>IF(P7&gt;Q7,P7-Q7,0)</f>
        <v>39048957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B1" zoomScale="75" workbookViewId="0">
      <selection activeCell="AN5" sqref="AN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37081</v>
      </c>
      <c r="B5" s="1">
        <f>(Weather_Input!B5+Weather_Input!C5)/2</f>
        <v>79.5</v>
      </c>
      <c r="C5" s="895">
        <v>206000</v>
      </c>
      <c r="D5" s="896">
        <v>0</v>
      </c>
      <c r="E5" s="896">
        <v>0</v>
      </c>
      <c r="F5" s="896">
        <v>4392</v>
      </c>
      <c r="G5" s="896">
        <v>11</v>
      </c>
      <c r="H5" s="896">
        <v>36338</v>
      </c>
      <c r="I5" s="896">
        <v>149891</v>
      </c>
      <c r="J5" s="896">
        <v>0</v>
      </c>
      <c r="K5" s="896">
        <v>13</v>
      </c>
      <c r="L5" s="896">
        <v>1</v>
      </c>
      <c r="M5" s="896">
        <v>1492</v>
      </c>
      <c r="N5" s="896">
        <v>1205</v>
      </c>
      <c r="O5" s="896">
        <v>2</v>
      </c>
      <c r="P5" s="896">
        <v>724</v>
      </c>
      <c r="Q5" s="896">
        <v>250</v>
      </c>
      <c r="R5" s="896">
        <v>3647</v>
      </c>
      <c r="S5" s="901">
        <v>1098</v>
      </c>
      <c r="T5" s="1085">
        <v>0</v>
      </c>
      <c r="U5" s="895">
        <f>SUM(D5:S5)-T5</f>
        <v>199064</v>
      </c>
      <c r="V5" s="895">
        <v>100597</v>
      </c>
      <c r="W5" s="11">
        <v>0</v>
      </c>
      <c r="X5" s="11">
        <v>0</v>
      </c>
      <c r="Y5" s="11">
        <v>0</v>
      </c>
      <c r="Z5" s="11">
        <v>91081</v>
      </c>
      <c r="AA5" s="11">
        <v>133826</v>
      </c>
      <c r="AB5" s="11">
        <v>0</v>
      </c>
      <c r="AC5" s="11">
        <v>0</v>
      </c>
      <c r="AD5" s="11">
        <v>7915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18621</v>
      </c>
      <c r="AK5" s="11">
        <v>12466</v>
      </c>
      <c r="AL5" s="11">
        <v>0</v>
      </c>
      <c r="AM5" s="1">
        <v>1026</v>
      </c>
      <c r="AN5" s="1"/>
      <c r="AO5" s="1">
        <v>15420</v>
      </c>
      <c r="AP5" s="1">
        <v>0</v>
      </c>
      <c r="AQ5" s="1">
        <v>0</v>
      </c>
      <c r="AR5" s="1">
        <v>22778</v>
      </c>
      <c r="AS5" s="1">
        <v>0</v>
      </c>
      <c r="AT5" s="1">
        <v>1672</v>
      </c>
      <c r="AU5" s="1">
        <v>67980</v>
      </c>
      <c r="AV5" s="1">
        <v>530</v>
      </c>
      <c r="AW5" s="622">
        <f>AU5*0.015</f>
        <v>1019.6999999999999</v>
      </c>
      <c r="AX5" s="1">
        <v>0</v>
      </c>
      <c r="AY5" s="1"/>
      <c r="AZ5" s="1">
        <v>2922</v>
      </c>
      <c r="BA5" s="1">
        <v>6286</v>
      </c>
      <c r="BB5" s="1">
        <v>0</v>
      </c>
      <c r="BC5" s="1">
        <v>0</v>
      </c>
      <c r="BD5" s="1"/>
      <c r="BE5" s="1">
        <v>83867</v>
      </c>
      <c r="BF5" s="1">
        <v>48490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37082</v>
      </c>
      <c r="B6" s="913">
        <f>(Weather_Input!B6+Weather_Input!C6)/2</f>
        <v>74.5</v>
      </c>
      <c r="C6" s="895">
        <v>205000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37083</v>
      </c>
      <c r="B7" s="913">
        <f>(Weather_Input!B7+Weather_Input!C7)/2</f>
        <v>68</v>
      </c>
      <c r="C7" s="895">
        <v>205000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37084</v>
      </c>
      <c r="B8" s="913">
        <f>(Weather_Input!B8+Weather_Input!C8)/2</f>
        <v>63.5</v>
      </c>
      <c r="C8" s="895">
        <v>205000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37085</v>
      </c>
      <c r="B9" s="913">
        <f>(Weather_Input!B9+Weather_Input!C9)/2</f>
        <v>66</v>
      </c>
      <c r="C9" s="895">
        <v>190000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37086</v>
      </c>
      <c r="B10" s="913">
        <f>(Weather_Input!B10+Weather_Input!C10)/2</f>
        <v>74</v>
      </c>
      <c r="C10" s="895">
        <v>180000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E1" zoomScale="75" workbookViewId="0">
      <selection activeCell="I6" sqref="I6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37081</v>
      </c>
      <c r="B5" s="1">
        <f>(Weather_Input!B5+Weather_Input!C5)/2</f>
        <v>79.5</v>
      </c>
      <c r="C5" s="895">
        <v>34500</v>
      </c>
      <c r="D5" s="895">
        <v>0</v>
      </c>
      <c r="E5" s="895">
        <v>27426</v>
      </c>
      <c r="F5" s="895">
        <v>5887</v>
      </c>
      <c r="G5" s="895">
        <v>0</v>
      </c>
      <c r="H5" s="903">
        <f>SUM(D5:G5)</f>
        <v>33313</v>
      </c>
      <c r="I5" s="1">
        <v>1004</v>
      </c>
      <c r="J5" s="1" t="s">
        <v>9</v>
      </c>
      <c r="K5" s="1">
        <v>974</v>
      </c>
      <c r="L5" s="1">
        <v>0</v>
      </c>
      <c r="M5" s="1">
        <v>6113</v>
      </c>
      <c r="N5" s="1">
        <v>0</v>
      </c>
    </row>
    <row r="6" spans="1:14">
      <c r="A6" s="12">
        <f>A5+1</f>
        <v>37082</v>
      </c>
      <c r="B6" s="913">
        <f>(Weather_Input!B6+Weather_Input!C6)/2</f>
        <v>74.5</v>
      </c>
      <c r="C6" s="895">
        <v>35000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37083</v>
      </c>
      <c r="B7" s="913">
        <f>(Weather_Input!B7+Weather_Input!C7)/2</f>
        <v>68</v>
      </c>
      <c r="C7" s="895">
        <v>35000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37084</v>
      </c>
      <c r="B8" s="913">
        <f>(Weather_Input!B8+Weather_Input!C8)/2</f>
        <v>63.5</v>
      </c>
      <c r="C8" s="895">
        <v>35000</v>
      </c>
      <c r="D8" s="898" t="s">
        <v>9</v>
      </c>
      <c r="E8" s="898"/>
      <c r="F8" s="898"/>
      <c r="G8" s="898"/>
      <c r="H8" s="15"/>
    </row>
    <row r="9" spans="1:14">
      <c r="A9" s="12">
        <f>A8+1</f>
        <v>37085</v>
      </c>
      <c r="B9" s="913">
        <f>(Weather_Input!B9+Weather_Input!C9)/2</f>
        <v>66</v>
      </c>
      <c r="C9" s="895">
        <v>33000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37086</v>
      </c>
      <c r="B10" s="913">
        <f>(Weather_Input!B10+Weather_Input!C10)/2</f>
        <v>74</v>
      </c>
      <c r="C10" s="895">
        <v>31000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topLeftCell="M1" zoomScale="75" workbookViewId="0">
      <selection activeCell="X7" sqref="X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37081</v>
      </c>
      <c r="B7" s="904">
        <v>0</v>
      </c>
      <c r="C7" s="620">
        <v>0</v>
      </c>
      <c r="D7" s="620">
        <v>0</v>
      </c>
      <c r="E7" s="904">
        <v>0</v>
      </c>
      <c r="F7" s="904">
        <v>15420</v>
      </c>
      <c r="G7" s="906">
        <v>83867</v>
      </c>
      <c r="H7" s="619">
        <v>0</v>
      </c>
      <c r="I7" s="619">
        <v>0</v>
      </c>
      <c r="J7" s="620">
        <v>48490</v>
      </c>
      <c r="K7" s="619">
        <v>0</v>
      </c>
      <c r="L7" s="620">
        <v>0</v>
      </c>
      <c r="M7" s="620">
        <v>0</v>
      </c>
      <c r="N7" s="621">
        <v>0</v>
      </c>
      <c r="O7" s="620">
        <v>67980</v>
      </c>
      <c r="P7" s="622">
        <f t="shared" ref="P7:P12" si="0">O7*0.015</f>
        <v>1019.6999999999999</v>
      </c>
      <c r="Q7" s="620">
        <v>530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37082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134337</v>
      </c>
      <c r="H8" s="619">
        <v>0</v>
      </c>
      <c r="I8" s="619">
        <v>0</v>
      </c>
      <c r="J8" s="620">
        <v>45000</v>
      </c>
      <c r="K8" s="619">
        <v>0</v>
      </c>
      <c r="L8" s="620">
        <v>0</v>
      </c>
      <c r="M8" s="620">
        <v>0</v>
      </c>
      <c r="N8" s="621">
        <v>0</v>
      </c>
      <c r="O8" s="620">
        <v>63090</v>
      </c>
      <c r="P8" s="622">
        <f t="shared" si="0"/>
        <v>946.34999999999991</v>
      </c>
      <c r="Q8" s="620">
        <v>690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37083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690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37084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690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37085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690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37086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690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H1" zoomScale="75" workbookViewId="0">
      <selection activeCell="R7" sqref="R7"/>
    </sheetView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37081</v>
      </c>
      <c r="B7" s="622">
        <v>0</v>
      </c>
      <c r="C7" s="622">
        <v>0</v>
      </c>
      <c r="D7" s="622">
        <v>0</v>
      </c>
      <c r="E7" s="622">
        <v>0</v>
      </c>
      <c r="F7" s="904">
        <v>5000</v>
      </c>
      <c r="G7" s="620">
        <v>1000</v>
      </c>
      <c r="H7" s="620">
        <v>15000</v>
      </c>
      <c r="I7" s="620">
        <v>0</v>
      </c>
      <c r="J7" s="907">
        <v>0</v>
      </c>
      <c r="K7" s="621">
        <v>22778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332</v>
      </c>
      <c r="T7" s="620">
        <v>0</v>
      </c>
      <c r="U7" s="621">
        <v>128802</v>
      </c>
      <c r="V7" s="621">
        <v>0</v>
      </c>
      <c r="W7" s="619">
        <v>0</v>
      </c>
      <c r="X7" s="907">
        <v>100583</v>
      </c>
      <c r="Y7" s="621">
        <v>200</v>
      </c>
      <c r="Z7" s="1">
        <v>0</v>
      </c>
      <c r="AA7" s="619">
        <v>178846</v>
      </c>
      <c r="AB7" s="619">
        <v>27415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37082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29800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40000</v>
      </c>
      <c r="T8" s="620">
        <v>0</v>
      </c>
      <c r="U8" s="621">
        <v>119884</v>
      </c>
      <c r="V8" s="621">
        <v>0</v>
      </c>
      <c r="W8" s="619">
        <v>0</v>
      </c>
      <c r="X8" s="907">
        <v>95258</v>
      </c>
      <c r="Y8" s="621">
        <v>200</v>
      </c>
      <c r="Z8" s="1">
        <v>0</v>
      </c>
      <c r="AA8" s="619">
        <v>188276</v>
      </c>
      <c r="AB8" s="619">
        <v>32558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37083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10000</v>
      </c>
      <c r="T9" s="620">
        <v>0</v>
      </c>
      <c r="U9" s="621">
        <v>119884</v>
      </c>
      <c r="V9" s="621">
        <v>0</v>
      </c>
      <c r="W9" s="619">
        <v>0</v>
      </c>
      <c r="X9" s="907">
        <v>95258</v>
      </c>
      <c r="Y9" s="621">
        <v>200</v>
      </c>
      <c r="Z9" s="1">
        <v>0</v>
      </c>
      <c r="AA9" s="619">
        <v>188276</v>
      </c>
      <c r="AB9" s="619">
        <v>32558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37084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119884</v>
      </c>
      <c r="V10" s="621">
        <v>0</v>
      </c>
      <c r="W10" s="619">
        <v>0</v>
      </c>
      <c r="X10" s="907">
        <v>95258</v>
      </c>
      <c r="Y10" s="621">
        <v>200</v>
      </c>
      <c r="Z10" s="1">
        <v>0</v>
      </c>
      <c r="AA10" s="619">
        <v>188276</v>
      </c>
      <c r="AB10" s="619">
        <v>32558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37085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119884</v>
      </c>
      <c r="V11" s="621">
        <v>0</v>
      </c>
      <c r="W11" s="619">
        <v>0</v>
      </c>
      <c r="X11" s="907">
        <v>95258</v>
      </c>
      <c r="Y11" s="621">
        <v>200</v>
      </c>
      <c r="Z11" s="1">
        <v>0</v>
      </c>
      <c r="AA11" s="619">
        <v>188276</v>
      </c>
      <c r="AB11" s="619">
        <v>32558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37086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119884</v>
      </c>
      <c r="V12" s="621">
        <v>0</v>
      </c>
      <c r="W12" s="619">
        <v>0</v>
      </c>
      <c r="X12" s="907">
        <v>95258</v>
      </c>
      <c r="Y12" s="621">
        <v>200</v>
      </c>
      <c r="Z12" s="1">
        <v>0</v>
      </c>
      <c r="AA12" s="619">
        <v>188276</v>
      </c>
      <c r="AB12" s="619">
        <v>32558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I7" sqref="I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37081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974</v>
      </c>
      <c r="I7" s="905">
        <v>7197</v>
      </c>
      <c r="J7" s="905">
        <v>6113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37081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37082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4180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37082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37083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37083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37084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37084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37085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37085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37086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37086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37081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28400</v>
      </c>
      <c r="R7" s="622">
        <v>17067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37082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27183</v>
      </c>
      <c r="R8" s="622">
        <v>15850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37083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27183</v>
      </c>
      <c r="R9" s="622">
        <v>15850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37084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27183</v>
      </c>
      <c r="R10" s="622">
        <v>15850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37085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27183</v>
      </c>
      <c r="R11" s="622">
        <v>15850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37086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27183</v>
      </c>
      <c r="R12" s="622">
        <v>15850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MON</v>
      </c>
      <c r="I1" s="824">
        <f>D4</f>
        <v>37081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MON</v>
      </c>
      <c r="E3" s="829" t="str">
        <f t="shared" si="0"/>
        <v>TUE</v>
      </c>
      <c r="F3" s="829" t="str">
        <f t="shared" si="0"/>
        <v>WED</v>
      </c>
      <c r="G3" s="829" t="str">
        <f t="shared" si="0"/>
        <v>THU</v>
      </c>
      <c r="H3" s="829" t="str">
        <f t="shared" si="0"/>
        <v>FRI</v>
      </c>
      <c r="I3" s="830" t="str">
        <f t="shared" si="0"/>
        <v>SAT</v>
      </c>
    </row>
    <row r="4" spans="1:256" ht="18.95" customHeight="1" thickBot="1">
      <c r="A4" s="831"/>
      <c r="B4" s="832"/>
      <c r="C4" s="832"/>
      <c r="D4" s="461">
        <f>Weather_Input!A5</f>
        <v>37081</v>
      </c>
      <c r="E4" s="461">
        <f>Weather_Input!A6</f>
        <v>37082</v>
      </c>
      <c r="F4" s="461">
        <f>Weather_Input!A7</f>
        <v>37083</v>
      </c>
      <c r="G4" s="461">
        <f>Weather_Input!A8</f>
        <v>37084</v>
      </c>
      <c r="H4" s="461">
        <f>Weather_Input!A9</f>
        <v>37085</v>
      </c>
      <c r="I4" s="462">
        <f>Weather_Input!A10</f>
        <v>37086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89/70/80</v>
      </c>
      <c r="E5" s="463" t="str">
        <f>TEXT(Weather_Input!B6,"0")&amp;"/"&amp;TEXT(Weather_Input!C6,"0") &amp; "/" &amp; TEXT((Weather_Input!B6+Weather_Input!C6)/2,"0")</f>
        <v>89/60/75</v>
      </c>
      <c r="F5" s="463" t="str">
        <f>TEXT(Weather_Input!B7,"0")&amp;"/"&amp;TEXT(Weather_Input!C7,"0") &amp; "/" &amp; TEXT((Weather_Input!B7+Weather_Input!C7)/2,"0")</f>
        <v>78/58/68</v>
      </c>
      <c r="G5" s="463" t="str">
        <f>TEXT(Weather_Input!B8,"0")&amp;"/"&amp;TEXT(Weather_Input!C8,"0") &amp; "/" &amp; TEXT((Weather_Input!B8+Weather_Input!C8)/2,"0")</f>
        <v>72/55/64</v>
      </c>
      <c r="H5" s="463" t="str">
        <f>TEXT(Weather_Input!B9,"0")&amp;"/"&amp;TEXT(Weather_Input!C9,"0") &amp; "/" &amp; TEXT((Weather_Input!B9+Weather_Input!C9)/2,"0")</f>
        <v>75/57/66</v>
      </c>
      <c r="I5" s="464" t="str">
        <f>TEXT(Weather_Input!B10,"0")&amp;"/"&amp;TEXT(Weather_Input!C10,"0") &amp; "/" &amp; TEXT((Weather_Input!B10+Weather_Input!C10)/2,"0")</f>
        <v>84/64/74</v>
      </c>
    </row>
    <row r="6" spans="1:256" ht="18.95" customHeight="1">
      <c r="A6" s="838" t="s">
        <v>134</v>
      </c>
      <c r="B6" s="826"/>
      <c r="C6" s="826"/>
      <c r="D6" s="463">
        <f>PGL_Deliveries!C5/1000</f>
        <v>206</v>
      </c>
      <c r="E6" s="463">
        <f>PGL_Deliveries!C6/1000</f>
        <v>205</v>
      </c>
      <c r="F6" s="463">
        <f>PGL_Deliveries!C7/1000</f>
        <v>205</v>
      </c>
      <c r="G6" s="463">
        <f>PGL_Deliveries!C8/1000</f>
        <v>205</v>
      </c>
      <c r="H6" s="463">
        <f>PGL_Deliveries!C9/1000</f>
        <v>190</v>
      </c>
      <c r="I6" s="464">
        <f>PGL_Deliveries!C10/1000</f>
        <v>180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41.933500000000002</v>
      </c>
      <c r="E7" s="463">
        <f>PGL_Requirements!G8/1000*0.5</f>
        <v>67.168499999999995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774</v>
      </c>
      <c r="B8" s="826"/>
      <c r="C8" s="826"/>
      <c r="D8" s="463">
        <f>PGL_Requirements!J7/1000</f>
        <v>48.49</v>
      </c>
      <c r="E8" s="463">
        <f>PGL_Requirements!J8/1000</f>
        <v>45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67.98</v>
      </c>
      <c r="E11" s="463">
        <f>PGL_Requirements!O8/1000</f>
        <v>63.09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1.0196999999999998</v>
      </c>
      <c r="E12" s="463">
        <f>PGL_Requirements!P8/1000</f>
        <v>0.94634999999999991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95" customHeight="1">
      <c r="A13" s="835"/>
      <c r="C13" s="826" t="s">
        <v>690</v>
      </c>
      <c r="D13" s="463">
        <f>PGL_Requirements!Q7/1000</f>
        <v>0.53</v>
      </c>
      <c r="E13" s="463">
        <f>PGL_Requirements!Q8/1000</f>
        <v>0.69</v>
      </c>
      <c r="F13" s="463">
        <f>PGL_Requirements!Q9/1000</f>
        <v>0.69</v>
      </c>
      <c r="G13" s="463">
        <f>PGL_Requirements!Q10/1000</f>
        <v>0.69</v>
      </c>
      <c r="H13" s="463">
        <f>PGL_Requirements!Q11/1000</f>
        <v>0.69</v>
      </c>
      <c r="I13" s="464">
        <f>PGL_Requirements!Q12/1000</f>
        <v>0.69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95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15.42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0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381.57319999999999</v>
      </c>
      <c r="E25" s="467">
        <f t="shared" si="1"/>
        <v>385.09485000000001</v>
      </c>
      <c r="F25" s="467">
        <f t="shared" si="1"/>
        <v>342.87</v>
      </c>
      <c r="G25" s="467">
        <f t="shared" si="1"/>
        <v>342.87</v>
      </c>
      <c r="H25" s="467">
        <f t="shared" si="1"/>
        <v>327.87</v>
      </c>
      <c r="I25" s="1099">
        <f t="shared" si="1"/>
        <v>317.87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22.777999999999999</v>
      </c>
      <c r="E33" s="463">
        <f>PGL_Supplies!K8/1000</f>
        <v>29.8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776</v>
      </c>
      <c r="B36" s="826" t="s">
        <v>394</v>
      </c>
      <c r="C36" s="826"/>
      <c r="D36" s="463">
        <f>PGL_Supplies!S7/1000*0.5</f>
        <v>0.16600000000000001</v>
      </c>
      <c r="E36" s="463">
        <f>PGL_Supplies!S8/1000*0.5</f>
        <v>20</v>
      </c>
      <c r="F36" s="463">
        <f>PGL_Supplies!S9/1000*0.5</f>
        <v>5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100.583</v>
      </c>
      <c r="E37" s="463">
        <f>PGL_Supplies!X8/1000</f>
        <v>95.257999999999996</v>
      </c>
      <c r="F37" s="463">
        <f>PGL_Supplies!X9/1000</f>
        <v>95.257999999999996</v>
      </c>
      <c r="G37" s="463">
        <f>PGL_Supplies!X10/1000</f>
        <v>95.257999999999996</v>
      </c>
      <c r="H37" s="463">
        <f>PGL_Supplies!X11/1000</f>
        <v>95.257999999999996</v>
      </c>
      <c r="I37" s="464">
        <f>PGL_Supplies!X12/1000</f>
        <v>95.257999999999996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178.846</v>
      </c>
      <c r="E40" s="463">
        <f>PGL_Supplies!AA8/1000</f>
        <v>188.27600000000001</v>
      </c>
      <c r="F40" s="463">
        <f>PGL_Supplies!AA9/1000</f>
        <v>188.27600000000001</v>
      </c>
      <c r="G40" s="463">
        <f>PGL_Supplies!AA10/1000</f>
        <v>188.27600000000001</v>
      </c>
      <c r="H40" s="463">
        <f>PGL_Supplies!AA11/1000</f>
        <v>188.27600000000001</v>
      </c>
      <c r="I40" s="464">
        <f>PGL_Supplies!AA12/1000</f>
        <v>188.27600000000001</v>
      </c>
    </row>
    <row r="41" spans="1:10" ht="18.95" customHeight="1">
      <c r="A41" s="838"/>
      <c r="B41" s="826" t="s">
        <v>135</v>
      </c>
      <c r="C41" s="826"/>
      <c r="D41" s="463">
        <f>PGL_Supplies!AB7/1000</f>
        <v>27.414999999999999</v>
      </c>
      <c r="E41" s="463">
        <f>PGL_Supplies!AB8/1000</f>
        <v>32.558</v>
      </c>
      <c r="F41" s="463">
        <f>PGL_Supplies!AB9/1000</f>
        <v>32.558</v>
      </c>
      <c r="G41" s="463">
        <f>PGL_Supplies!AB10/1000</f>
        <v>32.558</v>
      </c>
      <c r="H41" s="463">
        <f>PGL_Supplies!AB11/1000</f>
        <v>32.558</v>
      </c>
      <c r="I41" s="464">
        <f>PGL_Supplies!AB12/1000</f>
        <v>32.558</v>
      </c>
    </row>
    <row r="42" spans="1:10" ht="18.95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95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5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353.988</v>
      </c>
      <c r="E50" s="473">
        <f t="shared" si="2"/>
        <v>385.09199999999998</v>
      </c>
      <c r="F50" s="473">
        <f t="shared" si="2"/>
        <v>340.29200000000003</v>
      </c>
      <c r="G50" s="473">
        <f t="shared" si="2"/>
        <v>335.29200000000003</v>
      </c>
      <c r="H50" s="473">
        <f t="shared" si="2"/>
        <v>335.29200000000003</v>
      </c>
      <c r="I50" s="1101">
        <f t="shared" si="2"/>
        <v>335.29200000000003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0</v>
      </c>
      <c r="F51" s="474">
        <f t="shared" si="3"/>
        <v>0</v>
      </c>
      <c r="G51" s="474">
        <f t="shared" si="3"/>
        <v>0</v>
      </c>
      <c r="H51" s="474">
        <f t="shared" si="3"/>
        <v>7.4220000000000255</v>
      </c>
      <c r="I51" s="1102">
        <f t="shared" si="3"/>
        <v>17.422000000000025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27.585199999999986</v>
      </c>
      <c r="E52" s="475">
        <f t="shared" si="4"/>
        <v>2.8500000000235559E-3</v>
      </c>
      <c r="F52" s="475">
        <f t="shared" si="4"/>
        <v>2.5779999999999745</v>
      </c>
      <c r="G52" s="475">
        <f t="shared" si="4"/>
        <v>7.5779999999999745</v>
      </c>
      <c r="H52" s="475">
        <f t="shared" si="4"/>
        <v>0</v>
      </c>
      <c r="I52" s="1103">
        <f t="shared" si="4"/>
        <v>0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128.80199999999999</v>
      </c>
      <c r="E53" s="1092">
        <f>PGL_Supplies!U8/1000</f>
        <v>119.884</v>
      </c>
      <c r="F53" s="1092">
        <f>PGL_Supplies!U9/1000</f>
        <v>119.884</v>
      </c>
      <c r="G53" s="1092">
        <f>PGL_Supplies!U10/1000</f>
        <v>119.884</v>
      </c>
      <c r="H53" s="1092">
        <f>PGL_Supplies!U11/1000</f>
        <v>119.884</v>
      </c>
      <c r="I53" s="1093">
        <f>PGL_Supplies!U12/1000</f>
        <v>119.884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2001-07-10T16:13:54Z</cp:lastPrinted>
  <dcterms:created xsi:type="dcterms:W3CDTF">1997-07-16T16:14:22Z</dcterms:created>
  <dcterms:modified xsi:type="dcterms:W3CDTF">2023-09-10T17:04:09Z</dcterms:modified>
</cp:coreProperties>
</file>