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564DD5-39F0-4418-8CE3-55F448A596F3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<sst xmlns="http://schemas.openxmlformats.org/spreadsheetml/2006/main" count="2069" uniqueCount="813">
  <si>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</si>
  <si>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</si>
  <si>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</si>
  <si>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</si>
  <si>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</si>
  <si>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</si>
  <si>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</si>
  <si>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</si>
  <si>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</si>
  <si>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</si>
  <si>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</si>
  <si>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</si>
  <si>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</si>
  <si>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</si>
  <si>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</si>
  <si>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</si>
  <si>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</si>
  <si>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</si>
  <si>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</si>
  <si>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</si>
  <si>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</si>
  <si>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</si>
  <si>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</si>
  <si>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</si>
  <si>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</si>
  <si>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</si>
  <si>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</si>
  <si>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</si>
  <si>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</si>
  <si>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</si>
  <si>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</si>
  <si>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</si>
  <si>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</si>
  <si>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</si>
  <si>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</si>
  <si>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</si>
  <si>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</si>
  <si>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</si>
  <si>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</si>
  <si>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</si>
  <si>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</si>
  <si>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</si>
  <si>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</si>
  <si>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</si>
  <si>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</si>
  <si>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</si>
  <si>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</si>
  <si>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</si>
  <si>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</si>
  <si>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</si>
  <si>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</si>
  <si>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</si>
  <si>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</si>
  <si>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</si>
  <si>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</si>
  <si>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</si>
  <si>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</si>
  <si>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</si>
  <si>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</si>
  <si>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</si>
  <si>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</si>
  <si>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</si>
  <si>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</si>
  <si>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</si>
  <si>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</si>
  <si>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</si>
  <si>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</si>
  <si>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</si>
  <si>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</si>
  <si>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</si>
  <si>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</si>
  <si>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</si>
  <si>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</si>
  <si>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</si>
  <si>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</si>
  <si>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</si>
  <si>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</si>
  <si>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</si>
  <si>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</si>
  <si>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</si>
  <si>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</si>
  <si>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</si>
  <si>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</si>
  <si>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</si>
  <si>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</si>
  <si>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</si>
  <si>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</si>
  <si>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</si>
  <si>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</si>
  <si>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</si>
  <si>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</si>
  <si>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</si>
  <si>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</si>
  <si>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</si>
  <si>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</si>
  <si>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</si>
  <si>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</si>
  <si>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</si>
  <si>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</si>
  <si>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</si>
  <si>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</si>
  <si>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</si>
  <si>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</si>
  <si>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</si>
  <si>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</si>
  <si>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</si>
  <si>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</si>
  <si>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</si>
  <si>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</si>
  <si>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</si>
  <si>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</si>
  <si>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</si>
  <si>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</si>
  <si>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</si>
  <si>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</si>
  <si>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</si>
  <si>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</si>
  <si>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</si>
  <si>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</si>
  <si>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</si>
  <si>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</si>
  <si>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</si>
  <si>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</si>
  <si>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</si>
  <si>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</si>
  <si>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</si>
  <si>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</si>
  <si>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</si>
  <si>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</si>
  <si>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</si>
  <si>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</si>
  <si>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</si>
  <si>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</si>
  <si>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</si>
  <si>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</si>
  <si>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</si>
  <si>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</si>
  <si>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</si>
  <si>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</si>
  <si>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</si>
  <si>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</si>
  <si>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</si>
  <si>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</si>
  <si>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</si>
  <si>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</si>
  <si>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</si>
  <si>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</si>
  <si>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</si>
  <si>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</si>
  <si>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</si>
  <si>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</si>
  <si>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</si>
  <si>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</si>
  <si>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</si>
  <si>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</si>
  <si>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</si>
  <si>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</si>
  <si>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</si>
  <si>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</si>
  <si>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</si>
  <si>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</si>
  <si>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</si>
  <si>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</si>
  <si>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</si>
  <si>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</si>
  <si>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</si>
  <si>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</si>
  <si>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</si>
  <si>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</si>
  <si>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</si>
  <si>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</si>
  <si>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</si>
  <si>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</si>
  <si>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</si>
  <si>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</si>
  <si>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</si>
  <si>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</si>
  <si>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</si>
  <si>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</si>
  <si>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</si>
  <si>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</si>
  <si>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</si>
  <si>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</si>
  <si>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</si>
  <si>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</si>
  <si>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</si>
  <si>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</si>
  <si>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</si>
  <si>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</si>
  <si>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</si>
  <si>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</si>
  <si>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</si>
  <si>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</si>
  <si>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</si>
  <si>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</si>
  <si>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</si>
  <si>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</si>
  <si>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</si>
  <si>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</si>
  <si>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</si>
  <si>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</si>
  <si>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</si>
  <si>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</si>
  <si>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</si>
  <si>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</si>
  <si>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</si>
  <si>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</si>
  <si>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</si>
  <si>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</si>
  <si>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</si>
  <si>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</si>
  <si>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</si>
  <si>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</si>
  <si>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</si>
  <si>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</si>
  <si>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</si>
  <si>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</si>
  <si>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</si>
  <si>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</si>
  <si>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</si>
  <si>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</si>
  <si>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</si>
  <si>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</si>
  <si>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</si>
  <si>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</si>
  <si>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</si>
  <si>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</si>
  <si>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</si>
  <si>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</si>
  <si>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</si>
  <si>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</si>
  <si>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</si>
  <si>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</si>
  <si>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</si>
  <si>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</si>
  <si>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</si>
  <si>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</si>
  <si>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</si>
  <si>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</si>
  <si>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</si>
  <si>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</si>
  <si>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</si>
  <si>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</si>
  <si>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</si>
  <si>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</si>
  <si>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</si>
  <si>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</si>
  <si>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</si>
  <si>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</si>
  <si>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</si>
  <si>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</si>
  <si>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</si>
  <si>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</si>
  <si>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</si>
  <si>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</si>
  <si>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</si>
  <si>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</si>
  <si>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</si>
  <si>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</si>
  <si>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</si>
  <si>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</si>
  <si>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</si>
  <si>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</si>
  <si>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</si>
  <si>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</si>
  <si>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</si>
  <si>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</si>
  <si>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</si>
  <si>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</si>
  <si>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</si>
  <si>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</si>
  <si>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</si>
  <si>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</si>
  <si>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</si>
  <si>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</si>
  <si>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</si>
  <si>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</si>
  <si>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</si>
  <si>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</si>
  <si>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</si>
  <si>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</si>
  <si>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</si>
  <si>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</si>
  <si>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</si>
  <si>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</si>
  <si>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</si>
  <si>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</si>
  <si>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</si>
  <si>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</si>
  <si>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</si>
  <si>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</si>
  <si>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</si>
  <si>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</si>
  <si>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</si>
  <si>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</si>
  <si>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</si>
  <si>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</si>
  <si>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</si>
  <si>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</si>
  <si>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</si>
  <si>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</si>
  <si>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</si>
  <si>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</si>
  <si>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</si>
  <si>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</si>
  <si>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</si>
  <si>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</si>
  <si>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</si>
  <si>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</si>
  <si>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</si>
  <si>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</si>
  <si>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</si>
  <si>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</si>
  <si>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</si>
  <si>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</si>
  <si>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</si>
  <si>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</si>
  <si>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</si>
  <si>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</si>
  <si>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</si>
  <si>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</si>
  <si>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</si>
  <si>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</si>
  <si>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</si>
  <si>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</si>
  <si>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</si>
  <si>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</si>
  <si>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</si>
  <si>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</si>
  <si>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</si>
  <si>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</si>
  <si>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</si>
  <si>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</si>
  <si>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</si>
  <si>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</si>
  <si>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</si>
  <si>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</si>
  <si>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</si>
  <si>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</si>
  <si>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</si>
  <si>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</si>
  <si>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</si>
  <si>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</si>
  <si>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</si>
  <si>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</si>
  <si>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</si>
  <si>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</si>
  <si>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</si>
  <si>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</si>
  <si>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</si>
  <si>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</si>
  <si>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</si>
  <si>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</si>
  <si>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</si>
  <si>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</si>
  <si>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</si>
  <si>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</si>
  <si>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</si>
  <si>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</si>
  <si>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</si>
  <si>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</si>
  <si>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</si>
  <si>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</si>
  <si>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</si>
  <si>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</si>
  <si>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</si>
  <si>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</si>
  <si>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</si>
  <si>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</si>
  <si>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</si>
  <si>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</si>
  <si>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</si>
  <si>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</si>
  <si>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</si>
  <si>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</si>
  <si>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</si>
  <si>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</si>
  <si>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</si>
  <si>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</si>
  <si>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</si>
  <si>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</si>
  <si>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</si>
  <si>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</si>
  <si>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</si>
  <si>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</si>
  <si>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</si>
  <si>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</si>
  <si>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</si>
  <si>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</si>
  <si>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</si>
  <si>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</si>
  <si>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</si>
  <si>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</si>
  <si>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</si>
  <si>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</si>
  <si>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</si>
  <si>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</si>
  <si>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</si>
  <si>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</si>
  <si>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</si>
  <si>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</si>
  <si>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</si>
  <si>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</si>
  <si>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</si>
  <si>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</si>
  <si>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</si>
  <si>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</si>
  <si>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</si>
  <si>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</si>
  <si>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</si>
  <si>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</si>
  <si>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</si>
  <si>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</si>
  <si>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</si>
  <si>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</si>
  <si>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</si>
  <si>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</si>
  <si>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</si>
  <si>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</si>
  <si>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</si>
  <si>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</si>
  <si>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</si>
  <si>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</si>
  <si>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</si>
  <si>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</si>
  <si>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</si>
  <si>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</si>
  <si>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</si>
  <si>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</si>
  <si>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</si>
  <si>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</si>
  <si>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</si>
  <si>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</si>
  <si>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</si>
  <si>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</si>
  <si>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</si>
  <si>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</si>
  <si>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</si>
  <si>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</si>
  <si>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</si>
  <si>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</si>
  <si>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</si>
  <si>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</si>
  <si>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</si>
  <si>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</si>
  <si>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</si>
  <si>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</si>
  <si>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</si>
  <si>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</si>
  <si>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</si>
  <si>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</si>
  <si>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</si>
  <si>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</si>
  <si>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</si>
  <si>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</si>
  <si>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</si>
  <si>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</si>
  <si>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</si>
  <si>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</si>
  <si>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</si>
  <si>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</si>
  <si>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</si>
  <si>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</si>
  <si>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</si>
  <si>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</si>
  <si>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</si>
  <si>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</si>
  <si>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</si>
  <si>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</si>
  <si>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</si>
  <si>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</si>
  <si>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</si>
  <si>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</si>
  <si>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</si>
  <si>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</si>
  <si>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</si>
  <si>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</si>
  <si>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</si>
  <si>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</si>
  <si>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</si>
  <si>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</si>
  <si>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</si>
  <si>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</si>
  <si>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</si>
  <si>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</si>
  <si>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</si>
  <si>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</si>
  <si>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</si>
  <si>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</si>
  <si>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</si>
  <si>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</si>
  <si>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</si>
  <si>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</si>
  <si>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</si>
  <si>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</si>
  <si>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</si>
  <si>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</si>
  <si>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</si>
  <si>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</si>
  <si>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</si>
  <si>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</si>
  <si>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</si>
  <si>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</si>
  <si>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</si>
  <si>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</si>
  <si>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</si>
  <si>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</si>
  <si>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</si>
  <si>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</si>
  <si>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</si>
  <si>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</si>
  <si>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</si>
  <si>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</si>
  <si>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</si>
  <si>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</si>
  <si>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</si>
  <si>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</si>
  <si>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</si>
  <si>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</si>
  <si>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</si>
  <si>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</si>
  <si>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</si>
  <si>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</si>
  <si>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</si>
  <si>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</si>
  <si>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</si>
  <si>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</si>
  <si>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</si>
  <si>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</si>
  <si>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</si>
  <si>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</si>
  <si>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</si>
  <si>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</si>
  <si>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</si>
  <si>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</si>
  <si>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</si>
  <si>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</si>
  <si>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</si>
  <si>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</si>
  <si>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</si>
  <si>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</si>
  <si>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</si>
  <si>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</si>
  <si>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</si>
  <si>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</si>
  <si>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</si>
  <si>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</si>
  <si>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</si>
  <si>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</si>
  <si>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</si>
  <si>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</si>
  <si>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</si>
  <si>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</si>
  <si>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</si>
  <si>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</si>
  <si>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</si>
  <si>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</si>
  <si>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</si>
  <si>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</si>
  <si>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</si>
  <si>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</si>
  <si>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</si>
  <si>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</si>
  <si>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</si>
  <si>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</si>
  <si>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</si>
  <si>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</si>
  <si>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</si>
  <si>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</si>
  <si>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</si>
  <si>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</si>
  <si>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</si>
  <si>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</si>
  <si>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</si>
  <si>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</si>
  <si>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</si>
  <si>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</si>
  <si>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</si>
  <si>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</si>
  <si>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</si>
  <si>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</si>
  <si>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</si>
  <si>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</si>
  <si>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</si>
  <si>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</si>
  <si>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</si>
  <si>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</si>
  <si>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</si>
  <si>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</si>
  <si>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</si>
  <si>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</si>
  <si>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</si>
  <si>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</si>
  <si>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</si>
  <si>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</si>
  <si>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</si>
  <si>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</si>
  <si>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</si>
  <si>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</si>
  <si>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</si>
  <si>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</si>
  <si>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</si>
  <si>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</si>
  <si>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</si>
  <si>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</si>
  <si>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</si>
  <si>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</si>
  <si>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</si>
  <si>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</si>
  <si>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</si>
  <si>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</si>
  <si>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</si>
  <si>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</si>
  <si>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</si>
  <si>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</si>
  <si>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</si>
  <si>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</si>
  <si>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</si>
  <si>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</si>
  <si>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</si>
  <si>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</si>
  <si>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</si>
  <si>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</si>
  <si>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</si>
  <si>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</si>
  <si>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</si>
  <si>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</si>
  <si>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</si>
  <si>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</si>
  <si>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</si>
  <si>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</si>
  <si>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</si>
  <si>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</si>
  <si>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</si>
  <si>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</si>
  <si>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</si>
  <si>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</si>
  <si>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</si>
  <si>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</si>
  <si>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</si>
  <si>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</si>
  <si>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</si>
  <si>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</si>
  <si>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</si>
  <si>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</si>
  <si>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</si>
  <si>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</si>
  <si>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</si>
  <si>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</si>
  <si>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</si>
  <si>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</si>
  <si>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</si>
  <si>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</si>
  <si>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</si>
  <si>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</si>
  <si>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</si>
  <si>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</si>
  <si>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</si>
  <si>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</si>
  <si>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</si>
  <si>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</si>
  <si>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</si>
  <si>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</si>
  <si>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</si>
  <si>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</si>
  <si>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</si>
  <si>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</si>
  <si>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</si>
  <si>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</si>
  <si>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</si>
  <si>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</si>
  <si>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</si>
  <si>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</si>
  <si>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</si>
  <si>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</si>
  <si>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</si>
  <si>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</si>
  <si>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</si>
  <si>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</si>
  <si>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</si>
  <si>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</si>
  <si>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</si>
  <si>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</si>
  <si>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</si>
  <si>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</si>
  <si>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</si>
  <si>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</si>
  <si>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</si>
  <si>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</si>
  <si>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</si>
  <si>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</si>
  <si>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</si>
  <si>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</si>
  <si>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</si>
  <si>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</si>
  <si>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</si>
  <si>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</si>
  <si>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</si>
  <si>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</si>
  <si>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</si>
  <si>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</si>
  <si>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</si>
  <si>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</si>
  <si>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</si>
  <si>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</si>
  <si>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</si>
  <si>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</si>
  <si>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</si>
  <si>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</si>
  <si>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</si>
  <si>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</si>
  <si>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</si>
  <si>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</si>
  <si>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</si>
  <si>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</si>
  <si>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</si>
  <si>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</si>
  <si>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</si>
  <si>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</si>
  <si>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</si>
  <si>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</si>
  <si>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</si>
  <si>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</si>
  <si>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</si>
  <si>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</si>
  <si>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</si>
  <si>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</si>
  <si>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</si>
  <si>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</si>
  <si>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</si>
  <si>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</si>
  <si>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</si>
  <si>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</si>
  <si>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</si>
  <si>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</si>
  <si>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</si>
  <si>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</si>
  <si>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</si>
  <si>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</si>
  <si>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</si>
  <si>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</si>
  <si>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</si>
  <si>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</si>
  <si>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</si>
  <si>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</si>
  <si>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</si>
  <si>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</si>
  <si>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</si>
  <si>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</si>
  <si>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</si>
  <si>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</si>
  <si>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</si>
  <si>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</si>
  <si>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</si>
  <si>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</si>
  <si>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</si>
  <si>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</si>
  <si>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</si>
  <si>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</si>
  <si>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</si>
  <si>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</si>
  <si>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</si>
  <si>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</si>
  <si>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</si>
  <si>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</si>
  <si>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</si>
  <si>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</si>
  <si>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</si>
  <si>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</si>
  <si>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</si>
  <si>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</si>
  <si>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</si>
  <si>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</si>
  <si>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</si>
  <si>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</si>
  <si>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</si>
  <si>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</si>
  <si>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</si>
  <si>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</si>
  <si>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</si>
  <si>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</si>
  <si>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</si>
  <si>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</si>
  <si>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</si>
  <si>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</si>
  <si>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</si>
  <si>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</si>
  <si>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</si>
  <si>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</si>
  <si>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</si>
  <si>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</si>
  <si>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</si>
  <si>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</si>
  <si>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</si>
  <si>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</si>
  <si>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</si>
  <si>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</si>
  <si>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</si>
  <si>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</si>
  <si>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</si>
  <si>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</si>
  <si>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</si>
  <si>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</si>
  <si>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</si>
  <si>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</si>
  <si>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</si>
  <si>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</si>
  <si>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</si>
  <si>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</si>
  <si>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</si>
  <si>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CHANCE OF A T-STORM. HIGH IN THE MIDDLE 80S.</t>
  </si>
  <si>
    <t>CHANCE OF SHOWERS AND T-STORMS. HIGH IN THE 80S.. LOW IN THE MIDDLE 60S</t>
  </si>
  <si>
    <t>PARTLY CLOUDY. HIGH IN THE MIDDLE 80S.. LOW IN THE LOWER 60S.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</si>
</sst>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A9C1578-3D83-E41A-BC50-C4D7CF664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B3F18F36-7245-6832-48CE-E6F5BA968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1BED7DF-626E-BBB5-1EE7-9FE51E04AA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E4EDCA8-E38E-3CFD-B76C-8180ECC46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2B13BDE-2D19-22CF-FEE9-AE27913E1E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4BCDB64-5F88-A395-5B8A-50D4BE8BB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F89FA3F-EF05-8D60-F651-03F3E789D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CCA0D8C-B1D7-07CC-8B32-051E2DF209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57E7FD6-093C-4E7C-BC33-28499FAFC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F95688A3-43FF-1E90-2C84-6A4E6C92D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EA27067-7799-CECA-C606-BBB323EF1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FDE9415-1393-E678-0785-9EB362C9B2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F5156B4A-15E4-0C26-40BE-FC839D51FF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11CD2F5E-4721-6DD1-8CDE-758F6FE598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F307DAB8-4F35-0BE6-42AF-A97497714E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2CBA444E-4B3A-B3AE-B3D0-4A8313527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2B8606E-A507-C0E1-FBF5-D6E318C35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F6EC411C-CEBD-0F62-2783-C57476F2C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6DC4E4AB-0E3E-069F-AFF1-36E50745D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9D1574A9-2855-6917-73DB-FFC456A9BE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8B4660E6-FD2F-4B54-8CC5-DE39F2738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F6737D87-2E15-4E97-A59A-6D20E0401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1DD3FB08-4A9B-074A-81F6-755DF3968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EDDB7469-8ABA-38B2-1C01-AD419D45F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F6FA77E3-D724-4C0C-F1EF-C121E04C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5B1D7C56-C5E5-D09E-6E44-3CD129F1E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61D0E81A-69F9-3C64-ECCB-BACB8D424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95A68CEC-18D3-B81C-0F58-301E14637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D1E7F3A2-8EAF-AEEE-CBA8-9ECCB4DBD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4968F700-2344-FEB1-6DE8-9BF3F3273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BE714DF2-410A-0B13-0BF2-876BB8C53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DD4B6E83-99C5-F7CB-F1D6-C40F573A4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27D42A52-FE63-B738-4167-02535AED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D4B5AF8D-3EA6-59E8-D9C9-0FB47C1B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9264B4BA-6B60-C8FD-1494-702FA4684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5FB23A37-ECA6-5C8C-7DB3-718D5733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CA792B2E-FFF7-0A25-5725-775CAE46F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97A5D5E4-7D25-353A-06CD-0984DA8DA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F6A6AE83-28EA-BFAA-991F-88D61B285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905F64D9-27FE-2152-37C1-DA95D9A66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47EBD434-7715-77FD-D21F-53F366589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AB0656B3-EF0A-CBA2-7999-1929F9176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C4D9E770-782C-453B-AD4B-A76A74499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9EC55FA0-8A89-8C36-BDCE-E28D8792A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487" name="Day_1">
          <a:extLst>
            <a:ext uri="{FF2B5EF4-FFF2-40B4-BE49-F238E27FC236}">
              <a16:creationId xmlns:a16="http://schemas.microsoft.com/office/drawing/2014/main" id="{E6B59920-5098-3236-8C8A-2E7BE90AA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488" name="Day_2">
          <a:extLst>
            <a:ext uri="{FF2B5EF4-FFF2-40B4-BE49-F238E27FC236}">
              <a16:creationId xmlns:a16="http://schemas.microsoft.com/office/drawing/2014/main" id="{F2F6BCF2-570A-EDC9-9496-EB13506EF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489" name="Day_3">
          <a:extLst>
            <a:ext uri="{FF2B5EF4-FFF2-40B4-BE49-F238E27FC236}">
              <a16:creationId xmlns:a16="http://schemas.microsoft.com/office/drawing/2014/main" id="{DC077569-84EA-D303-E190-7D2BB0DF0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490" name="Day_4">
          <a:extLst>
            <a:ext uri="{FF2B5EF4-FFF2-40B4-BE49-F238E27FC236}">
              <a16:creationId xmlns:a16="http://schemas.microsoft.com/office/drawing/2014/main" id="{77744870-8933-D00B-0422-31B990C5A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491" name="Day_5">
          <a:extLst>
            <a:ext uri="{FF2B5EF4-FFF2-40B4-BE49-F238E27FC236}">
              <a16:creationId xmlns:a16="http://schemas.microsoft.com/office/drawing/2014/main" id="{E252E7D4-88A2-6FB3-6694-6735B0A9E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492" name="Day_6">
          <a:extLst>
            <a:ext uri="{FF2B5EF4-FFF2-40B4-BE49-F238E27FC236}">
              <a16:creationId xmlns:a16="http://schemas.microsoft.com/office/drawing/2014/main" id="{1B85D602-8369-E4FE-25A9-B575066B9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62AED8DC-4FC4-975E-C3FF-8FDE9DD191FA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4C078441-873D-B761-0D16-7743246D3D69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93BE859F-701F-6730-CEC0-71247FB59101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A389EA91-9747-766F-F62B-32566E6712F4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59569F93-EF57-2273-EFAF-23F2A5FA5592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6807CE02-17DA-4476-72E3-37741BFA3E44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45642D7F-42EE-3EA5-03B8-D31A3D1ED2AE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10392641-F5D2-BAD5-D241-CA0B6E0BF9A5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97A53177-828A-B0BE-C08E-E539CCDDB40A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A07E9B30-52B8-A0D1-BC1A-9077E1618AE6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9B9AFE2F-B8D8-8F3E-3EFC-8B52984C7401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48479996-FA82-5099-EE91-523FF6D95D18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4787D350-8D98-E3BC-53EE-76293EAF1E13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BA697BED-4825-EBC0-04F2-11C6CF060368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F7294CEA-1877-729E-C17B-F1B4EAA8057D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5E00E2F5-D810-36A8-50C7-637C283E2A8B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B0BE59EA-BE20-CBE0-AF7B-0A9761E4BC77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197F76B2-DDA0-3B01-AF4F-DBE8F833BF4D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D4F4FF8A-F050-B511-31C7-92A036363B93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E52FEC20-D940-7F2A-9AC4-13D923102D98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EDEEB02E-1AE6-54B9-8657-8169930D84EB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C3FEB93C-52FC-21BB-E377-0E41DC929C4E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B4F51339-BF19-E881-2B18-1E995E2BB83C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D11FF26A-B739-EDF2-822B-4706FBBBFB78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09597474-0DEA-A380-A4CA-52D53F1D296B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935F1B36-482C-3639-6B0E-6641CE0E991E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B2CE56C0-9D6D-BE49-850A-6FCE54D5806A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AB62D4AA-B2C3-DAB1-718D-C230FE6F9C91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9CED1CF2-2980-74A3-03BD-00EA83C190F2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AB6C4AFB-61B6-3764-DB38-86CB8DE82C58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F491D469-C9E1-73C3-494D-81DF8B79BE0B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AA4BC39C-B975-2DD3-A49B-50E2707CBB3F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9E9AF059-E123-E20C-D10F-7E977F8DC805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EF3FD4DD-7129-34DE-4F95-1B63B87E7A44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5FF06C96-4D50-017B-C07A-9971F09242FF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7BB3972B-4CBF-D034-0DD2-11223AB15833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F4E2D72B-4B0E-3CE8-5760-E7BA8C309242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B4A96EE3-F4D4-1D6A-DF25-5C84F7464293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E78CA6D0-526B-7B14-D951-7817FE3B5AD6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D77675A5-82EF-192C-7131-0854C770E05D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FB4D6A48-9D0B-699D-4C7B-FB33070F8FDD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5C6E4B51-8022-ED26-A556-342146100E64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80469FD2-CE68-FDEE-D971-6E72BE39C0DE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A8460DB4-F45A-C952-3D71-7BE9BF62189D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226C9151-2435-4FA4-873F-DB86E895842B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715468F6-F706-AE54-5CD4-EBB7E1983A5B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E0C492B1-8082-9196-5797-0F8D13DFE48B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F881E8D3-9390-BB4C-ED73-DA3FBAB7C4F4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5A6A9710-83F5-79A5-2200-7692E9175760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38C6E165-0326-8318-996B-DB0DBC515B5D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ACA9B0F2-6973-1AD0-8425-0B2E8EA2A456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06EF5E26-B77F-F06A-9400-6FE070465021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A0E440E6-EA23-EBD9-5289-05D60204FAE7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0F3D592C-FF84-61BE-AE0B-5C170052203D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3BF5C292-5BC7-BAB0-0639-CE534CECA032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CC2DE49E-CE69-A217-33A4-923AB3B2957C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37209843-6014-410F-7D0D-1DDA3F59A86A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A4A51B43-9065-B150-CA3F-59E97CC7457E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F08C98B5-9659-5B8D-3FF7-8CFC7FFF1BB7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735CEB2F-CEEB-EDA4-0490-9F50CF293DCB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AEAD95B8-690B-2988-69C7-8F32CFBE827A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1D19CFF7-60EC-A04F-8313-CF7CEEB6635F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D04E96BC-D3D0-CF0F-C39D-69CB2EC1C7A5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9DE33B9B-5585-B839-9837-E5FDE78DB820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FD20E2C8-5FF3-AB5F-04F2-48DDBC8FA043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D701F0A3-D252-CC57-245B-ACD66147A3E8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210D8BA2-75E5-CC48-2B18-FBF95F11BD3A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39613FF2-92E1-5395-6340-ED50FF91573D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F8BFDE08-05A9-2548-F7A2-B7185D2E7973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192C63F1-C1CA-BC12-43C7-C7660DF86C95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2DB2185B-F8E7-BD09-5555-64CEC9F22339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47F89B3E-BE77-A6D5-604B-CCA03B8B977B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F2921FFA-3B04-DA87-42E5-BC9347461678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03B022B4-F94A-37E3-D3AF-42F3AD7506CC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472AE50F-3A45-F952-BB75-E2E9286B2C5A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71914BF3-0B60-CCF9-F6E6-CE68CB6B9BD1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49B1D3FB-D79B-3444-C05F-E49553112754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8C428B28-A5FC-67CD-EA2A-FF7030A5E456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F970EABF-D654-F38A-13CA-B6798DCF35A9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5D6C778A-C9D3-1C44-51FF-01C55CD32E92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6F79313D-0610-98C3-0270-F6D22E05A322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2F80D8DF-4847-9EA9-AA6F-7BAC0BF9E919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01084A40-33AD-3576-5C56-614D9D9D2C50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59B4FA66-90EB-C587-9D70-81429162C9CB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729529A9-EF05-2F26-3785-0A4256FAE92E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E6878755-7A79-64F6-DAF5-46D04B0664C7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F92275F1-2141-5A6E-9787-41B40C37FDB0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EC887048-6F71-075E-53F4-8150889B33DA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0197744E-7C54-3180-ED51-6F001F8AB9B1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445EE2CC-B8E3-07CB-BC48-3EE917E5F2FE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3A47013A-7DAA-2381-9528-2AC881CAF397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99D64B92-55D3-83B7-B49A-13EED69E45C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B6C5743F-FA1F-80DE-CC1A-F959CE60FBF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16C13A57-5DC0-27D8-4551-221CA224FADD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A96D210B-91C9-1A93-E4F5-CF4D9D56B6BA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F416E937-F897-8EEE-201D-D27128704D91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1879C13B-E7B0-5314-B67D-AE20C08CB34B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3C01336F-87D2-F568-0DBA-4A7108221A29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02074C23-09F9-89A4-E687-1CCF9080DC1B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014981AD-D44E-4AE7-4D6C-5C4AA08B0C75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7AF8F076-EE6F-76BD-E089-49415CD864C0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17E8F514-2215-EFCB-D75D-04942084DD4C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53623661-B9F7-91F7-9453-99575130D5B1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0377E2C1-1FA5-E2E7-D704-B2F2A0DE3876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3C706324-3E58-415A-51C6-30EC8A7CD4BE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F57E9EDD-8389-9D82-1447-050ECCD89568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B1679449-98C6-3E28-2D0A-C9F58130F983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AA55A8BB-6BF2-7D27-8A82-4B6FCF2806CE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827EF579-C32E-812A-29A4-437AC0E17D34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25BEDD6F-C860-2D8A-0A3B-626704D2F7B0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81480711-AF0E-C3B1-4E2A-79BAC6B024E4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69DD31CD-B4ED-5859-B63B-C4D3CD5B06F3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E1EDE444-E2D4-F4F4-F721-F1E41B33876A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A9C3C7ED-E18F-3EF1-BED1-88CDCCF71EBE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62637E0E-3976-F0EF-1B46-2825D5CC3DD5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62E69D65-A835-4E06-5FA7-41FA13E31C55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2EA148CB-B56E-805D-B0BC-C63DBC3951F6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BC9390E3-4134-1798-185F-698C1C28B2CB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E52E5242-9536-C51C-7B33-5FC0782CC03A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BCC5FF72-62CD-0D60-473F-62F5B2F85065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E79483C5-5A97-9A4E-0AB9-C6EEAD51F2A6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F452A840-357B-195D-6ADA-085BCE808C2F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D2A0E1CC-4FC1-2E7C-C977-E472B906D484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C445A807-04CD-9018-BF31-227C320BBBA8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50B51990-786D-BC2F-B75C-73A82F7C2EEA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EB6BC113-D958-5D2B-0509-38537C1A94E9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B7FADD53-2494-799C-FC3C-A45B1F5BBA8C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7545FBCB-0D7F-B8AA-D30D-A935F34C9592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2034A5C1-1531-F925-8BBB-B67F6E9465BB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7818EB9E-E1F1-3A4F-EA39-FE895387D5AD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75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SAT</v>
      </c>
      <c r="I1" s="865">
        <f>D4</f>
        <v>37072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SAT</v>
      </c>
      <c r="E3" s="829" t="str">
        <f t="shared" si="0"/>
        <v>SUN</v>
      </c>
      <c r="F3" s="829" t="str">
        <f t="shared" si="0"/>
        <v>MON</v>
      </c>
      <c r="G3" s="829" t="str">
        <f t="shared" si="0"/>
        <v>TUE</v>
      </c>
      <c r="H3" s="829" t="str">
        <f t="shared" si="0"/>
        <v>WED</v>
      </c>
      <c r="I3" s="830" t="str">
        <f t="shared" si="0"/>
        <v>THU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37072</v>
      </c>
      <c r="E4" s="833">
        <f>Weather_Input!A6</f>
        <v>37073</v>
      </c>
      <c r="F4" s="833">
        <f>Weather_Input!A7</f>
        <v>37074</v>
      </c>
      <c r="G4" s="833">
        <f>Weather_Input!A8</f>
        <v>37075</v>
      </c>
      <c r="H4" s="833">
        <f>Weather_Input!A9</f>
        <v>37076</v>
      </c>
      <c r="I4" s="834">
        <f>Weather_Input!A10</f>
        <v>37077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88/65/77</v>
      </c>
      <c r="E5" s="866" t="str">
        <f>TEXT(Weather_Input!B6,"0")&amp;"/"&amp;TEXT(Weather_Input!C6,"0") &amp; "/" &amp; TEXT((Weather_Input!B6+Weather_Input!C6)/2,"0")</f>
        <v>72/49/61</v>
      </c>
      <c r="F5" s="866" t="str">
        <f>TEXT(Weather_Input!B7,"0")&amp;"/"&amp;TEXT(Weather_Input!C7,"0") &amp; "/" &amp; TEXT((Weather_Input!B7+Weather_Input!C7)/2,"0")</f>
        <v>72/57/65</v>
      </c>
      <c r="G5" s="866" t="str">
        <f>TEXT(Weather_Input!B8,"0")&amp;"/"&amp;TEXT(Weather_Input!C8,"0") &amp; "/" &amp; TEXT((Weather_Input!B8+Weather_Input!C8)/2,"0")</f>
        <v>78/59/69</v>
      </c>
      <c r="H5" s="866" t="str">
        <f>TEXT(Weather_Input!B9,"0")&amp;"/"&amp;TEXT(Weather_Input!C9,"0") &amp; "/" &amp; TEXT((Weather_Input!B9+Weather_Input!C9)/2,"0")</f>
        <v>74/53/64</v>
      </c>
      <c r="I5" s="867" t="str">
        <f>TEXT(Weather_Input!B10,"0")&amp;"/"&amp;TEXT(Weather_Input!C10,"0") &amp; "/" &amp; TEXT((Weather_Input!B10+Weather_Input!C10)/2,"0")</f>
        <v>74/53/64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30.5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36</v>
      </c>
      <c r="G6" s="836">
        <f ca="1">VLOOKUP(G4,NSG_Sendouts,CELL("Col",NSG_Deliveries!C8),FALSE)/1000</f>
        <v>35</v>
      </c>
      <c r="H6" s="836">
        <f ca="1">VLOOKUP(H4,NSG_Sendouts,CELL("Col",NSG_Deliveries!C9),FALSE)/1000</f>
        <v>34</v>
      </c>
      <c r="I6" s="841">
        <f ca="1">VLOOKUP(I4,NSG_Sendouts,CELL("Col",NSG_Deliveries!C10),FALSE)/1000</f>
        <v>35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11.914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1.66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44.073999999999998</v>
      </c>
      <c r="E11" s="845">
        <f t="shared" ca="1" si="1"/>
        <v>34</v>
      </c>
      <c r="F11" s="845">
        <f t="shared" ca="1" si="1"/>
        <v>36</v>
      </c>
      <c r="G11" s="845">
        <f t="shared" ca="1" si="1"/>
        <v>35</v>
      </c>
      <c r="H11" s="845">
        <f t="shared" ca="1" si="1"/>
        <v>34</v>
      </c>
      <c r="I11" s="846">
        <f t="shared" ca="1" si="1"/>
        <v>35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789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790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32.158999999999999</v>
      </c>
      <c r="E19" s="836">
        <f>NSG_Supplies!Q8/1000</f>
        <v>27.577000000000002</v>
      </c>
      <c r="F19" s="836">
        <f>NSG_Supplies!Q9/1000</f>
        <v>27.577000000000002</v>
      </c>
      <c r="G19" s="836">
        <f>NSG_Supplies!Q10/1000</f>
        <v>27.577000000000002</v>
      </c>
      <c r="H19" s="836">
        <f>NSG_Supplies!Q11/1000</f>
        <v>27.577000000000002</v>
      </c>
      <c r="I19" s="837">
        <f>NSG_Supplies!Q12/1000</f>
        <v>27.577000000000002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11.914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5" customHeight="1" thickBot="1">
      <c r="A21" s="1242" t="s">
        <v>149</v>
      </c>
      <c r="B21" s="1243"/>
      <c r="C21" s="1243"/>
      <c r="D21" s="1244">
        <f t="shared" ref="D21:I21" si="2">SUM(D14:D20)</f>
        <v>44.073</v>
      </c>
      <c r="E21" s="1244">
        <f t="shared" si="2"/>
        <v>39.576999999999998</v>
      </c>
      <c r="F21" s="1244">
        <f t="shared" si="2"/>
        <v>39.576999999999998</v>
      </c>
      <c r="G21" s="1244">
        <f t="shared" si="2"/>
        <v>39.576999999999998</v>
      </c>
      <c r="H21" s="1244">
        <f t="shared" si="2"/>
        <v>39.576999999999998</v>
      </c>
      <c r="I21" s="1245">
        <f t="shared" si="2"/>
        <v>39.576999999999998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5.5769999999999982</v>
      </c>
      <c r="F22" s="877">
        <f t="shared" ca="1" si="3"/>
        <v>3.5769999999999982</v>
      </c>
      <c r="G22" s="877">
        <f t="shared" ca="1" si="3"/>
        <v>4.5769999999999982</v>
      </c>
      <c r="H22" s="877">
        <f t="shared" ca="1" si="3"/>
        <v>5.5769999999999982</v>
      </c>
      <c r="I22" s="878">
        <f t="shared" ca="1" si="3"/>
        <v>4.5769999999999982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9.9999999999766942E-4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20.285</v>
      </c>
      <c r="E24" s="1097">
        <f>NSG_Supplies!R8/1000</f>
        <v>16.244</v>
      </c>
      <c r="F24" s="1097">
        <f>NSG_Supplies!R9/1000</f>
        <v>16.244</v>
      </c>
      <c r="G24" s="1097">
        <f>NSG_Supplies!R10/1000</f>
        <v>16.244</v>
      </c>
      <c r="H24" s="1097">
        <f>NSG_Supplies!R11/1000</f>
        <v>16.244</v>
      </c>
      <c r="I24" s="1098">
        <f>NSG_Supplies!R12/1000</f>
        <v>16.244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10</v>
      </c>
      <c r="E26" s="884">
        <f>Weather_Input!D6</f>
        <v>15</v>
      </c>
      <c r="F26" s="884">
        <f>Weather_Input!D7</f>
        <v>12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37072</v>
      </c>
      <c r="N1" s="1218" t="str">
        <f>CHOOSE(WEEKDAY(M1),"SUN","MON","TUE","WED","THU","FRI","SAT")</f>
        <v>SAT</v>
      </c>
      <c r="O1" s="588"/>
    </row>
    <row r="2" spans="1:17" ht="16.5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75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88</v>
      </c>
      <c r="K3" s="945">
        <f>Weather_Input!C5</f>
        <v>65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>
        <v>77.7</v>
      </c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93.063000000000002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170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93.063000000000002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1.2529999999999999</v>
      </c>
      <c r="C8" s="589"/>
      <c r="D8" s="308"/>
      <c r="E8" s="420" t="s">
        <v>433</v>
      </c>
      <c r="F8" s="383">
        <f>PGL_Requirements!E7/1000</f>
        <v>2.5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93.063000000000002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1.2529999999999999</v>
      </c>
      <c r="C10" s="119"/>
      <c r="D10" s="1043"/>
      <c r="E10" s="420" t="s">
        <v>761</v>
      </c>
      <c r="F10" s="972">
        <f>PGL_Supplies!AC7/1000</f>
        <v>2.5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-104.69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105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171.34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0.69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-2.2999999999999998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1.575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5" thickBot="1">
      <c r="A19" s="513" t="s">
        <v>430</v>
      </c>
      <c r="B19" s="1208">
        <f>-B13+B14+B16-B17-B15+B20+B21</f>
        <v>-104.69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-20</v>
      </c>
      <c r="L19" s="1214"/>
      <c r="M19" s="157"/>
      <c r="N19" s="1214"/>
      <c r="O19" s="1213"/>
    </row>
    <row r="20" spans="1:15" ht="16.5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152.41300000000001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17.586999999999989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20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1.575</v>
      </c>
      <c r="L25" s="951"/>
      <c r="M25" s="1225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19.161999999999988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3.76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-22.922999999999998</v>
      </c>
      <c r="L30" s="1161"/>
      <c r="M30" s="1061">
        <f>-PGL_Supplies!AB7/1000</f>
        <v>-22.922999999999998</v>
      </c>
      <c r="N30" s="1162"/>
      <c r="O30" s="1222">
        <f>-PGL_Supplies!AB7/1000</f>
        <v>-22.922999999999998</v>
      </c>
    </row>
    <row r="31" spans="1:15" ht="16.5" thickBot="1">
      <c r="A31" s="365" t="s">
        <v>459</v>
      </c>
      <c r="B31" s="966">
        <f>PGL_Supplies!D7/1000</f>
        <v>6.8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157.04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75" thickBot="1">
      <c r="A33" s="1117" t="s">
        <v>587</v>
      </c>
      <c r="B33" s="966">
        <f>PGL_Supplies!S7/1000</f>
        <v>15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5" thickBot="1">
      <c r="A34" s="1173" t="s">
        <v>650</v>
      </c>
      <c r="B34" s="1198">
        <f>-B30+B31+B32+B33*0.5</f>
        <v>171.34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808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151.34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20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807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5" thickBot="1">
      <c r="A39" s="1119" t="s">
        <v>2</v>
      </c>
      <c r="B39" s="1221">
        <f>B35+B36+B37+B38</f>
        <v>171.34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809</v>
      </c>
      <c r="M39" s="1089"/>
      <c r="N39" s="1254"/>
      <c r="O39" s="1235"/>
    </row>
    <row r="40" spans="1:15" ht="17.25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SAT</v>
      </c>
      <c r="G1" s="1224">
        <f>Weather_Input!A5</f>
        <v>37072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>
        <v>77.7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88</v>
      </c>
      <c r="C4" s="750">
        <f>Weather_Input!C5</f>
        <v>65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30.5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30.5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0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30.5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1.66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-32.158999999999999</v>
      </c>
      <c r="D25" s="710"/>
      <c r="E25" s="703">
        <f>-NSG_Supplies!Q7/1000</f>
        <v>-32.158999999999999</v>
      </c>
      <c r="F25" s="710"/>
      <c r="G25" s="703">
        <f>-NSG_Supplies!Q7/1000</f>
        <v>-32.158999999999999</v>
      </c>
      <c r="H25" s="709"/>
      <c r="I25" s="766">
        <f>-NSG_Supplies!Q7/1000</f>
        <v>-32.158999999999999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11.914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11.914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0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37072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88</v>
      </c>
      <c r="C5" s="261">
        <f>Weather_Input!C5</f>
        <v>65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170</v>
      </c>
      <c r="C8" s="269">
        <f>NSG_Deliveries!C5/1000</f>
        <v>30.5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124.01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-11.936999999999998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2.2999999999999998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30.5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1.575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30.5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0.69</v>
      </c>
      <c r="C27" s="305">
        <f>NSG_Requirements!P7/1000</f>
        <v>0</v>
      </c>
      <c r="D27" s="305">
        <f>PGL_Requirements!Q7/1000</f>
        <v>0.69</v>
      </c>
      <c r="E27" s="305">
        <f>NSG_Requirements!P7/1000</f>
        <v>0</v>
      </c>
      <c r="F27" s="305">
        <f>PGL_Requirements!Q7/1000</f>
        <v>0.69</v>
      </c>
      <c r="G27" s="305">
        <f>NSG_Requirements!P7/1000</f>
        <v>0</v>
      </c>
      <c r="H27" s="306">
        <f>+B27</f>
        <v>0.69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-22.922999999999998</v>
      </c>
      <c r="C32" s="310">
        <f>-NSG_Supplies!Q7/1000</f>
        <v>-32.158999999999999</v>
      </c>
      <c r="D32" s="310">
        <f>B32</f>
        <v>-22.922999999999998</v>
      </c>
      <c r="E32" s="310">
        <f>C32</f>
        <v>-32.158999999999999</v>
      </c>
      <c r="F32" s="310">
        <f>B32</f>
        <v>-22.922999999999998</v>
      </c>
      <c r="G32" s="310">
        <f>C32</f>
        <v>-32.158999999999999</v>
      </c>
      <c r="H32" s="315">
        <f>B32</f>
        <v>-22.922999999999998</v>
      </c>
      <c r="I32" s="316">
        <f>C32</f>
        <v>-32.158999999999999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-20.285</v>
      </c>
      <c r="D33" s="310">
        <f>B33</f>
        <v>0</v>
      </c>
      <c r="E33" s="310">
        <f>C33</f>
        <v>-20.285</v>
      </c>
      <c r="F33" s="310">
        <f>B33</f>
        <v>0</v>
      </c>
      <c r="G33" s="310">
        <f>C33</f>
        <v>-20.285</v>
      </c>
      <c r="H33" s="315">
        <f>B33</f>
        <v>0</v>
      </c>
      <c r="I33" s="316">
        <f>C33</f>
        <v>-20.285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3.76</v>
      </c>
      <c r="C35" s="305">
        <f>NSG_Requirements!H7/1000</f>
        <v>1.66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105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1.575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1.575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124.01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124.01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1.2529999999999999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93.063000000000002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105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2.5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-11.936999999999998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SAT</v>
      </c>
      <c r="H73" s="401">
        <f>Weather_Input!A5</f>
        <v>37072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124.01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93.063000000000002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2.2999999999999998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-1.2529999999999999</v>
      </c>
      <c r="C116" s="414">
        <f>-NSG_Supplies!V7/1000</f>
        <v>0</v>
      </c>
      <c r="D116" s="310">
        <f>-PGL_Supplies!Y7/1000</f>
        <v>-1.2529999999999999</v>
      </c>
      <c r="E116" s="310">
        <f>-NSG_Supplies!V7/1000</f>
        <v>0</v>
      </c>
      <c r="F116" s="310">
        <f>-PGL_Supplies!Y7/1000</f>
        <v>-1.2529999999999999</v>
      </c>
      <c r="G116" s="310">
        <f>-NSG_Supplies!V7/1000</f>
        <v>0</v>
      </c>
      <c r="H116" s="315">
        <f>-PGL_Supplies!Y7/1000</f>
        <v>-1.2529999999999999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-20.285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1.2529999999999999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3.76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1.2529999999999999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124.01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124.01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105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1.575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2.5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2.5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93.063000000000002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93.063000000000002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37073.168823611108</v>
      </c>
      <c r="F22" s="161" t="s">
        <v>257</v>
      </c>
      <c r="G22" s="188">
        <f ca="1">NOW()</f>
        <v>37073.168823611108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37072</v>
      </c>
      <c r="C5" s="15"/>
      <c r="D5" s="22" t="s">
        <v>275</v>
      </c>
      <c r="E5" s="23">
        <f>Weather_Input!B5</f>
        <v>88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65</v>
      </c>
      <c r="F6" s="24" t="s">
        <v>278</v>
      </c>
      <c r="G6" s="25">
        <f>Weather_Input!F5</f>
        <v>88</v>
      </c>
      <c r="H6" s="26" t="s">
        <v>279</v>
      </c>
      <c r="I6" s="27">
        <f ca="1">G6-(VLOOKUP(B5,DD_Normal_Data,CELL("Col",C7),FALSE))</f>
        <v>42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76.5</v>
      </c>
      <c r="F7" s="24" t="s">
        <v>281</v>
      </c>
      <c r="G7" s="25">
        <f>Weather_Input!G5</f>
        <v>6700</v>
      </c>
      <c r="H7" s="26" t="s">
        <v>281</v>
      </c>
      <c r="I7" s="120">
        <f ca="1">G7-(VLOOKUP(B5,DD_Normal_Data,CELL("Col",D4),FALSE))</f>
        <v>278</v>
      </c>
      <c r="J7" s="120"/>
    </row>
    <row r="8" spans="1:109" ht="15">
      <c r="A8" s="18"/>
      <c r="B8" s="20"/>
      <c r="C8" s="15"/>
      <c r="D8" s="32" t="str">
        <f>IF(Weather_Input!I5=""," ",Weather_Input!I5)</f>
        <v>CHANCE OF A T-STORM. HIGH IN THE MIDDLE 80S.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37073</v>
      </c>
      <c r="C10" s="15"/>
      <c r="D10" s="150" t="s">
        <v>275</v>
      </c>
      <c r="E10" s="23">
        <f>Weather_Input!B6</f>
        <v>72</v>
      </c>
      <c r="F10" s="24" t="s">
        <v>276</v>
      </c>
      <c r="G10" s="25">
        <f>IF(E12&lt;65,65-(Weather_Input!B6+Weather_Input!C6)/2,0)</f>
        <v>4.5</v>
      </c>
      <c r="H10" s="26" t="s">
        <v>277</v>
      </c>
      <c r="I10" s="27">
        <f ca="1">G10-(VLOOKUP(B10,DD_Normal_Data,CELL("Col",B11),FALSE))</f>
        <v>4.5</v>
      </c>
    </row>
    <row r="11" spans="1:109" ht="15">
      <c r="A11" s="18"/>
      <c r="B11" s="21"/>
      <c r="C11" s="15"/>
      <c r="D11" s="22" t="s">
        <v>162</v>
      </c>
      <c r="E11" s="23">
        <f>Weather_Input!C6</f>
        <v>49</v>
      </c>
      <c r="F11" s="24" t="s">
        <v>278</v>
      </c>
      <c r="G11" s="25">
        <f>IF(DAY(B10)=1,G10,G6+G10)</f>
        <v>4.5</v>
      </c>
      <c r="H11" s="30" t="s">
        <v>279</v>
      </c>
      <c r="I11" s="27">
        <f ca="1">G11-(VLOOKUP(B10,DD_Normal_Data,CELL("Col",C12),FALSE))</f>
        <v>4.5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60.5</v>
      </c>
      <c r="F12" s="24" t="s">
        <v>281</v>
      </c>
      <c r="G12" s="25">
        <f>IF(AND(DAY(B10)=1,MONTH(B10)=8),G10,G7+G10)</f>
        <v>6704.5</v>
      </c>
      <c r="H12" s="26" t="s">
        <v>281</v>
      </c>
      <c r="I12" s="27">
        <f ca="1">G12-(VLOOKUP(B10,DD_Normal_Data,CELL("Col",D9),FALSE))</f>
        <v>282.5</v>
      </c>
    </row>
    <row r="13" spans="1:109" ht="15">
      <c r="A13" s="18"/>
      <c r="B13" s="21"/>
      <c r="C13" s="15"/>
      <c r="D13" s="32" t="str">
        <f>IF(Weather_Input!I6=""," ",Weather_Input!I6)</f>
        <v>CHANCE OF SHOWERS AND T-STORMS. HIGH IN THE 80S.. LOW IN THE MIDDLE 60S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37074</v>
      </c>
      <c r="C15" s="15"/>
      <c r="D15" s="22" t="s">
        <v>275</v>
      </c>
      <c r="E15" s="23">
        <f>Weather_Input!B7</f>
        <v>72</v>
      </c>
      <c r="F15" s="24" t="s">
        <v>276</v>
      </c>
      <c r="G15" s="25">
        <f>IF(E17&lt;65,65-(Weather_Input!B7+Weather_Input!C7)/2,0)</f>
        <v>0.5</v>
      </c>
      <c r="H15" s="26" t="s">
        <v>277</v>
      </c>
      <c r="I15" s="27">
        <f ca="1">G15-(VLOOKUP(B15,DD_Normal_Data,CELL("Col",B16),FALSE))</f>
        <v>0.5</v>
      </c>
    </row>
    <row r="16" spans="1:109" ht="15">
      <c r="A16" s="18"/>
      <c r="B16" s="20"/>
      <c r="C16" s="15"/>
      <c r="D16" s="22" t="s">
        <v>162</v>
      </c>
      <c r="E16" s="23">
        <f>Weather_Input!C7</f>
        <v>57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64.5</v>
      </c>
      <c r="F17" s="24" t="s">
        <v>281</v>
      </c>
      <c r="G17" s="25">
        <f>IF(AND(DAY(B15)=1,MONTH(B15)=8),G15,G12+G15)</f>
        <v>6705</v>
      </c>
      <c r="H17" s="26" t="s">
        <v>281</v>
      </c>
      <c r="I17" s="27">
        <f ca="1">G17-(VLOOKUP(B15,DD_Normal_Data,CELL("Col",D14),FALSE))</f>
        <v>283</v>
      </c>
    </row>
    <row r="18" spans="1:109" ht="15">
      <c r="A18" s="18"/>
      <c r="B18" s="20"/>
      <c r="C18" s="15"/>
      <c r="D18" s="32" t="str">
        <f>IF(Weather_Input!I7=""," ",Weather_Input!I7)</f>
        <v>PARTLY CLOUDY. HIGH IN THE MIDDLE 80S.. LOW IN THE LOWER 60S.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37075</v>
      </c>
      <c r="C20" s="15"/>
      <c r="D20" s="22" t="s">
        <v>275</v>
      </c>
      <c r="E20" s="23">
        <f>Weather_Input!B8</f>
        <v>78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59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68.5</v>
      </c>
      <c r="F22" s="24" t="s">
        <v>281</v>
      </c>
      <c r="G22" s="25">
        <f>IF(AND(DAY(B20)=1,MONTH(B20)=8),G20,G17+G20)</f>
        <v>6705</v>
      </c>
      <c r="H22" s="26" t="s">
        <v>281</v>
      </c>
      <c r="I22" s="27">
        <f ca="1">G22-(VLOOKUP(B20,DD_Normal_Data,CELL("Col",D19),FALSE))</f>
        <v>283</v>
      </c>
    </row>
    <row r="23" spans="1:109" ht="15">
      <c r="A23" s="18"/>
      <c r="B23" s="21"/>
      <c r="C23" s="15"/>
      <c r="D23" s="32" t="str">
        <f>IF(Weather_Input!I8=""," ",Weather_Input!I8)</f>
        <v>PARTLY CLOUDY. HIGH IN THE MIDDLE 80S.. LOW IN THE LOWER 60S.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37076</v>
      </c>
      <c r="C25" s="15"/>
      <c r="D25" s="22" t="s">
        <v>275</v>
      </c>
      <c r="E25" s="23">
        <f>Weather_Input!B9</f>
        <v>74</v>
      </c>
      <c r="F25" s="24" t="s">
        <v>276</v>
      </c>
      <c r="G25" s="25">
        <f>IF(E27&lt;65,65-(Weather_Input!B9+Weather_Input!C9)/2,0)</f>
        <v>1.5</v>
      </c>
      <c r="H25" s="26" t="s">
        <v>277</v>
      </c>
      <c r="I25" s="27">
        <f ca="1">G25-(VLOOKUP(B25,DD_Normal_Data,CELL("Col",B26),FALSE))</f>
        <v>1.5</v>
      </c>
    </row>
    <row r="26" spans="1:109" ht="15">
      <c r="A26" s="18"/>
      <c r="B26" s="21"/>
      <c r="C26" s="15"/>
      <c r="D26" s="22" t="s">
        <v>162</v>
      </c>
      <c r="E26" s="23">
        <f>Weather_Input!C9</f>
        <v>53</v>
      </c>
      <c r="F26" s="24" t="s">
        <v>278</v>
      </c>
      <c r="G26" s="25">
        <f>IF(DAY(B25)=1,G25,G21+G25)</f>
        <v>6.5</v>
      </c>
      <c r="H26" s="30" t="s">
        <v>279</v>
      </c>
      <c r="I26" s="27">
        <f ca="1">G26-(VLOOKUP(B25,DD_Normal_Data,CELL("Col",C27),FALSE))</f>
        <v>6.5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63.5</v>
      </c>
      <c r="F27" s="24" t="s">
        <v>281</v>
      </c>
      <c r="G27" s="25">
        <f>IF(AND(DAY(B25)=1,MONTH(B25)=8),G25,G22+G25)</f>
        <v>6706.5</v>
      </c>
      <c r="H27" s="26" t="s">
        <v>281</v>
      </c>
      <c r="I27" s="27">
        <f ca="1">G27-(VLOOKUP(B25,DD_Normal_Data,CELL("Col",D24),FALSE))</f>
        <v>284.5</v>
      </c>
    </row>
    <row r="28" spans="1:109" ht="15">
      <c r="A28" s="18"/>
      <c r="B28" s="20"/>
      <c r="C28" s="15"/>
      <c r="D28" s="32" t="str">
        <f>IF(Weather_Input!I9=""," ",Weather_Input!I9)</f>
        <v>PARTLY CLOUDY. HIGH IN THE MIDDLE 80S.. LOW IN THE LOWER 60S.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37077</v>
      </c>
      <c r="C30" s="15"/>
      <c r="D30" s="22" t="s">
        <v>275</v>
      </c>
      <c r="E30" s="23">
        <f>Weather_Input!B10</f>
        <v>74</v>
      </c>
      <c r="F30" s="24" t="s">
        <v>276</v>
      </c>
      <c r="G30" s="25">
        <f>IF(E32&lt;65,65-(Weather_Input!B10+Weather_Input!C10)/2,0)</f>
        <v>1.5</v>
      </c>
      <c r="H30" s="26" t="s">
        <v>277</v>
      </c>
      <c r="I30" s="27">
        <f ca="1">G30-(VLOOKUP(B30,DD_Normal_Data,CELL("Col",B31),FALSE))</f>
        <v>1.5</v>
      </c>
    </row>
    <row r="31" spans="1:109" ht="15">
      <c r="A31" s="15"/>
      <c r="B31" s="15"/>
      <c r="C31" s="15"/>
      <c r="D31" s="22" t="s">
        <v>162</v>
      </c>
      <c r="E31" s="23">
        <f>Weather_Input!C10</f>
        <v>53</v>
      </c>
      <c r="F31" s="24" t="s">
        <v>278</v>
      </c>
      <c r="G31" s="25">
        <f>IF(DAY(B30)=1,G30,G26+G30)</f>
        <v>8</v>
      </c>
      <c r="H31" s="30" t="s">
        <v>279</v>
      </c>
      <c r="I31" s="27">
        <f ca="1">G31-(VLOOKUP(B30,DD_Normal_Data,CELL("Col",C32),FALSE))</f>
        <v>8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63.5</v>
      </c>
      <c r="F32" s="24" t="s">
        <v>281</v>
      </c>
      <c r="G32" s="25">
        <f>IF(AND(DAY(B30)=1,MONTH(B30)=8),G30,G27+G30)</f>
        <v>6708</v>
      </c>
      <c r="H32" s="26" t="s">
        <v>281</v>
      </c>
      <c r="I32" s="27">
        <f ca="1">G32-(VLOOKUP(B30,DD_Normal_Data,CELL("Col",D29),FALSE))</f>
        <v>286</v>
      </c>
    </row>
    <row r="33" spans="1:9" ht="15">
      <c r="A33" s="15"/>
      <c r="B33" s="34"/>
      <c r="C33" s="15"/>
      <c r="D33" s="32" t="str">
        <f>IF(Weather_Input!I10=""," ",Weather_Input!I10)</f>
        <v>PARTLY CLOUDY. HIGH IN THE MIDDLE 80S.. LOW IN THE LOWER 60S.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37072</v>
      </c>
      <c r="C36" s="89">
        <f>B10</f>
        <v>37073</v>
      </c>
      <c r="D36" s="89">
        <f>B15</f>
        <v>37074</v>
      </c>
      <c r="E36" s="89">
        <f xml:space="preserve">       B20</f>
        <v>37075</v>
      </c>
      <c r="F36" s="89">
        <f>B25</f>
        <v>37076</v>
      </c>
      <c r="G36" s="89">
        <f>B30</f>
        <v>37077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170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210</v>
      </c>
      <c r="E37" s="41">
        <f ca="1">(VLOOKUP(E36,PGL_Sendouts,(CELL("COL",PGL_Deliveries!C9))))/1000</f>
        <v>205</v>
      </c>
      <c r="F37" s="41">
        <f ca="1">(VLOOKUP(F36,PGL_Sendouts,(CELL("COL",PGL_Deliveries!C10))))/1000</f>
        <v>200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286</v>
      </c>
      <c r="B38" s="41">
        <f>PGL_6_Day_Report!D25</f>
        <v>307.07799999999997</v>
      </c>
      <c r="C38" s="41">
        <f>PGL_6_Day_Report!E25</f>
        <v>340.14</v>
      </c>
      <c r="D38" s="41">
        <f>PGL_6_Day_Report!F25</f>
        <v>355.14</v>
      </c>
      <c r="E38" s="41">
        <f>PGL_6_Day_Report!G25</f>
        <v>340.14</v>
      </c>
      <c r="F38" s="41">
        <f>PGL_6_Day_Report!H25</f>
        <v>335.14</v>
      </c>
      <c r="G38" s="41">
        <f>PGL_6_Day_Report!I25</f>
        <v>345.14</v>
      </c>
      <c r="H38" s="14"/>
      <c r="I38" s="15"/>
    </row>
    <row r="39" spans="1:9" ht="15">
      <c r="A39" s="42" t="s">
        <v>104</v>
      </c>
      <c r="B39" s="41">
        <f>SUM(PGL_Supplies!Y7:AD7)/1000</f>
        <v>183.71600000000001</v>
      </c>
      <c r="C39" s="41">
        <f>SUM(PGL_Supplies!Y8:AD8)/1000</f>
        <v>204.31</v>
      </c>
      <c r="D39" s="41">
        <f>SUM(PGL_Supplies!Y9:AD9)/1000</f>
        <v>204.31</v>
      </c>
      <c r="E39" s="41">
        <f>SUM(PGL_Supplies!Y10:AD10)/1000</f>
        <v>204.31</v>
      </c>
      <c r="F39" s="41">
        <f>SUM(PGL_Supplies!Y11:AD11)/1000</f>
        <v>204.31</v>
      </c>
      <c r="G39" s="41">
        <f>SUM(PGL_Supplies!Y12:AD12)/1000</f>
        <v>204.31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1.9430000000000001</v>
      </c>
      <c r="C41" s="41">
        <f>SUM(PGL_Requirements!Q7:T7)/1000</f>
        <v>1.9430000000000001</v>
      </c>
      <c r="D41" s="41">
        <f>SUM(PGL_Requirements!Q7:T7)/1000</f>
        <v>1.9430000000000001</v>
      </c>
      <c r="E41" s="41">
        <f>SUM(PGL_Requirements!Q7:T7)/1000</f>
        <v>1.9430000000000001</v>
      </c>
      <c r="F41" s="41">
        <f>SUM(PGL_Requirements!Q7:T7)/1000</f>
        <v>1.9430000000000001</v>
      </c>
      <c r="G41" s="41">
        <f>SUM(PGL_Requirements!Q7:T7)/1000</f>
        <v>1.9430000000000001</v>
      </c>
      <c r="H41" s="14"/>
      <c r="I41" s="15"/>
    </row>
    <row r="42" spans="1:9" ht="15">
      <c r="A42" s="15" t="s">
        <v>127</v>
      </c>
      <c r="B42" s="41">
        <f>PGL_Supplies!U7/1000</f>
        <v>124.01</v>
      </c>
      <c r="C42" s="41">
        <f>PGL_Supplies!U8/1000</f>
        <v>140.703</v>
      </c>
      <c r="D42" s="41">
        <f>PGL_Supplies!U9/1000</f>
        <v>140.703</v>
      </c>
      <c r="E42" s="41">
        <f>PGL_Supplies!U10/1000</f>
        <v>140.703</v>
      </c>
      <c r="F42" s="41">
        <f>PGL_Supplies!U11/1000</f>
        <v>140.703</v>
      </c>
      <c r="G42" s="41">
        <f>PGL_Supplies!U12/1000</f>
        <v>140.703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37072</v>
      </c>
      <c r="C44" s="89">
        <f t="shared" si="0"/>
        <v>37073</v>
      </c>
      <c r="D44" s="89">
        <f t="shared" si="0"/>
        <v>37074</v>
      </c>
      <c r="E44" s="89">
        <f t="shared" si="0"/>
        <v>37075</v>
      </c>
      <c r="F44" s="89">
        <f t="shared" si="0"/>
        <v>37076</v>
      </c>
      <c r="G44" s="89">
        <f t="shared" si="0"/>
        <v>37077</v>
      </c>
      <c r="H44" s="14"/>
      <c r="I44" s="15"/>
    </row>
    <row r="45" spans="1:9" ht="15">
      <c r="A45" s="15" t="s">
        <v>54</v>
      </c>
      <c r="B45" s="41">
        <f ca="1">NSG_6_Day_Report!D6</f>
        <v>30.5</v>
      </c>
      <c r="C45" s="41">
        <f ca="1">NSG_6_Day_Report!E6</f>
        <v>34</v>
      </c>
      <c r="D45" s="41">
        <f ca="1">NSG_6_Day_Report!F6</f>
        <v>36</v>
      </c>
      <c r="E45" s="41">
        <f ca="1">NSG_6_Day_Report!G6</f>
        <v>35</v>
      </c>
      <c r="F45" s="41">
        <f ca="1">NSG_6_Day_Report!H6</f>
        <v>34</v>
      </c>
      <c r="G45" s="41">
        <f ca="1">NSG_6_Day_Report!I6</f>
        <v>35</v>
      </c>
      <c r="H45" s="14"/>
      <c r="I45" s="15"/>
    </row>
    <row r="46" spans="1:9" ht="15">
      <c r="A46" s="42" t="s">
        <v>286</v>
      </c>
      <c r="B46" s="41">
        <f ca="1">NSG_6_Day_Report!D11</f>
        <v>44.073999999999998</v>
      </c>
      <c r="C46" s="41">
        <f ca="1">NSG_6_Day_Report!E11</f>
        <v>34</v>
      </c>
      <c r="D46" s="41">
        <f ca="1">NSG_6_Day_Report!F11</f>
        <v>36</v>
      </c>
      <c r="E46" s="41">
        <f ca="1">NSG_6_Day_Report!G11</f>
        <v>35</v>
      </c>
      <c r="F46" s="41">
        <f ca="1">NSG_6_Day_Report!H11</f>
        <v>34</v>
      </c>
      <c r="G46" s="41">
        <f ca="1">NSG_6_Day_Report!I11</f>
        <v>35</v>
      </c>
      <c r="H46" s="14"/>
      <c r="I46" s="15"/>
    </row>
    <row r="47" spans="1:9" ht="15">
      <c r="A47" s="42" t="s">
        <v>104</v>
      </c>
      <c r="B47" s="41">
        <f>SUM(NSG_Supplies!O7:Q7)/1000</f>
        <v>44.073</v>
      </c>
      <c r="C47" s="41">
        <f>SUM(NSG_Supplies!O8:Q8)/1000</f>
        <v>39.576999999999998</v>
      </c>
      <c r="D47" s="41">
        <f>SUM(NSG_Supplies!O9:Q9)/1000</f>
        <v>39.576999999999998</v>
      </c>
      <c r="E47" s="41">
        <f>SUM(NSG_Supplies!O10:Q10)/1000</f>
        <v>39.576999999999998</v>
      </c>
      <c r="F47" s="41">
        <f>SUM(NSG_Supplies!O11:Q11)/1000</f>
        <v>39.576999999999998</v>
      </c>
      <c r="G47" s="41">
        <f>SUM(NSG_Supplies!O12:Q12)/1000</f>
        <v>39.576999999999998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20.285</v>
      </c>
      <c r="C50" s="41">
        <f>NSG_Supplies!R8/1000</f>
        <v>16.244</v>
      </c>
      <c r="D50" s="41">
        <f>NSG_Supplies!R9/1000</f>
        <v>16.244</v>
      </c>
      <c r="E50" s="41">
        <f>NSG_Supplies!R10/1000</f>
        <v>16.244</v>
      </c>
      <c r="F50" s="41">
        <f>NSG_Supplies!R11/1000</f>
        <v>16.244</v>
      </c>
      <c r="G50" s="41">
        <f>NSG_Supplies!R12/1000</f>
        <v>16.244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37072</v>
      </c>
      <c r="C52" s="89">
        <f t="shared" si="1"/>
        <v>37073</v>
      </c>
      <c r="D52" s="89">
        <f t="shared" si="1"/>
        <v>37074</v>
      </c>
      <c r="E52" s="89">
        <f t="shared" si="1"/>
        <v>37075</v>
      </c>
      <c r="F52" s="89">
        <f t="shared" si="1"/>
        <v>37076</v>
      </c>
      <c r="G52" s="89">
        <f t="shared" si="1"/>
        <v>37077</v>
      </c>
      <c r="H52" s="14"/>
      <c r="I52" s="15"/>
    </row>
    <row r="53" spans="1:9" ht="15">
      <c r="A53" s="92" t="s">
        <v>290</v>
      </c>
      <c r="B53" s="41">
        <f>PGL_Requirements!O7/1000</f>
        <v>105</v>
      </c>
      <c r="C53" s="41">
        <f>PGL_Requirements!O8/1000</f>
        <v>130</v>
      </c>
      <c r="D53" s="41">
        <f>PGL_Requirements!O9/1000</f>
        <v>130</v>
      </c>
      <c r="E53" s="41">
        <f>PGL_Requirements!O10/1000</f>
        <v>130</v>
      </c>
      <c r="F53" s="41">
        <f>PGL_Requirements!O11/1000</f>
        <v>130</v>
      </c>
      <c r="G53" s="41">
        <f>PGL_Requirements!O12/1000</f>
        <v>130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Sunday</v>
      </c>
      <c r="C4" s="1066" t="str">
        <f>Six_Day_Summary!A15</f>
        <v>Monday</v>
      </c>
      <c r="D4" s="1066" t="str">
        <f>Six_Day_Summary!A20</f>
        <v>Tuesday</v>
      </c>
      <c r="E4" s="1066" t="str">
        <f>Six_Day_Summary!A25</f>
        <v>Wednesday</v>
      </c>
      <c r="F4" s="1067" t="str">
        <f>Six_Day_Summary!A30</f>
        <v>Thursday</v>
      </c>
      <c r="G4" s="98"/>
    </row>
    <row r="5" spans="1:8">
      <c r="A5" s="101" t="s">
        <v>297</v>
      </c>
      <c r="B5" s="1068">
        <f>Weather_Input!A6</f>
        <v>37073</v>
      </c>
      <c r="C5" s="1069">
        <f>Weather_Input!A7</f>
        <v>37074</v>
      </c>
      <c r="D5" s="1069">
        <f>Weather_Input!A8</f>
        <v>37075</v>
      </c>
      <c r="E5" s="1069">
        <f>Weather_Input!A9</f>
        <v>37076</v>
      </c>
      <c r="F5" s="1070">
        <f>Weather_Input!A10</f>
        <v>37077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43.956000000000003</v>
      </c>
      <c r="C6" s="1071">
        <f>PGL_Supplies!AB9/1000+PGL_Supplies!K9/1000-PGL_Requirements!N9/1000+C15-PGL_Requirements!S9/1000</f>
        <v>43.956000000000003</v>
      </c>
      <c r="D6" s="1071">
        <f>PGL_Supplies!AB10/1000+PGL_Supplies!K10/1000-PGL_Requirements!N10/1000+D15-PGL_Requirements!S10/1000</f>
        <v>43.956000000000003</v>
      </c>
      <c r="E6" s="1071">
        <f>PGL_Supplies!AB11/1000+PGL_Supplies!K11/1000-PGL_Requirements!N11/1000+E15-PGL_Requirements!S11/1000</f>
        <v>43.956000000000003</v>
      </c>
      <c r="F6" s="1072">
        <f>PGL_Supplies!AB12/1000+PGL_Supplies!K12/1000-PGL_Requirements!N12/1000+F15-PGL_Requirements!S12/1000</f>
        <v>43.956000000000003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Sunday</v>
      </c>
      <c r="C21" s="1081" t="str">
        <f t="shared" si="0"/>
        <v>Monday</v>
      </c>
      <c r="D21" s="1081" t="str">
        <f t="shared" si="0"/>
        <v>Tuesday</v>
      </c>
      <c r="E21" s="1081" t="str">
        <f t="shared" si="0"/>
        <v>Wednesday</v>
      </c>
      <c r="F21" s="1082" t="str">
        <f t="shared" si="0"/>
        <v>Thursday</v>
      </c>
      <c r="G21" s="98"/>
    </row>
    <row r="22" spans="1:7">
      <c r="A22" s="105" t="s">
        <v>297</v>
      </c>
      <c r="B22" s="1083">
        <f t="shared" si="0"/>
        <v>37073</v>
      </c>
      <c r="C22" s="1083">
        <f t="shared" si="0"/>
        <v>37074</v>
      </c>
      <c r="D22" s="1083">
        <f t="shared" si="0"/>
        <v>37075</v>
      </c>
      <c r="E22" s="1083">
        <f t="shared" si="0"/>
        <v>37076</v>
      </c>
      <c r="F22" s="1084">
        <f t="shared" si="0"/>
        <v>37077</v>
      </c>
      <c r="G22" s="98"/>
    </row>
    <row r="23" spans="1:7">
      <c r="A23" s="98" t="s">
        <v>298</v>
      </c>
      <c r="B23" s="1077">
        <f>NSG_Supplies!Q8/1000+NSG_Supplies!F8/1000-NSG_Requirements!H8/1000</f>
        <v>27.577000000000002</v>
      </c>
      <c r="C23" s="1077">
        <f>NSG_Supplies!Q9/1000+NSG_Supplies!F9/1000-NSG_Requirements!H9/1000</f>
        <v>27.577000000000002</v>
      </c>
      <c r="D23" s="1077">
        <f>NSG_Supplies!Q10/1000+NSG_Supplies!F10/1000-NSG_Requirements!H10/1000</f>
        <v>27.577000000000002</v>
      </c>
      <c r="E23" s="1077">
        <f>NSG_Supplies!Q12/1000+NSG_Supplies!F11/1000-NSG_Requirements!H11/1000</f>
        <v>27.577000000000002</v>
      </c>
      <c r="F23" s="1072">
        <f>NSG_Supplies!Q12/1000+NSG_Supplies!F12/1000-NSG_Requirements!H12/1000</f>
        <v>27.577000000000002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/>
      <c r="B1" s="796" t="s">
        <v>359</v>
      </c>
      <c r="C1" s="892">
        <f>Weather_Input!A6</f>
        <v>37073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NSG_Supplies!E7/1000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130</v>
      </c>
      <c r="I4" s="173">
        <f>AVERAGE(H4/1.025)</f>
        <v>126.82926829268294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12</v>
      </c>
      <c r="D5" s="433"/>
      <c r="E5" s="435">
        <f>AVERAGE(C5/24)</f>
        <v>0.5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5.416666666666667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10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157.154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124.89100000000001</v>
      </c>
      <c r="D11" s="778"/>
      <c r="E11" s="1056"/>
      <c r="F11" s="430" t="s">
        <v>356</v>
      </c>
      <c r="G11" s="442">
        <f>G8+G10</f>
        <v>167.154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124.89100000000001</v>
      </c>
      <c r="D14" s="433"/>
      <c r="E14" s="435">
        <f>AVERAGE(C14/24)</f>
        <v>5.2037916666666666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147.154</v>
      </c>
      <c r="H15" s="433" t="s">
        <v>9</v>
      </c>
      <c r="I15" s="435">
        <f>AVERAGE(G15/24)</f>
        <v>6.1314166666666665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PGL_Supplies!Q7/1000</f>
        <v>0</v>
      </c>
      <c r="D16" s="151">
        <f>PGL_Requirements!T8/1000</f>
        <v>0</v>
      </c>
      <c r="E16" s="158"/>
      <c r="F16" s="772" t="s">
        <v>537</v>
      </c>
      <c r="G16" s="443">
        <f>PGL_Requirements!G8/1000</f>
        <v>20</v>
      </c>
      <c r="H16" s="443" t="s">
        <v>9</v>
      </c>
      <c r="I16" s="435">
        <f>AVERAGE(G16/24)</f>
        <v>0.83333333333333337</v>
      </c>
    </row>
    <row r="17" spans="1:9" ht="15.75" customHeight="1" thickTop="1" thickBot="1">
      <c r="B17" s="430" t="s">
        <v>356</v>
      </c>
      <c r="C17" s="442">
        <f>SUM(C15:C16)-SUM(D15:D16)</f>
        <v>0.2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0.2</v>
      </c>
      <c r="D20" s="436" t="s">
        <v>9</v>
      </c>
      <c r="E20" s="435">
        <f>AVERAGE(C20/24)</f>
        <v>8.3333333333333332E-3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2.5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0.5</v>
      </c>
      <c r="H25" s="425"/>
      <c r="I25" s="889">
        <f>AVERAGE(G25/24)</f>
        <v>2.0833333333333332E-2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37073</v>
      </c>
      <c r="I1" s="914"/>
      <c r="J1" s="916"/>
      <c r="K1" s="916"/>
    </row>
    <row r="2" spans="1:22" ht="16.5" customHeight="1">
      <c r="A2" s="934" t="s">
        <v>641</v>
      </c>
      <c r="C2" s="982">
        <v>267</v>
      </c>
      <c r="F2" s="983">
        <v>273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12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27.577000000000002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0.2</v>
      </c>
      <c r="B11" s="987"/>
      <c r="H11" s="936">
        <f>NSG_Supplies!T8/1000</f>
        <v>0</v>
      </c>
      <c r="K11" s="917" t="s">
        <v>646</v>
      </c>
      <c r="L11" s="942">
        <f>SUM(K4+K17+K19+H11+H9-L9)</f>
        <v>5.5769999999999982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124.89100000000001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275</v>
      </c>
      <c r="F15" s="988">
        <v>275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595</v>
      </c>
      <c r="D18" s="990"/>
      <c r="E18" s="990"/>
      <c r="F18" s="983">
        <v>795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147.154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0.5</v>
      </c>
      <c r="B26" s="916"/>
      <c r="C26" s="917"/>
      <c r="D26" s="917"/>
      <c r="F26" s="917"/>
      <c r="G26" s="992">
        <v>4.5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138.745</v>
      </c>
      <c r="L28" s="917" t="s">
        <v>689</v>
      </c>
      <c r="M28" s="942">
        <f>SUM(J2+K17+K19+H11+H9-M26)</f>
        <v>5.5769999999999982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37072</v>
      </c>
      <c r="G29" s="936">
        <f>PGL_Requirements!G7/1000</f>
        <v>40</v>
      </c>
      <c r="H29" s="915"/>
      <c r="J29" s="917" t="s">
        <v>649</v>
      </c>
      <c r="K29" s="936">
        <f>PGL_Supplies!AB8/1000+PGL_Supplies!K8/1000-PGL_Requirements!N8/1000</f>
        <v>43.956000000000003</v>
      </c>
    </row>
    <row r="30" spans="1:17" ht="10.5" customHeight="1">
      <c r="A30" s="919"/>
      <c r="B30" s="936"/>
      <c r="C30" s="917"/>
      <c r="D30" s="936"/>
      <c r="F30" s="1041">
        <f>PGL_Requirements!A8</f>
        <v>37073</v>
      </c>
      <c r="G30" s="936">
        <f>PGL_Requirements!G8/1000</f>
        <v>20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-12.298999999999978</v>
      </c>
    </row>
    <row r="32" spans="1:17">
      <c r="A32" s="936">
        <f>PGL_Supplies!G8/1000</f>
        <v>1</v>
      </c>
      <c r="G32" s="936">
        <f>PGL_Requirements!O8/1000</f>
        <v>130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599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288.745</v>
      </c>
      <c r="B40" s="930"/>
      <c r="C40" s="929"/>
      <c r="D40" s="930"/>
      <c r="E40" s="930"/>
      <c r="F40" s="998"/>
      <c r="G40" s="998">
        <f>SUM(G30:G35)</f>
        <v>150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138.745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274</v>
      </c>
      <c r="E45" s="1003"/>
      <c r="F45" s="1004">
        <v>6.7000000000000004E-2</v>
      </c>
      <c r="G45" s="1005">
        <f>(C45-D45)*F45</f>
        <v>11.792000000000002</v>
      </c>
      <c r="H45" s="1005">
        <f>(D45-B45)*F45</f>
        <v>-6.7000000000000004E-2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271</v>
      </c>
      <c r="E47" s="1003"/>
      <c r="F47" s="1004">
        <v>0.14099999999999999</v>
      </c>
      <c r="G47" s="1005">
        <f>(C47-D47)*F47</f>
        <v>25.238999999999997</v>
      </c>
      <c r="H47" s="1005">
        <f>(D47-B47)*F47</f>
        <v>-0.56399999999999995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597</v>
      </c>
      <c r="E48" s="1003"/>
      <c r="F48" s="1004">
        <v>0.161</v>
      </c>
      <c r="G48" s="1005">
        <f>(C48-D48)*F48</f>
        <v>24.632999999999999</v>
      </c>
      <c r="H48" s="1005">
        <f>(D48-B48)*F48</f>
        <v>50.231999999999999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61.664000000000001</v>
      </c>
      <c r="H49" s="1005">
        <f>SUM(H45:H48)</f>
        <v>49.600999999999999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37072</v>
      </c>
      <c r="B5" s="11">
        <v>88</v>
      </c>
      <c r="C5" s="49">
        <v>65</v>
      </c>
      <c r="D5" s="49">
        <v>10</v>
      </c>
      <c r="E5" s="11" t="s">
        <v>774</v>
      </c>
      <c r="F5" s="11">
        <v>88</v>
      </c>
      <c r="G5" s="11">
        <v>6700</v>
      </c>
      <c r="H5" s="11">
        <v>0</v>
      </c>
      <c r="I5" s="894" t="s">
        <v>810</v>
      </c>
      <c r="J5" s="894" t="s">
        <v>9</v>
      </c>
      <c r="K5" s="11">
        <v>1</v>
      </c>
      <c r="L5" s="11">
        <v>1</v>
      </c>
      <c r="N5" s="15" t="str">
        <f>I5&amp;" "&amp;I5</f>
        <v>CHANCE OF A T-STORM. HIGH IN THE MIDDLE 80S. CHANCE OF A T-STORM. HIGH IN THE MIDDLE 80S.</v>
      </c>
      <c r="AE5" s="15">
        <v>1</v>
      </c>
      <c r="AH5" s="15" t="s">
        <v>32</v>
      </c>
    </row>
    <row r="6" spans="1:34" ht="16.5" customHeight="1">
      <c r="A6" s="86">
        <f>A5+1</f>
        <v>37073</v>
      </c>
      <c r="B6" s="11">
        <v>72</v>
      </c>
      <c r="C6" s="49">
        <v>49</v>
      </c>
      <c r="D6" s="49">
        <v>15</v>
      </c>
      <c r="E6" s="11" t="s">
        <v>9</v>
      </c>
      <c r="F6" s="11" t="s">
        <v>9</v>
      </c>
      <c r="G6" s="11"/>
      <c r="H6" s="11" t="s">
        <v>9</v>
      </c>
      <c r="I6" s="894" t="s">
        <v>811</v>
      </c>
      <c r="J6" s="894" t="s">
        <v>9</v>
      </c>
      <c r="K6" s="11">
        <v>1</v>
      </c>
      <c r="L6" s="11" t="s">
        <v>590</v>
      </c>
      <c r="N6" s="15" t="str">
        <f>I6&amp;" "&amp;J6</f>
        <v xml:space="preserve">CHANCE OF SHOWERS AND T-STORMS. HIGH IN THE 80S.. LOW IN THE MIDDLE 60S  </v>
      </c>
      <c r="AE6" s="15">
        <v>1</v>
      </c>
      <c r="AH6" s="15" t="s">
        <v>33</v>
      </c>
    </row>
    <row r="7" spans="1:34" ht="16.5" customHeight="1">
      <c r="A7" s="86">
        <f>A6+1</f>
        <v>37074</v>
      </c>
      <c r="B7" s="11">
        <v>72</v>
      </c>
      <c r="C7" s="49">
        <v>57</v>
      </c>
      <c r="D7" s="49">
        <v>12</v>
      </c>
      <c r="E7" s="11" t="s">
        <v>9</v>
      </c>
      <c r="F7" s="11" t="s">
        <v>9</v>
      </c>
      <c r="G7" s="11"/>
      <c r="H7" s="11" t="s">
        <v>9</v>
      </c>
      <c r="I7" s="894" t="s">
        <v>812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PARTLY CLOUDY. HIGH IN THE MIDDLE 80S.. LOW IN THE LOWER 60S.  </v>
      </c>
    </row>
    <row r="8" spans="1:34" ht="16.5" customHeight="1">
      <c r="A8" s="86">
        <f>A7+1</f>
        <v>37075</v>
      </c>
      <c r="B8" s="11">
        <v>78</v>
      </c>
      <c r="C8" s="49">
        <v>59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94" t="s">
        <v>812</v>
      </c>
      <c r="J8" s="894" t="s">
        <v>9</v>
      </c>
      <c r="K8" s="11">
        <v>6</v>
      </c>
      <c r="L8" s="11"/>
      <c r="N8" s="15" t="str">
        <f>I8&amp;" "&amp;J8</f>
        <v xml:space="preserve">PARTLY CLOUDY. HIGH IN THE MIDDLE 80S.. LOW IN THE LOWER 60S.  </v>
      </c>
    </row>
    <row r="9" spans="1:34" ht="16.5" customHeight="1">
      <c r="A9" s="86">
        <f>A8+1</f>
        <v>37076</v>
      </c>
      <c r="B9" s="11">
        <v>74</v>
      </c>
      <c r="C9" s="49">
        <v>53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94" t="s">
        <v>812</v>
      </c>
      <c r="J9" s="894" t="s">
        <v>9</v>
      </c>
      <c r="K9" s="11">
        <v>6</v>
      </c>
      <c r="L9" s="11">
        <v>0</v>
      </c>
      <c r="M9" s="87"/>
      <c r="N9" s="15" t="str">
        <f>I9&amp;" "&amp;J9</f>
        <v xml:space="preserve">PARTLY CLOUDY. HIGH IN THE MIDDLE 80S.. LOW IN THE LOWER 60S.  </v>
      </c>
    </row>
    <row r="10" spans="1:34" ht="16.5" customHeight="1">
      <c r="A10" s="86">
        <f>A9+1</f>
        <v>37077</v>
      </c>
      <c r="B10" s="11">
        <v>74</v>
      </c>
      <c r="C10" s="49">
        <v>53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94" t="s">
        <v>812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PARTLY CLOUDY. HIGH IN THE MIDDLE 80S.. LOW IN THE LOWER 60S.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4.2789999999999999</v>
      </c>
      <c r="C2" s="60"/>
      <c r="D2" s="118" t="s">
        <v>310</v>
      </c>
      <c r="E2" s="421">
        <f>Weather_Input!A5</f>
        <v>37072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95.991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4.2789999999999999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23.584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128.70699999999999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-94.918000000000006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24.398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177.76199999999997</v>
      </c>
      <c r="C18" s="166"/>
      <c r="D18" s="176" t="s">
        <v>554</v>
      </c>
      <c r="E18" s="175">
        <f>SUM(E5:E17)</f>
        <v>4.2789999999999999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93.063000000000002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1.4384999999999999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5.7174999999999994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93.063000000000002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1.2529999999999999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1.2529999999999999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PGL_Requirements!N7/1000</f>
        <v>3.76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3.7709999999999999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2.5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22.922999999999998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PGL_Requirements!O7/1000</f>
        <v>105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1.6719999999999999</v>
      </c>
      <c r="C39" s="63"/>
      <c r="D39" s="209" t="s">
        <v>210</v>
      </c>
      <c r="E39" s="208">
        <f>SUM(E22:E33)-SUM(F23:F38)-E29</f>
        <v>22.933999999999997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157.04</v>
      </c>
      <c r="F41" s="168"/>
      <c r="H41"/>
      <c r="I41"/>
      <c r="J41"/>
      <c r="K41"/>
      <c r="L41"/>
      <c r="M41"/>
    </row>
    <row r="42" spans="1:13" ht="15">
      <c r="A42" s="1" t="s">
        <v>794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1.4384999999999999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0.69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88</v>
      </c>
      <c r="C45" s="182"/>
      <c r="D45" s="60" t="s">
        <v>587</v>
      </c>
      <c r="E45" s="795">
        <f>PGL_Supplies!S7/1000</f>
        <v>15</v>
      </c>
      <c r="F45" s="168"/>
    </row>
    <row r="46" spans="1:13" ht="15">
      <c r="A46" s="169" t="s">
        <v>580</v>
      </c>
      <c r="B46" s="234">
        <f>Weather_Input!C5</f>
        <v>65</v>
      </c>
      <c r="C46" s="159"/>
      <c r="D46" s="72" t="s">
        <v>792</v>
      </c>
      <c r="E46" s="60"/>
      <c r="F46" s="173">
        <f>PGL_Deliveries!BE5/1000</f>
        <v>29.31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793</v>
      </c>
      <c r="E47" s="67"/>
      <c r="F47" s="1246">
        <f>PGL_Deliveries!BF5/1000</f>
        <v>0</v>
      </c>
    </row>
    <row r="48" spans="1:13" ht="15">
      <c r="A48" s="169" t="s">
        <v>582</v>
      </c>
      <c r="B48" s="223">
        <f>Weather_Input!D5</f>
        <v>10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1.0329999999999999</v>
      </c>
      <c r="C49" s="159"/>
      <c r="D49" s="60" t="s">
        <v>727</v>
      </c>
      <c r="E49" s="151">
        <f>PGL_Deliveries!AJ5/1000</f>
        <v>23.584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37072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11.82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11.914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32.158999999999999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0.26400000000000001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31.895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37072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37071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98616</v>
      </c>
      <c r="O6" s="201">
        <v>0</v>
      </c>
      <c r="P6" s="201">
        <v>53004260</v>
      </c>
      <c r="Q6" s="201">
        <v>15045098</v>
      </c>
      <c r="R6" s="201">
        <v>37959162</v>
      </c>
      <c r="S6" s="201">
        <v>0</v>
      </c>
    </row>
    <row r="7" spans="1:19">
      <c r="A7" s="4">
        <f>B1</f>
        <v>37072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95563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53099823</v>
      </c>
      <c r="Q7">
        <f>IF(O7&gt;0,Q6+O7,Q6)</f>
        <v>15045098</v>
      </c>
      <c r="R7">
        <f>IF(P7&gt;Q7,P7-Q7,0)</f>
        <v>38054725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796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795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797</v>
      </c>
      <c r="BI4" s="1" t="s">
        <v>798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37072</v>
      </c>
      <c r="B5" s="1">
        <f>(Weather_Input!B5+Weather_Input!C5)/2</f>
        <v>76.5</v>
      </c>
      <c r="C5" s="895">
        <v>170000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4279</v>
      </c>
      <c r="T5" s="1085">
        <v>0</v>
      </c>
      <c r="U5" s="895">
        <f>SUM(D5:S5)-T5</f>
        <v>4279</v>
      </c>
      <c r="V5" s="895">
        <v>95991</v>
      </c>
      <c r="W5" s="11">
        <v>0</v>
      </c>
      <c r="X5" s="11">
        <v>0</v>
      </c>
      <c r="Y5" s="11">
        <v>0</v>
      </c>
      <c r="Z5" s="11">
        <v>134827</v>
      </c>
      <c r="AA5" s="11">
        <v>23190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23584</v>
      </c>
      <c r="AK5" s="11">
        <v>0</v>
      </c>
      <c r="AL5" s="11">
        <v>0</v>
      </c>
      <c r="AM5" s="1">
        <v>1033</v>
      </c>
      <c r="AN5" s="1"/>
      <c r="AO5" s="1">
        <v>0</v>
      </c>
      <c r="AP5" s="1">
        <v>24398</v>
      </c>
      <c r="AQ5" s="1">
        <v>0</v>
      </c>
      <c r="AR5" s="1">
        <v>3771</v>
      </c>
      <c r="AS5" s="1">
        <v>0</v>
      </c>
      <c r="AT5" s="1">
        <v>1672</v>
      </c>
      <c r="AU5" s="1">
        <v>95900</v>
      </c>
      <c r="AV5" s="1">
        <v>690</v>
      </c>
      <c r="AW5" s="622">
        <f>AU5*0.015</f>
        <v>1438.5</v>
      </c>
      <c r="AX5" s="1">
        <v>0</v>
      </c>
      <c r="AY5" s="1"/>
      <c r="AZ5" s="1">
        <v>4959</v>
      </c>
      <c r="BA5" s="1">
        <v>10089</v>
      </c>
      <c r="BB5" s="1">
        <v>0</v>
      </c>
      <c r="BC5" s="1">
        <v>0</v>
      </c>
      <c r="BD5" s="1"/>
      <c r="BE5" s="1">
        <v>29310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37073</v>
      </c>
      <c r="B6" s="913">
        <f>(Weather_Input!B6+Weather_Input!C6)/2</f>
        <v>60.5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37074</v>
      </c>
      <c r="B7" s="913">
        <f>(Weather_Input!B7+Weather_Input!C7)/2</f>
        <v>64.5</v>
      </c>
      <c r="C7" s="895">
        <v>210000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37075</v>
      </c>
      <c r="B8" s="913">
        <f>(Weather_Input!B8+Weather_Input!C8)/2</f>
        <v>68.5</v>
      </c>
      <c r="C8" s="895">
        <v>205000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37076</v>
      </c>
      <c r="B9" s="913">
        <f>(Weather_Input!B9+Weather_Input!C9)/2</f>
        <v>63.5</v>
      </c>
      <c r="C9" s="895">
        <v>200000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37077</v>
      </c>
      <c r="B10" s="913">
        <f>(Weather_Input!B10+Weather_Input!C10)/2</f>
        <v>63.5</v>
      </c>
      <c r="C10" s="895">
        <v>210000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37072</v>
      </c>
      <c r="B5" s="1">
        <f>(Weather_Input!B5+Weather_Input!C5)/2</f>
        <v>76.5</v>
      </c>
      <c r="C5" s="895">
        <v>30500</v>
      </c>
      <c r="D5" s="895">
        <v>0</v>
      </c>
      <c r="E5" s="895">
        <v>0</v>
      </c>
      <c r="F5" s="895">
        <v>0</v>
      </c>
      <c r="G5" s="895">
        <v>0</v>
      </c>
      <c r="H5" s="903">
        <f>SUM(D5:G5)</f>
        <v>0</v>
      </c>
      <c r="I5" s="1">
        <v>1003</v>
      </c>
      <c r="J5" s="1" t="s">
        <v>9</v>
      </c>
      <c r="K5" s="1">
        <v>264</v>
      </c>
      <c r="L5" s="1">
        <v>0</v>
      </c>
      <c r="M5" s="1">
        <v>11820</v>
      </c>
      <c r="N5" s="1">
        <v>0</v>
      </c>
    </row>
    <row r="6" spans="1:14">
      <c r="A6" s="12">
        <f>A5+1</f>
        <v>37073</v>
      </c>
      <c r="B6" s="913">
        <f>(Weather_Input!B6+Weather_Input!C6)/2</f>
        <v>60.5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37074</v>
      </c>
      <c r="B7" s="913">
        <f>(Weather_Input!B7+Weather_Input!C7)/2</f>
        <v>64.5</v>
      </c>
      <c r="C7" s="895">
        <v>36000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37075</v>
      </c>
      <c r="B8" s="913">
        <f>(Weather_Input!B8+Weather_Input!C8)/2</f>
        <v>68.5</v>
      </c>
      <c r="C8" s="895">
        <v>35000</v>
      </c>
      <c r="D8" s="898" t="s">
        <v>9</v>
      </c>
      <c r="E8" s="898"/>
      <c r="F8" s="898"/>
      <c r="G8" s="898"/>
      <c r="H8" s="15"/>
    </row>
    <row r="9" spans="1:14">
      <c r="A9" s="12">
        <f>A8+1</f>
        <v>37076</v>
      </c>
      <c r="B9" s="913">
        <f>(Weather_Input!B9+Weather_Input!C9)/2</f>
        <v>63.5</v>
      </c>
      <c r="C9" s="895">
        <v>34000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37077</v>
      </c>
      <c r="B10" s="913">
        <f>(Weather_Input!B10+Weather_Input!C10)/2</f>
        <v>63.5</v>
      </c>
      <c r="C10" s="895">
        <v>35000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786</v>
      </c>
      <c r="M4" s="3" t="s">
        <v>805</v>
      </c>
      <c r="N4" s="58"/>
      <c r="O4" s="65"/>
      <c r="P4" s="65"/>
      <c r="T4" s="1238" t="s">
        <v>799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784</v>
      </c>
      <c r="H5" s="107" t="s">
        <v>675</v>
      </c>
      <c r="I5" s="54" t="s">
        <v>695</v>
      </c>
      <c r="J5" s="3" t="s">
        <v>732</v>
      </c>
      <c r="L5" s="3" t="s">
        <v>787</v>
      </c>
      <c r="M5" s="56" t="s">
        <v>806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785</v>
      </c>
      <c r="H6" s="1011" t="s">
        <v>676</v>
      </c>
      <c r="I6" s="54" t="s">
        <v>702</v>
      </c>
      <c r="J6" s="54" t="s">
        <v>731</v>
      </c>
      <c r="K6" s="54" t="s">
        <v>779</v>
      </c>
      <c r="L6" s="54" t="s">
        <v>67</v>
      </c>
      <c r="M6" s="54" t="s">
        <v>804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781</v>
      </c>
      <c r="U6" s="68" t="s">
        <v>800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37072</v>
      </c>
      <c r="B7" s="904">
        <v>0</v>
      </c>
      <c r="C7" s="620">
        <v>0</v>
      </c>
      <c r="D7" s="620">
        <v>0</v>
      </c>
      <c r="E7" s="904">
        <v>2500</v>
      </c>
      <c r="F7" s="904">
        <v>2300</v>
      </c>
      <c r="G7" s="906">
        <v>40000</v>
      </c>
      <c r="H7" s="619">
        <v>0</v>
      </c>
      <c r="I7" s="619">
        <v>0</v>
      </c>
      <c r="J7" s="620">
        <v>0</v>
      </c>
      <c r="K7" s="619">
        <v>0</v>
      </c>
      <c r="L7" s="620">
        <v>0</v>
      </c>
      <c r="M7" s="620">
        <v>0</v>
      </c>
      <c r="N7" s="621">
        <v>3760</v>
      </c>
      <c r="O7" s="620">
        <v>105000</v>
      </c>
      <c r="P7" s="622">
        <f t="shared" ref="P7:P12" si="0">O7*0.015</f>
        <v>1575</v>
      </c>
      <c r="Q7" s="620">
        <v>690</v>
      </c>
      <c r="R7" s="620">
        <v>0</v>
      </c>
      <c r="S7" s="620">
        <v>0</v>
      </c>
      <c r="T7" s="619">
        <v>1253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37073</v>
      </c>
      <c r="B8" s="904">
        <v>0</v>
      </c>
      <c r="C8" s="620">
        <v>0</v>
      </c>
      <c r="D8" s="620">
        <v>0</v>
      </c>
      <c r="E8" s="904">
        <v>2500</v>
      </c>
      <c r="F8" s="904">
        <v>0</v>
      </c>
      <c r="G8" s="906">
        <v>20000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130000</v>
      </c>
      <c r="P8" s="622">
        <f t="shared" si="0"/>
        <v>1950</v>
      </c>
      <c r="Q8" s="620">
        <v>690</v>
      </c>
      <c r="R8" s="620">
        <v>0</v>
      </c>
      <c r="S8" s="620">
        <v>0</v>
      </c>
      <c r="T8" s="619">
        <v>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37074</v>
      </c>
      <c r="B9" s="904">
        <v>0</v>
      </c>
      <c r="C9" s="620">
        <v>0</v>
      </c>
      <c r="D9" s="620">
        <v>0</v>
      </c>
      <c r="E9" s="904">
        <v>2500</v>
      </c>
      <c r="F9" s="904">
        <v>0</v>
      </c>
      <c r="G9" s="906">
        <v>20000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130000</v>
      </c>
      <c r="P9" s="622">
        <f t="shared" si="0"/>
        <v>1950</v>
      </c>
      <c r="Q9" s="620">
        <v>690</v>
      </c>
      <c r="R9" s="620">
        <v>0</v>
      </c>
      <c r="S9" s="620">
        <v>0</v>
      </c>
      <c r="T9" s="619">
        <v>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37075</v>
      </c>
      <c r="B10" s="904">
        <v>0</v>
      </c>
      <c r="C10" s="620">
        <v>0</v>
      </c>
      <c r="D10" s="620">
        <v>0</v>
      </c>
      <c r="E10" s="904">
        <v>2500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130000</v>
      </c>
      <c r="P10" s="622">
        <f t="shared" si="0"/>
        <v>1950</v>
      </c>
      <c r="Q10" s="620">
        <v>690</v>
      </c>
      <c r="R10" s="620">
        <v>0</v>
      </c>
      <c r="S10" s="620">
        <v>0</v>
      </c>
      <c r="T10" s="619">
        <v>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37076</v>
      </c>
      <c r="B11" s="904">
        <v>0</v>
      </c>
      <c r="C11" s="620">
        <v>0</v>
      </c>
      <c r="D11" s="620">
        <v>0</v>
      </c>
      <c r="E11" s="904">
        <v>2500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130000</v>
      </c>
      <c r="P11" s="622">
        <f t="shared" si="0"/>
        <v>1950</v>
      </c>
      <c r="Q11" s="620">
        <v>690</v>
      </c>
      <c r="R11" s="620">
        <v>0</v>
      </c>
      <c r="S11" s="620">
        <v>0</v>
      </c>
      <c r="T11" s="619">
        <v>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37077</v>
      </c>
      <c r="B12" s="904">
        <v>0</v>
      </c>
      <c r="C12" s="620">
        <v>0</v>
      </c>
      <c r="D12" s="620">
        <v>0</v>
      </c>
      <c r="E12" s="904">
        <v>2500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130000</v>
      </c>
      <c r="P12" s="622">
        <f t="shared" si="0"/>
        <v>1950</v>
      </c>
      <c r="Q12" s="620">
        <v>690</v>
      </c>
      <c r="R12" s="620">
        <v>0</v>
      </c>
      <c r="S12" s="620">
        <v>0</v>
      </c>
      <c r="T12" s="619">
        <v>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805</v>
      </c>
      <c r="Q4" s="1238" t="s">
        <v>783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803</v>
      </c>
      <c r="N5" s="3" t="s">
        <v>9</v>
      </c>
      <c r="O5" s="3" t="s">
        <v>9</v>
      </c>
      <c r="P5" s="3" t="s">
        <v>6</v>
      </c>
      <c r="Q5" s="107" t="s">
        <v>781</v>
      </c>
      <c r="R5" s="1239" t="s">
        <v>782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804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</row>
    <row r="7" spans="1:36">
      <c r="A7" s="819">
        <f>Weather_Input!A5</f>
        <v>37072</v>
      </c>
      <c r="B7" s="622">
        <v>0</v>
      </c>
      <c r="C7" s="622">
        <v>0</v>
      </c>
      <c r="D7" s="622">
        <v>6800</v>
      </c>
      <c r="E7" s="622">
        <v>0</v>
      </c>
      <c r="F7" s="904">
        <v>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15000</v>
      </c>
      <c r="T7" s="620">
        <v>0</v>
      </c>
      <c r="U7" s="621">
        <v>124010</v>
      </c>
      <c r="V7" s="621">
        <v>0</v>
      </c>
      <c r="W7" s="619">
        <v>0</v>
      </c>
      <c r="X7" s="907">
        <v>93063</v>
      </c>
      <c r="Y7" s="621">
        <v>1253</v>
      </c>
      <c r="Z7" s="1">
        <v>0</v>
      </c>
      <c r="AA7" s="619">
        <v>157040</v>
      </c>
      <c r="AB7" s="619">
        <v>22923</v>
      </c>
      <c r="AC7" s="619">
        <v>2500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37073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10000</v>
      </c>
      <c r="T8" s="620">
        <v>0</v>
      </c>
      <c r="U8" s="621">
        <v>140703</v>
      </c>
      <c r="V8" s="621">
        <v>0</v>
      </c>
      <c r="W8" s="619">
        <v>0</v>
      </c>
      <c r="X8" s="907">
        <v>124891</v>
      </c>
      <c r="Y8" s="621">
        <v>200</v>
      </c>
      <c r="Z8" s="1">
        <v>0</v>
      </c>
      <c r="AA8" s="619">
        <v>157154</v>
      </c>
      <c r="AB8" s="619">
        <v>43956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37074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10000</v>
      </c>
      <c r="T9" s="620">
        <v>0</v>
      </c>
      <c r="U9" s="621">
        <v>140703</v>
      </c>
      <c r="V9" s="621">
        <v>0</v>
      </c>
      <c r="W9" s="619">
        <v>0</v>
      </c>
      <c r="X9" s="907">
        <v>124891</v>
      </c>
      <c r="Y9" s="621">
        <v>200</v>
      </c>
      <c r="Z9" s="1">
        <v>0</v>
      </c>
      <c r="AA9" s="619">
        <v>157154</v>
      </c>
      <c r="AB9" s="619">
        <v>43956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37075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140703</v>
      </c>
      <c r="V10" s="621">
        <v>0</v>
      </c>
      <c r="W10" s="619">
        <v>0</v>
      </c>
      <c r="X10" s="907">
        <v>118891</v>
      </c>
      <c r="Y10" s="621">
        <v>200</v>
      </c>
      <c r="Z10" s="1">
        <v>0</v>
      </c>
      <c r="AA10" s="619">
        <v>157154</v>
      </c>
      <c r="AB10" s="619">
        <v>43956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37076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140703</v>
      </c>
      <c r="V11" s="621">
        <v>0</v>
      </c>
      <c r="W11" s="619">
        <v>0</v>
      </c>
      <c r="X11" s="907">
        <v>118891</v>
      </c>
      <c r="Y11" s="621">
        <v>200</v>
      </c>
      <c r="Z11" s="1">
        <v>0</v>
      </c>
      <c r="AA11" s="619">
        <v>157154</v>
      </c>
      <c r="AB11" s="619">
        <v>43956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37077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140703</v>
      </c>
      <c r="V12" s="621">
        <v>0</v>
      </c>
      <c r="W12" s="619">
        <v>0</v>
      </c>
      <c r="X12" s="907">
        <v>118891</v>
      </c>
      <c r="Y12" s="621">
        <v>200</v>
      </c>
      <c r="Z12" s="1">
        <v>0</v>
      </c>
      <c r="AA12" s="619">
        <v>157154</v>
      </c>
      <c r="AB12" s="619">
        <v>43956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37072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1660</v>
      </c>
      <c r="I7" s="905">
        <v>7197</v>
      </c>
      <c r="J7" s="905">
        <v>11914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37072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37073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37073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37074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37074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37075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37075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37076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37076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37077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37077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37072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11914</v>
      </c>
      <c r="Q7" s="622">
        <v>32159</v>
      </c>
      <c r="R7" s="622">
        <v>20285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37073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27577</v>
      </c>
      <c r="R8" s="622">
        <v>16244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37074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27577</v>
      </c>
      <c r="R9" s="622">
        <v>16244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37075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27577</v>
      </c>
      <c r="R10" s="622">
        <v>16244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37076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27577</v>
      </c>
      <c r="R11" s="622">
        <v>16244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37077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27577</v>
      </c>
      <c r="R12" s="622">
        <v>16244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SAT</v>
      </c>
      <c r="I1" s="824">
        <f>D4</f>
        <v>37072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SAT</v>
      </c>
      <c r="E3" s="829" t="str">
        <f t="shared" si="0"/>
        <v>SUN</v>
      </c>
      <c r="F3" s="829" t="str">
        <f t="shared" si="0"/>
        <v>MON</v>
      </c>
      <c r="G3" s="829" t="str">
        <f t="shared" si="0"/>
        <v>TUE</v>
      </c>
      <c r="H3" s="829" t="str">
        <f t="shared" si="0"/>
        <v>WED</v>
      </c>
      <c r="I3" s="830" t="str">
        <f t="shared" si="0"/>
        <v>THU</v>
      </c>
    </row>
    <row r="4" spans="1:256" ht="18.95" customHeight="1" thickBot="1">
      <c r="A4" s="831"/>
      <c r="B4" s="832"/>
      <c r="C4" s="832"/>
      <c r="D4" s="461">
        <f>Weather_Input!A5</f>
        <v>37072</v>
      </c>
      <c r="E4" s="461">
        <f>Weather_Input!A6</f>
        <v>37073</v>
      </c>
      <c r="F4" s="461">
        <f>Weather_Input!A7</f>
        <v>37074</v>
      </c>
      <c r="G4" s="461">
        <f>Weather_Input!A8</f>
        <v>37075</v>
      </c>
      <c r="H4" s="461">
        <f>Weather_Input!A9</f>
        <v>37076</v>
      </c>
      <c r="I4" s="462">
        <f>Weather_Input!A10</f>
        <v>37077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88/65/77</v>
      </c>
      <c r="E5" s="463" t="str">
        <f>TEXT(Weather_Input!B6,"0")&amp;"/"&amp;TEXT(Weather_Input!C6,"0") &amp; "/" &amp; TEXT((Weather_Input!B6+Weather_Input!C6)/2,"0")</f>
        <v>72/49/61</v>
      </c>
      <c r="F5" s="463" t="str">
        <f>TEXT(Weather_Input!B7,"0")&amp;"/"&amp;TEXT(Weather_Input!C7,"0") &amp; "/" &amp; TEXT((Weather_Input!B7+Weather_Input!C7)/2,"0")</f>
        <v>72/57/65</v>
      </c>
      <c r="G5" s="463" t="str">
        <f>TEXT(Weather_Input!B8,"0")&amp;"/"&amp;TEXT(Weather_Input!C8,"0") &amp; "/" &amp; TEXT((Weather_Input!B8+Weather_Input!C8)/2,"0")</f>
        <v>78/59/69</v>
      </c>
      <c r="H5" s="463" t="str">
        <f>TEXT(Weather_Input!B9,"0")&amp;"/"&amp;TEXT(Weather_Input!C9,"0") &amp; "/" &amp; TEXT((Weather_Input!B9+Weather_Input!C9)/2,"0")</f>
        <v>74/53/64</v>
      </c>
      <c r="I5" s="464" t="str">
        <f>TEXT(Weather_Input!B10,"0")&amp;"/"&amp;TEXT(Weather_Input!C10,"0") &amp; "/" &amp; TEXT((Weather_Input!B10+Weather_Input!C10)/2,"0")</f>
        <v>74/53/64</v>
      </c>
    </row>
    <row r="6" spans="1:256" ht="18.95" customHeight="1">
      <c r="A6" s="838" t="s">
        <v>134</v>
      </c>
      <c r="B6" s="826"/>
      <c r="C6" s="826"/>
      <c r="D6" s="463">
        <f>PGL_Deliveries!C5/1000</f>
        <v>170</v>
      </c>
      <c r="E6" s="463">
        <f>PGL_Deliveries!C6/1000</f>
        <v>195</v>
      </c>
      <c r="F6" s="463">
        <f>PGL_Deliveries!C7/1000</f>
        <v>210</v>
      </c>
      <c r="G6" s="463">
        <f>PGL_Deliveries!C8/1000</f>
        <v>205</v>
      </c>
      <c r="H6" s="463">
        <f>PGL_Deliveries!C9/1000</f>
        <v>200</v>
      </c>
      <c r="I6" s="464">
        <f>PGL_Deliveries!C10/1000</f>
        <v>210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20</v>
      </c>
      <c r="E7" s="463">
        <f>PGL_Requirements!G8/1000*0.5</f>
        <v>10</v>
      </c>
      <c r="F7" s="463">
        <f>PGL_Requirements!G9/1000*0.5</f>
        <v>10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775</v>
      </c>
      <c r="B8" s="826"/>
      <c r="C8" s="826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776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791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105</v>
      </c>
      <c r="E11" s="463">
        <f>PGL_Requirements!O8/1000</f>
        <v>130</v>
      </c>
      <c r="F11" s="463">
        <f>PGL_Requirements!O9/1000</f>
        <v>130</v>
      </c>
      <c r="G11" s="463">
        <f>PGL_Requirements!O10/1000</f>
        <v>130</v>
      </c>
      <c r="H11" s="463">
        <f>PGL_Requirements!O11/1000</f>
        <v>130</v>
      </c>
      <c r="I11" s="464">
        <f>PGL_Requirements!O12/1000</f>
        <v>130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1.575</v>
      </c>
      <c r="E12" s="463">
        <f>PGL_Requirements!P8/1000</f>
        <v>1.95</v>
      </c>
      <c r="F12" s="463">
        <f>PGL_Requirements!P9/1000</f>
        <v>1.95</v>
      </c>
      <c r="G12" s="463">
        <f>PGL_Requirements!P10/1000</f>
        <v>1.95</v>
      </c>
      <c r="H12" s="463">
        <f>PGL_Requirements!P11/1000</f>
        <v>1.95</v>
      </c>
      <c r="I12" s="464">
        <f>PGL_Requirements!P12/1000</f>
        <v>1.95</v>
      </c>
    </row>
    <row r="13" spans="1:256" ht="18.95" customHeight="1">
      <c r="A13" s="835"/>
      <c r="C13" s="826" t="s">
        <v>690</v>
      </c>
      <c r="D13" s="463">
        <f>PGL_Requirements!Q7/1000</f>
        <v>0.69</v>
      </c>
      <c r="E13" s="463">
        <f>PGL_Requirements!Q8/1000</f>
        <v>0.69</v>
      </c>
      <c r="F13" s="463">
        <f>PGL_Requirements!Q9/1000</f>
        <v>0.69</v>
      </c>
      <c r="G13" s="463">
        <f>PGL_Requirements!Q10/1000</f>
        <v>0.69</v>
      </c>
      <c r="H13" s="463">
        <f>PGL_Requirements!Q11/1000</f>
        <v>0.69</v>
      </c>
      <c r="I13" s="464">
        <f>PGL_Requirements!Q12/1000</f>
        <v>0.69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778</v>
      </c>
      <c r="D15" s="463">
        <f>PGL_Requirements!T7/1000</f>
        <v>1.2529999999999999</v>
      </c>
      <c r="E15" s="463">
        <f>PGL_Requirements!T8/1000</f>
        <v>0</v>
      </c>
      <c r="F15" s="463">
        <f>PGL_Requirements!T9/1000</f>
        <v>0</v>
      </c>
      <c r="G15" s="463">
        <f>PGL_Requirements!T10/1000</f>
        <v>0</v>
      </c>
      <c r="H15" s="463">
        <f>PGL_Requirements!T11/1000</f>
        <v>0</v>
      </c>
      <c r="I15" s="464">
        <f>PGL_Requirements!T12/1000</f>
        <v>0</v>
      </c>
    </row>
    <row r="16" spans="1:256" ht="18.95" customHeight="1">
      <c r="A16" s="835"/>
      <c r="B16" s="826"/>
      <c r="C16" s="826" t="s">
        <v>780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3.76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801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788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2.2999999999999998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2.5</v>
      </c>
      <c r="E24" s="465">
        <f>PGL_Requirements!E8/1000</f>
        <v>2.5</v>
      </c>
      <c r="F24" s="465">
        <f>PGL_Requirements!E9/1000</f>
        <v>2.5</v>
      </c>
      <c r="G24" s="465">
        <f>PGL_Requirements!E10/1000</f>
        <v>2.5</v>
      </c>
      <c r="H24" s="465">
        <f>PGL_Requirements!E11/1000</f>
        <v>2.5</v>
      </c>
      <c r="I24" s="466">
        <f>PGL_Requirements!E12/1000</f>
        <v>2.5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307.07799999999997</v>
      </c>
      <c r="E25" s="467">
        <f t="shared" si="1"/>
        <v>340.14</v>
      </c>
      <c r="F25" s="467">
        <f t="shared" si="1"/>
        <v>355.14</v>
      </c>
      <c r="G25" s="467">
        <f t="shared" si="1"/>
        <v>340.14</v>
      </c>
      <c r="H25" s="467">
        <f t="shared" si="1"/>
        <v>335.14</v>
      </c>
      <c r="I25" s="1099">
        <f t="shared" si="1"/>
        <v>345.14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778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780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802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777</v>
      </c>
      <c r="B36" s="826" t="s">
        <v>394</v>
      </c>
      <c r="C36" s="826"/>
      <c r="D36" s="463">
        <f>PGL_Supplies!S7/1000*0.5</f>
        <v>7.5</v>
      </c>
      <c r="E36" s="463">
        <f>PGL_Supplies!S8/1000*0.5</f>
        <v>5</v>
      </c>
      <c r="F36" s="463">
        <f>PGL_Supplies!S9/1000*0.5</f>
        <v>5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93.063000000000002</v>
      </c>
      <c r="E37" s="463">
        <f>PGL_Supplies!X8/1000</f>
        <v>124.89100000000001</v>
      </c>
      <c r="F37" s="463">
        <f>PGL_Supplies!X9/1000</f>
        <v>124.89100000000001</v>
      </c>
      <c r="G37" s="463">
        <f>PGL_Supplies!X10/1000</f>
        <v>118.89100000000001</v>
      </c>
      <c r="H37" s="463">
        <f>PGL_Supplies!X11/1000</f>
        <v>118.89100000000001</v>
      </c>
      <c r="I37" s="464">
        <f>PGL_Supplies!X12/1000</f>
        <v>118.89100000000001</v>
      </c>
    </row>
    <row r="38" spans="1:10" ht="18.95" customHeight="1">
      <c r="A38" s="838"/>
      <c r="B38" s="826" t="s">
        <v>137</v>
      </c>
      <c r="C38" s="839"/>
      <c r="D38" s="463">
        <f>PGL_Supplies!Y7/1000</f>
        <v>1.2529999999999999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157.04</v>
      </c>
      <c r="E40" s="463">
        <f>PGL_Supplies!AA8/1000</f>
        <v>157.154</v>
      </c>
      <c r="F40" s="463">
        <f>PGL_Supplies!AA9/1000</f>
        <v>157.154</v>
      </c>
      <c r="G40" s="463">
        <f>PGL_Supplies!AA10/1000</f>
        <v>157.154</v>
      </c>
      <c r="H40" s="463">
        <f>PGL_Supplies!AA11/1000</f>
        <v>157.154</v>
      </c>
      <c r="I40" s="464">
        <f>PGL_Supplies!AA12/1000</f>
        <v>157.154</v>
      </c>
    </row>
    <row r="41" spans="1:10" ht="18.95" customHeight="1">
      <c r="A41" s="838"/>
      <c r="B41" s="826" t="s">
        <v>135</v>
      </c>
      <c r="C41" s="826"/>
      <c r="D41" s="463">
        <f>PGL_Supplies!AB7/1000</f>
        <v>22.922999999999998</v>
      </c>
      <c r="E41" s="463">
        <f>PGL_Supplies!AB8/1000</f>
        <v>43.956000000000003</v>
      </c>
      <c r="F41" s="463">
        <f>PGL_Supplies!AB9/1000</f>
        <v>43.956000000000003</v>
      </c>
      <c r="G41" s="463">
        <f>PGL_Supplies!AB10/1000</f>
        <v>43.956000000000003</v>
      </c>
      <c r="H41" s="463">
        <f>PGL_Supplies!AB11/1000</f>
        <v>43.956000000000003</v>
      </c>
      <c r="I41" s="464">
        <f>PGL_Supplies!AB12/1000</f>
        <v>43.956000000000003</v>
      </c>
    </row>
    <row r="42" spans="1:10" ht="18.95" customHeight="1">
      <c r="A42" s="838"/>
      <c r="B42" s="826" t="s">
        <v>136</v>
      </c>
      <c r="C42" s="826"/>
      <c r="D42" s="463">
        <f>PGL_Supplies!AC7/1000</f>
        <v>2.5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95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6.8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307.07900000000001</v>
      </c>
      <c r="E50" s="473">
        <f t="shared" si="2"/>
        <v>350.20100000000002</v>
      </c>
      <c r="F50" s="473">
        <f t="shared" si="2"/>
        <v>350.20100000000002</v>
      </c>
      <c r="G50" s="473">
        <f t="shared" si="2"/>
        <v>339.20100000000002</v>
      </c>
      <c r="H50" s="473">
        <f t="shared" si="2"/>
        <v>339.20100000000002</v>
      </c>
      <c r="I50" s="1101">
        <f t="shared" si="2"/>
        <v>339.20100000000002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1.0000000000331966E-3</v>
      </c>
      <c r="E51" s="474">
        <f t="shared" si="3"/>
        <v>10.061000000000035</v>
      </c>
      <c r="F51" s="474">
        <f t="shared" si="3"/>
        <v>0</v>
      </c>
      <c r="G51" s="474">
        <f t="shared" si="3"/>
        <v>0</v>
      </c>
      <c r="H51" s="474">
        <f t="shared" si="3"/>
        <v>4.0610000000000355</v>
      </c>
      <c r="I51" s="1102">
        <f t="shared" si="3"/>
        <v>0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4.9389999999999645</v>
      </c>
      <c r="G52" s="475">
        <f t="shared" si="4"/>
        <v>0.93899999999996453</v>
      </c>
      <c r="H52" s="475">
        <f t="shared" si="4"/>
        <v>0</v>
      </c>
      <c r="I52" s="1103">
        <f t="shared" si="4"/>
        <v>5.9389999999999645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124.01</v>
      </c>
      <c r="E53" s="1092">
        <f>PGL_Supplies!U8/1000</f>
        <v>140.703</v>
      </c>
      <c r="F53" s="1092">
        <f>PGL_Supplies!U9/1000</f>
        <v>140.703</v>
      </c>
      <c r="G53" s="1092">
        <f>PGL_Supplies!U10/1000</f>
        <v>140.703</v>
      </c>
      <c r="H53" s="1092">
        <f>PGL_Supplies!U11/1000</f>
        <v>140.703</v>
      </c>
      <c r="I53" s="1093">
        <f>PGL_Supplies!U12/1000</f>
        <v>140.703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2001-06-30T20:49:43Z</cp:lastPrinted>
  <dcterms:created xsi:type="dcterms:W3CDTF">1997-07-16T16:14:22Z</dcterms:created>
  <dcterms:modified xsi:type="dcterms:W3CDTF">2023-09-10T17:04:29Z</dcterms:modified>
</cp:coreProperties>
</file>