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BCF986-334C-4FE8-904A-FA1F498C454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<sst xmlns="http://schemas.openxmlformats.org/spreadsheetml/2006/main" count="2069" uniqueCount="815">
  <si>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</si>
  <si>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</si>
  <si>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</si>
  <si>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</si>
  <si>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</si>
  <si>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</si>
  <si>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</si>
  <si>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</si>
  <si>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</si>
  <si>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</si>
  <si>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</si>
  <si>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</si>
  <si>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</si>
  <si>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</si>
  <si>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</si>
  <si>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</si>
  <si>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</si>
  <si>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</si>
  <si>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</si>
  <si>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</si>
  <si>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</si>
  <si>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</si>
  <si>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</si>
  <si>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</si>
  <si>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</si>
  <si>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</si>
  <si>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</si>
  <si>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</si>
  <si>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</si>
  <si>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</si>
  <si>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</si>
  <si>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</si>
  <si>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</si>
  <si>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</si>
  <si>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</si>
  <si>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</si>
  <si>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</si>
  <si>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</si>
  <si>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</si>
  <si>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</si>
  <si>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</si>
  <si>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</si>
  <si>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</si>
  <si>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</si>
  <si>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</si>
  <si>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</si>
  <si>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</si>
  <si>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</si>
  <si>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</si>
  <si>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</si>
  <si>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</si>
  <si>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</si>
  <si>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</si>
  <si>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</si>
  <si>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</si>
  <si>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</si>
  <si>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</si>
  <si>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</si>
  <si>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</si>
  <si>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</si>
  <si>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</si>
  <si>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</si>
  <si>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</si>
  <si>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</si>
  <si>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</si>
  <si>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</si>
  <si>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</si>
  <si>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</si>
  <si>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</si>
  <si>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</si>
  <si>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</si>
  <si>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</si>
  <si>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</si>
  <si>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</si>
  <si>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</si>
  <si>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</si>
  <si>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</si>
  <si>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</si>
  <si>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</si>
  <si>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</si>
  <si>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</si>
  <si>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</si>
  <si>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</si>
  <si>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</si>
  <si>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</si>
  <si>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</si>
  <si>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</si>
  <si>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</si>
  <si>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</si>
  <si>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</si>
  <si>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</si>
  <si>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</si>
  <si>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</si>
  <si>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</si>
  <si>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</si>
  <si>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</si>
  <si>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</si>
  <si>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</si>
  <si>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</si>
  <si>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</si>
  <si>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</si>
  <si>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</si>
  <si>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</si>
  <si>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</si>
  <si>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</si>
  <si>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</si>
  <si>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</si>
  <si>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</si>
  <si>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</si>
  <si>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</si>
  <si>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</si>
  <si>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</si>
  <si>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</si>
  <si>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</si>
  <si>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</si>
  <si>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</si>
  <si>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</si>
  <si>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</si>
  <si>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</si>
  <si>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</si>
  <si>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</si>
  <si>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</si>
  <si>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</si>
  <si>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</si>
  <si>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</si>
  <si>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</si>
  <si>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</si>
  <si>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</si>
  <si>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</si>
  <si>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</si>
  <si>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</si>
  <si>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</si>
  <si>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</si>
  <si>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</si>
  <si>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</si>
  <si>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</si>
  <si>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</si>
  <si>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</si>
  <si>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</si>
  <si>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</si>
  <si>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</si>
  <si>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</si>
  <si>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</si>
  <si>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</si>
  <si>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</si>
  <si>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</si>
  <si>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</si>
  <si>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</si>
  <si>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</si>
  <si>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</si>
  <si>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</si>
  <si>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</si>
  <si>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</si>
  <si>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</si>
  <si>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</si>
  <si>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</si>
  <si>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</si>
  <si>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</si>
  <si>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</si>
  <si>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</si>
  <si>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</si>
  <si>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</si>
  <si>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</si>
  <si>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</si>
  <si>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</si>
  <si>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</si>
  <si>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</si>
  <si>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</si>
  <si>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</si>
  <si>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</si>
  <si>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</si>
  <si>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</si>
  <si>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</si>
  <si>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</si>
  <si>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</si>
  <si>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</si>
  <si>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</si>
  <si>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</si>
  <si>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</si>
  <si>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</si>
  <si>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</si>
  <si>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</si>
  <si>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</si>
  <si>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</si>
  <si>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</si>
  <si>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</si>
  <si>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</si>
  <si>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</si>
  <si>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</si>
  <si>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</si>
  <si>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</si>
  <si>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</si>
  <si>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</si>
  <si>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</si>
  <si>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</si>
  <si>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</si>
  <si>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</si>
  <si>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</si>
  <si>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</si>
  <si>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</si>
  <si>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</si>
  <si>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</si>
  <si>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</si>
  <si>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</si>
  <si>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</si>
  <si>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</si>
  <si>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</si>
  <si>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</si>
  <si>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</si>
  <si>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</si>
  <si>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</si>
  <si>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</si>
  <si>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</si>
  <si>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</si>
  <si>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</si>
  <si>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</si>
  <si>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</si>
  <si>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</si>
  <si>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</si>
  <si>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</si>
  <si>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</si>
  <si>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</si>
  <si>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</si>
  <si>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</si>
  <si>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</si>
  <si>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</si>
  <si>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</si>
  <si>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</si>
  <si>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</si>
  <si>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</si>
  <si>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</si>
  <si>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</si>
  <si>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</si>
  <si>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</si>
  <si>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</si>
  <si>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</si>
  <si>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</si>
  <si>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</si>
  <si>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</si>
  <si>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</si>
  <si>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</si>
  <si>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</si>
  <si>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</si>
  <si>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</si>
  <si>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</si>
  <si>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</si>
  <si>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</si>
  <si>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</si>
  <si>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</si>
  <si>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</si>
  <si>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</si>
  <si>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</si>
  <si>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</si>
  <si>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</si>
  <si>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</si>
  <si>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</si>
  <si>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</si>
  <si>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</si>
  <si>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</si>
  <si>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</si>
  <si>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</si>
  <si>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</si>
  <si>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</si>
  <si>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</si>
  <si>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</si>
  <si>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</si>
  <si>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</si>
  <si>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</si>
  <si>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</si>
  <si>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</si>
  <si>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</si>
  <si>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</si>
  <si>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</si>
  <si>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</si>
  <si>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</si>
  <si>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</si>
  <si>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</si>
  <si>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</si>
  <si>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</si>
  <si>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</si>
  <si>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</si>
  <si>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</si>
  <si>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</si>
  <si>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</si>
  <si>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</si>
  <si>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</si>
  <si>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</si>
  <si>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</si>
  <si>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</si>
  <si>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</si>
  <si>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</si>
  <si>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</si>
  <si>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</si>
  <si>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</si>
  <si>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</si>
  <si>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</si>
  <si>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</si>
  <si>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</si>
  <si>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</si>
  <si>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</si>
  <si>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</si>
  <si>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</si>
  <si>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</si>
  <si>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</si>
  <si>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</si>
  <si>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</si>
  <si>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</si>
  <si>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</si>
  <si>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</si>
  <si>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</si>
  <si>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</si>
  <si>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</si>
  <si>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</si>
  <si>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</si>
  <si>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</si>
  <si>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</si>
  <si>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</si>
  <si>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</si>
  <si>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</si>
  <si>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</si>
  <si>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</si>
  <si>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</si>
  <si>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</si>
  <si>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</si>
  <si>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</si>
  <si>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</si>
  <si>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</si>
  <si>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</si>
  <si>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</si>
  <si>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</si>
  <si>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</si>
  <si>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</si>
  <si>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</si>
  <si>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</si>
  <si>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</si>
  <si>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</si>
  <si>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</si>
  <si>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</si>
  <si>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</si>
  <si>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</si>
  <si>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</si>
  <si>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</si>
  <si>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</si>
  <si>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</si>
  <si>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</si>
  <si>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</si>
  <si>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</si>
  <si>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</si>
  <si>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</si>
  <si>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</si>
  <si>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</si>
  <si>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</si>
  <si>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</si>
  <si>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</si>
  <si>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</si>
  <si>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</si>
  <si>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</si>
  <si>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</si>
  <si>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</si>
  <si>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</si>
  <si>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</si>
  <si>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</si>
  <si>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</si>
  <si>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</si>
  <si>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</si>
  <si>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</si>
  <si>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</si>
  <si>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</si>
  <si>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</si>
  <si>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</si>
  <si>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</si>
  <si>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</si>
  <si>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</si>
  <si>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</si>
  <si>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</si>
  <si>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</si>
  <si>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</si>
  <si>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</si>
  <si>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</si>
  <si>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</si>
  <si>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</si>
  <si>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</si>
  <si>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</si>
  <si>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</si>
  <si>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</si>
  <si>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</si>
  <si>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</si>
  <si>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</si>
  <si>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</si>
  <si>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</si>
  <si>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</si>
  <si>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</si>
  <si>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</si>
  <si>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</si>
  <si>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</si>
  <si>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</si>
  <si>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</si>
  <si>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</si>
  <si>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</si>
  <si>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</si>
  <si>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</si>
  <si>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</si>
  <si>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</si>
  <si>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</si>
  <si>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</si>
  <si>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</si>
  <si>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</si>
  <si>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</si>
  <si>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</si>
  <si>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</si>
  <si>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</si>
  <si>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</si>
  <si>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</si>
  <si>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</si>
  <si>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</si>
  <si>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</si>
  <si>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</si>
  <si>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</si>
  <si>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</si>
  <si>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</si>
  <si>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</si>
  <si>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</si>
  <si>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</si>
  <si>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</si>
  <si>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</si>
  <si>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</si>
  <si>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</si>
  <si>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</si>
  <si>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</si>
  <si>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</si>
  <si>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</si>
  <si>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</si>
  <si>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</si>
  <si>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</si>
  <si>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</si>
  <si>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</si>
  <si>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</si>
  <si>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</si>
  <si>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</si>
  <si>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</si>
  <si>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</si>
  <si>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</si>
  <si>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</si>
  <si>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</si>
  <si>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</si>
  <si>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</si>
  <si>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</si>
  <si>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</si>
  <si>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</si>
  <si>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</si>
  <si>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</si>
  <si>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</si>
  <si>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</si>
  <si>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</si>
  <si>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</si>
  <si>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</si>
  <si>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</si>
  <si>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</si>
  <si>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</si>
  <si>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</si>
  <si>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</si>
  <si>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</si>
  <si>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</si>
  <si>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</si>
  <si>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</si>
  <si>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</si>
  <si>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</si>
  <si>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</si>
  <si>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</si>
  <si>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</si>
  <si>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</si>
  <si>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</si>
  <si>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</si>
  <si>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</si>
  <si>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</si>
  <si>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</si>
  <si>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</si>
  <si>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</si>
  <si>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</si>
  <si>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</si>
  <si>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</si>
  <si>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</si>
  <si>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</si>
  <si>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</si>
  <si>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</si>
  <si>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</si>
  <si>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</si>
  <si>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</si>
  <si>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</si>
  <si>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</si>
  <si>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</si>
  <si>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</si>
  <si>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</si>
  <si>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</si>
  <si>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</si>
  <si>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</si>
  <si>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</si>
  <si>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</si>
  <si>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</si>
  <si>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</si>
  <si>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</si>
  <si>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</si>
  <si>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</si>
  <si>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</si>
  <si>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</si>
  <si>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</si>
  <si>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</si>
  <si>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</si>
  <si>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</si>
  <si>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</si>
  <si>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</si>
  <si>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</si>
  <si>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</si>
  <si>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</si>
  <si>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</si>
  <si>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</si>
  <si>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</si>
  <si>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</si>
  <si>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</si>
  <si>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</si>
  <si>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</si>
  <si>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</si>
  <si>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</si>
  <si>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</si>
  <si>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</si>
  <si>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</si>
  <si>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</si>
  <si>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</si>
  <si>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</si>
  <si>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</si>
  <si>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</si>
  <si>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</si>
  <si>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</si>
  <si>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</si>
  <si>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</si>
  <si>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</si>
  <si>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</si>
  <si>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</si>
  <si>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</si>
  <si>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</si>
  <si>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</si>
  <si>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</si>
  <si>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</si>
  <si>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</si>
  <si>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</si>
  <si>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</si>
  <si>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</si>
  <si>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</si>
  <si>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</si>
  <si>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</si>
  <si>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</si>
  <si>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</si>
  <si>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</si>
  <si>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</si>
  <si>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</si>
  <si>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</si>
  <si>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</si>
  <si>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</si>
  <si>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</si>
  <si>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</si>
  <si>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</si>
  <si>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</si>
  <si>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</si>
  <si>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</si>
  <si>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</si>
  <si>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</si>
  <si>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</si>
  <si>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</si>
  <si>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</si>
  <si>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</si>
  <si>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</si>
  <si>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</si>
  <si>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</si>
  <si>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</si>
  <si>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</si>
  <si>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</si>
  <si>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</si>
  <si>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</si>
  <si>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</si>
  <si>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</si>
  <si>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</si>
  <si>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</si>
  <si>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</si>
  <si>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</si>
  <si>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</si>
  <si>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</si>
  <si>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</si>
  <si>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</si>
  <si>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</si>
  <si>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</si>
  <si>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</si>
  <si>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</si>
  <si>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</si>
  <si>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</si>
  <si>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</si>
  <si>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</si>
  <si>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</si>
  <si>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</si>
  <si>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</si>
  <si>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</si>
  <si>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</si>
  <si>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</si>
  <si>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</si>
  <si>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</si>
  <si>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</si>
  <si>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</si>
  <si>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</si>
  <si>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</si>
  <si>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</si>
  <si>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</si>
  <si>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</si>
  <si>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</si>
  <si>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</si>
  <si>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</si>
  <si>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</si>
  <si>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</si>
  <si>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</si>
  <si>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</si>
  <si>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</si>
  <si>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</si>
  <si>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</si>
  <si>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</si>
  <si>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</si>
  <si>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</si>
  <si>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</si>
  <si>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</si>
  <si>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</si>
  <si>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</si>
  <si>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</si>
  <si>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</si>
  <si>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</si>
  <si>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</si>
  <si>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</si>
  <si>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</si>
  <si>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</si>
  <si>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</si>
  <si>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</si>
  <si>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</si>
  <si>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</si>
  <si>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</si>
  <si>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</si>
  <si>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</si>
  <si>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</si>
  <si>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</si>
  <si>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</si>
  <si>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</si>
  <si>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</si>
  <si>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</si>
  <si>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</si>
  <si>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</si>
  <si>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</si>
  <si>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</si>
  <si>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</si>
  <si>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</si>
  <si>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</si>
  <si>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</si>
  <si>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</si>
  <si>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</si>
  <si>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</si>
  <si>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</si>
  <si>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</si>
  <si>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</si>
  <si>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</si>
  <si>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</si>
  <si>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</si>
  <si>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</si>
  <si>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</si>
  <si>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</si>
  <si>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</si>
  <si>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</si>
  <si>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</si>
  <si>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</si>
  <si>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</si>
  <si>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</si>
  <si>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</si>
  <si>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</si>
  <si>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</si>
  <si>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</si>
  <si>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</si>
  <si>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</si>
  <si>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</si>
  <si>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</si>
  <si>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</si>
  <si>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</si>
  <si>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</si>
  <si>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</si>
  <si>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</si>
  <si>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</si>
  <si>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</si>
  <si>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</si>
  <si>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</si>
  <si>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</si>
  <si>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</si>
  <si>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</si>
  <si>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</si>
  <si>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</si>
  <si>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</si>
  <si>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</si>
  <si>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</si>
  <si>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</si>
  <si>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</si>
  <si>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</si>
  <si>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</si>
  <si>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</si>
  <si>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</si>
  <si>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</si>
  <si>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</si>
  <si>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</si>
  <si>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</si>
  <si>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</si>
  <si>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</si>
  <si>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</si>
  <si>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</si>
  <si>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</si>
  <si>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</si>
  <si>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</si>
  <si>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</si>
  <si>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</si>
  <si>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</si>
  <si>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</si>
  <si>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</si>
  <si>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</si>
  <si>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</si>
  <si>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</si>
  <si>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</si>
  <si>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</si>
  <si>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</si>
  <si>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</si>
  <si>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</si>
  <si>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</si>
  <si>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</si>
  <si>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</si>
  <si>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</si>
  <si>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</si>
  <si>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</si>
  <si>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</si>
  <si>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</si>
  <si>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</si>
  <si>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</si>
  <si>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</si>
  <si>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</si>
  <si>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</si>
  <si>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</si>
  <si>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</si>
  <si>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</si>
  <si>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</si>
  <si>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</si>
  <si>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</si>
  <si>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</si>
  <si>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</si>
  <si>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</si>
  <si>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</si>
  <si>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</si>
  <si>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</si>
  <si>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</si>
  <si>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</si>
  <si>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</si>
  <si>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</si>
  <si>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</si>
  <si>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</si>
  <si>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</si>
  <si>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</si>
  <si>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</si>
  <si>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</si>
  <si>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</si>
  <si>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</si>
  <si>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</si>
  <si>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</si>
  <si>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</si>
  <si>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</si>
  <si>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</si>
  <si>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</si>
  <si>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</si>
  <si>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</si>
  <si>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</si>
  <si>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</si>
  <si>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</si>
  <si>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</si>
  <si>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</si>
  <si>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</si>
  <si>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</si>
  <si>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</si>
  <si>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</si>
  <si>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</si>
  <si>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</si>
  <si>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</si>
  <si>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</si>
  <si>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</si>
  <si>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</si>
  <si>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</si>
  <si>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</si>
  <si>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</si>
  <si>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</si>
  <si>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</si>
  <si>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</si>
  <si>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</si>
  <si>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</si>
  <si>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</si>
  <si>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</si>
  <si>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</si>
  <si>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</si>
  <si>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</si>
  <si>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</si>
  <si>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</si>
  <si>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</si>
  <si>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</si>
  <si>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</si>
  <si>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</si>
  <si>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</si>
  <si>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</si>
  <si>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SUNNY AND HOT … HIGH IN THE MIDDLE 80S. SE WINDS 5 TO 10. TONIGHT, PARTLY </t>
  </si>
  <si>
    <t>CLOUDY, LOW IN THE MIDDLE 60S.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</si>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</sst>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95206A4-64FA-553C-89D1-286DDA2EC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EED1030-42A9-7479-DEE3-5223E2CFC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44A0C2F-773C-24EE-50BE-1FE7B1720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92B0FF8-47AE-CAF4-CD05-6FA3FC217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64D2EF8-BD4A-98C7-354B-E7B81C7CC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EC59FC3-5909-0297-E90B-57D9C049F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6E5092C-FA52-8F1E-8CD8-2D3754089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64B30A3-F733-9D26-0435-DCE1DA10F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93163A9-2EA3-3FA7-090D-980452FEF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77C82DC-DAB1-9B73-3747-24FA03B86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AFAFC49-8008-A70C-AF93-6B1EA79DB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BDA495D-4713-9EC4-3240-716783805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9A8F4F4-B656-0343-6AAA-7FA36AF67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ADD3D32-0A1F-9456-919A-8C2563B3A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E390BAA-0D78-775A-7CD9-A0CFAE50E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B2EAD68-F44C-1081-17FF-0B56E7130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AE6A4E7-415F-1C97-EC2D-A865190E6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DC297A0-8438-976A-3D8A-C0B8F2358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229A98F-A578-EF90-7A72-3BA5C5AC2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48A84B6-B56B-5912-1B78-60AA2DC82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CA75D5AB-B6DA-D560-DE84-905049F87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2A28479B-B5D2-B0D9-70C7-437ACF73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68DF746-06A3-5847-1A83-DC0D6FDD1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D45FE7F-B4D0-DB8F-CE53-30567A0B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ADC3F535-11DE-C036-8A72-08AA80B7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8414FDB9-EAFB-4D41-4B59-0587F3299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068DD07D-8237-994B-00CE-48D5072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CEF2E31-E014-87A9-5029-731834F7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A1811EE-2E9A-B08A-1617-FB4878448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C8CD0798-FA26-55A2-4EF8-8D879982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326B18C8-C8E6-DBA4-075D-B375E646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C9AFE81E-DB3A-F1D5-0BAD-87242DB0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72E7674-8A90-AE76-194D-F1296E048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63280D35-6BFF-8EEC-2B3F-B8D9708A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B14D1C37-F60A-8974-7C60-753C15FA0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EEFC197-0D5B-D151-260A-2016EFD8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E6E495C-4227-C570-629E-6A029D61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5E14EDB-4829-17D4-4B20-0E3FA9E4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A06DBFA-8876-F060-DB4C-5DB8D76C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A0EC7BB0-64A0-C1E0-49A7-E2E17E1B2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A57170E5-8910-0E93-758E-AD6307CA8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35DBF090-EBBC-D867-BA92-1187E574B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812660F5-DBA6-C940-E8C2-029FDA738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893A38D4-2FDD-D502-B677-651F3D76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87" name="Day_1">
          <a:extLst>
            <a:ext uri="{FF2B5EF4-FFF2-40B4-BE49-F238E27FC236}">
              <a16:creationId xmlns:a16="http://schemas.microsoft.com/office/drawing/2014/main" id="{1E591E4D-8D5B-2405-51E9-23A2380BE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88" name="Day_2">
          <a:extLst>
            <a:ext uri="{FF2B5EF4-FFF2-40B4-BE49-F238E27FC236}">
              <a16:creationId xmlns:a16="http://schemas.microsoft.com/office/drawing/2014/main" id="{A94231C4-75E2-73FE-DA71-DDD8B1B5A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89" name="Day_3">
          <a:extLst>
            <a:ext uri="{FF2B5EF4-FFF2-40B4-BE49-F238E27FC236}">
              <a16:creationId xmlns:a16="http://schemas.microsoft.com/office/drawing/2014/main" id="{72D921EA-AE30-7772-9BDB-3BE5FF3C4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90" name="Day_4">
          <a:extLst>
            <a:ext uri="{FF2B5EF4-FFF2-40B4-BE49-F238E27FC236}">
              <a16:creationId xmlns:a16="http://schemas.microsoft.com/office/drawing/2014/main" id="{C1B722C1-D315-59BA-4D1F-08480DC60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91" name="Day_5">
          <a:extLst>
            <a:ext uri="{FF2B5EF4-FFF2-40B4-BE49-F238E27FC236}">
              <a16:creationId xmlns:a16="http://schemas.microsoft.com/office/drawing/2014/main" id="{39D170A1-48D8-C920-11AB-F4B64C6EF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92" name="Day_6">
          <a:extLst>
            <a:ext uri="{FF2B5EF4-FFF2-40B4-BE49-F238E27FC236}">
              <a16:creationId xmlns:a16="http://schemas.microsoft.com/office/drawing/2014/main" id="{FE85D6D3-1262-1DB8-0F1D-A2AC1298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965BF9E-0561-CC65-79B9-6E3BE81D1AA2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96E49BF8-3126-42E7-997A-DF6DC4D0603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596F9EF-E9A9-D270-A117-BA3D0FFEA53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A062916-EB77-AC4F-4B6B-8B9138568572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76A518F-B8B8-AAF1-0E2C-D872F4388A5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AE5AA3F-DBF2-B2D3-8D5F-C0D1AC84827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BE1FB9C5-93DA-0D7B-2268-09F8E8643126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1CD7B3F1-77E1-7109-C003-721A2DAD8FBD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F68527E-D6F4-B76B-EDD8-095A06EF341E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E320090-5EF0-28EE-B3A7-89007CD0A00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ED17589-0454-E4C6-E035-3FFD542AC1B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DC43B356-6C79-CB8E-7869-0428947B5AB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28D2C5BC-F7AC-FDC3-641E-AE2B680CB49B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331D4D3E-87AF-DA09-FB08-BC0AB95EB30D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A83957FE-4BB2-8306-9011-A779A605041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C30ECD1-AB8E-B3A7-8496-EBBF08830C5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9E27811-8FC6-2FF7-512D-9A7F8544E24B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A4DECBAC-EDCD-79AE-4561-688B62FBA82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0B33C12C-E54E-218E-01A8-2CAFB0B39A9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AAA25F4-0A24-6CEB-3A11-38A3406A7B3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AAE87087-D632-5C30-18F2-91BC3942E1A5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4FAD70FB-92A4-EA53-5AAF-8C2187B11B19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8C07E1D-CC08-CB3E-2801-8A1998403CC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A2AF19F-C938-782E-04B7-BF8C0185E5D3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F3A6A870-C25C-5B9E-9CB4-720055D331B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F1B65C22-9A80-A5CB-1580-ED3D09F7378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4434A2D-D3A3-A883-064A-CC529528D8A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A54EC93-1368-E651-C6FD-747C5CC5DB53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A1C2F908-5EEE-0DA2-8EF8-9456F306C1A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EFA11C98-DA2F-654F-F862-B291D8300A8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DC6910D-AC18-1BD5-9216-46C5316E199C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368D0E72-9A6C-D5F9-E52A-1049C7730051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B750B94-22A8-A07B-6E43-06710110D0A4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30A54A2B-7965-A8C0-3E64-76413E0B15E5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1538181-76A7-0F2B-58AF-BBF531D59699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BA6AB177-5136-8A9A-A890-EB337767B57E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574DC49D-276B-E835-88D2-05550CF35CA4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40ADE7B-D74D-0034-BDF3-27C9342B7CC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4C24D57-ABC5-0EAB-B044-87877D4012C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89893E3-67B9-7F69-5262-ECFEC062720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244BA5A-9EB3-F97C-114D-B7B3850F427B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BF07F02-DD54-618B-C78A-71751E250343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70EB4CB6-D3D3-BCE3-86C1-77A8C4E9D43F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2C662BA-F2D3-DD64-C64A-902EC983FCA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CC2D239-FDE9-4281-6B35-1013F55FF86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694AB564-35AD-3577-C1DB-421117EFC2A3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15285936-07D5-A749-0FC5-D62D32DC21B5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A872797-B05F-1552-211D-92E91279FD0C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E6CE0EC-38E4-711E-C3CD-DEF66DFBDA8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2DA9CFB-927F-5FD1-B022-D50F917EFE2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C954477B-8AD9-1260-6FDC-7D232EF99549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60EB788-4F78-5AE5-D91E-1C73BD37EBF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784D0DA2-0341-EB4A-5BD4-7C2773B08F0C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6D7209C-4F27-35A9-8F09-EAC829DCA3AA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D9A603CC-7AAC-3D92-C4F3-DBDBB76A3A75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470CDEC-73B1-DEAB-2266-5E17E0900D5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97FBEBAF-1DF4-E136-BDCE-1DDADBC60A1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D92CAAB-363E-E0EE-FEE9-0517649E54EA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24B1626-D720-7203-829C-F24555222D0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FF636D3C-B40A-282D-B9EB-CFB5321558A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F8FBC343-3B1F-5858-9942-C40B3240065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7509CA6-88C2-7743-BD64-661FACD568ED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FC565CFF-FD56-4086-C00A-F86D15B6AD3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94BE23C-92A9-422C-AB95-6B5448037E6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BC96478-6EE9-3FB4-A359-76DD2F85AD9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5A529F3-0E34-0FBD-F6E9-BBA30A28C83C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BEDF3A3-FFF3-5E84-755B-5F5927A16E12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831C3EA1-CFD2-B6D8-B302-235367D0DDE3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C37EDBB-705C-5111-11D2-361CCCDC12A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9EC8CAE3-84A2-E251-18A3-205341C06753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BF6C59B-0BBA-7D31-EA6F-4F7B614FF61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C0F72EE2-EC66-39C0-905B-410F150A391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8DEB5EB-4116-2EA2-0D75-1F65593FBD72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A814C76-5731-DFC9-F29A-4C9F28F797AD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5F676E8-009F-64B0-B301-EA64610A2E8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67CFDC54-DCF9-6B05-EE87-DAA91407FC1C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33EDDAF-7739-2C7E-9D7B-9DEBEB2949D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57374C7-8BD8-C000-CD5E-A016B3342AA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267153C5-DC01-8D49-69DA-180D58B9CE1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547DCD2C-F20F-579E-17C7-7736464AF2B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E4D388C-579E-D253-9C84-0FF4DBB772E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F08C3EBD-016B-BCBF-F44B-28BC87E96642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E1A28FA4-1A77-34EC-A43E-F0E6EBC0C99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D1CA75A-525B-7096-BF91-68AAD40C553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3867C0C-C4AF-7776-4822-0E15717CD6A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5B96E46-A7E3-402D-F472-D4200638872B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C5B447D2-AE2C-0B27-C016-D014F602CDC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82B9F2D-7EDF-9234-02BC-5086C63CB83B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2D6E569-D17E-096C-881A-8ADE95D9CC72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8E98DD1-F38D-47E1-8F18-7F0C479E14BE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95243E6-490F-EBB6-57A5-2ED50FF8E4E5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74511AC5-DE78-CCAB-BA59-5624EA57C4C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6650EF1-E985-5C4A-35D2-B2922600A858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330ADD2-72E7-99E0-FF4F-EA5ADF388F67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2A172A6-57EB-0E01-244D-3E2E4ABD44A9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67C92A23-CA9B-C270-C2D5-2BE2314130BA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64D8A131-D927-5291-7634-139A3070B48D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6D670FCB-5321-874D-7C32-D4EA29EC732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E886B00-F923-7262-1373-F9EA9B7C5E8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BBC1B79-2A4B-029A-1253-4D71F0CD9C99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64511854-A097-6B0D-42FA-B345E631DA82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C77763E8-C2AC-6F16-C043-BF0E30BA226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BD08145-9BE7-56B1-D7FE-646C90FCA5E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2FA4BF4-E63D-1BFE-1122-E479F4924D2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D7876EEE-963B-CA2A-C68D-B36F54F35900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1F817B1-04D5-6E85-AE16-CA6263A16861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CCF85E8-B865-6347-3CE7-2B8E8FF6C06D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81BC2DFC-115E-F41D-E6BB-1D0672E49D8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AA9A6B09-2FA3-F317-EB72-AFF00AE899D8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93438F7-8602-5944-C329-8B750F3ED107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BCDF536A-5637-150E-7C5C-2F7B251E8EC1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AD8A65A8-3909-E3BF-4C3B-944B2794068D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CF8E98B-963C-9D3B-352B-C9B070EC38A3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E9B521A-9D3E-9575-8D24-C3F4F6D40944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A965D777-FA09-0D88-6749-E0A5136813F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DEAE6599-0D08-FB3F-78AA-0386AC08BC6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44702401-C84C-FB15-28CB-BEFF1C5FF31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15F4F6B-0CE9-0938-83BD-EEA0E4007A09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97C2CDE-2A30-D81A-FB39-B2E498435BD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ABF2BAA9-E04B-269E-51DA-892F269FF91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7386494-EE69-264F-9593-40AEC513836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4013BDF3-DDE2-E7B5-E212-C0E653C2F066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FF8C8EA-0862-9984-79FC-58B605D7FABA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F26E82F-233A-5E25-3860-7E3F838EF82F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166D6CDE-6877-38EE-D317-2975AF5CEB4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FD8A3AE-EA93-9034-1A32-8C45B805E3F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7D12F99-C487-9800-538B-8A04A0585A70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1D7DF05-B0FF-0C6F-A351-83096CCE200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942A3F2-BA48-5109-206A-DFA266CCD7B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58DAD50-2699-D1E7-78FA-E1E2E0ED9BF0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activeCell="A3" sqref="A3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FRI</v>
      </c>
      <c r="I1" s="865">
        <f>D4</f>
        <v>37071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FRI</v>
      </c>
      <c r="E3" s="829" t="str">
        <f t="shared" si="0"/>
        <v>SAT</v>
      </c>
      <c r="F3" s="829" t="str">
        <f t="shared" si="0"/>
        <v>SUN</v>
      </c>
      <c r="G3" s="829" t="str">
        <f t="shared" si="0"/>
        <v>MON</v>
      </c>
      <c r="H3" s="829" t="str">
        <f t="shared" si="0"/>
        <v>TUE</v>
      </c>
      <c r="I3" s="830" t="str">
        <f t="shared" si="0"/>
        <v>WED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37071</v>
      </c>
      <c r="E4" s="833">
        <f>Weather_Input!A6</f>
        <v>37072</v>
      </c>
      <c r="F4" s="833">
        <f>Weather_Input!A7</f>
        <v>37073</v>
      </c>
      <c r="G4" s="833">
        <f>Weather_Input!A8</f>
        <v>37074</v>
      </c>
      <c r="H4" s="833">
        <f>Weather_Input!A9</f>
        <v>37075</v>
      </c>
      <c r="I4" s="834">
        <f>Weather_Input!A10</f>
        <v>37076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86/68/77</v>
      </c>
      <c r="E5" s="866" t="str">
        <f>TEXT(Weather_Input!B6,"0")&amp;"/"&amp;TEXT(Weather_Input!C6,"0") &amp; "/" &amp; TEXT((Weather_Input!B6+Weather_Input!C6)/2,"0")</f>
        <v>88/67/78</v>
      </c>
      <c r="F5" s="866" t="str">
        <f>TEXT(Weather_Input!B7,"0")&amp;"/"&amp;TEXT(Weather_Input!C7,"0") &amp; "/" &amp; TEXT((Weather_Input!B7+Weather_Input!C7)/2,"0")</f>
        <v>75/55/65</v>
      </c>
      <c r="G5" s="866" t="str">
        <f>TEXT(Weather_Input!B8,"0")&amp;"/"&amp;TEXT(Weather_Input!C8,"0") &amp; "/" &amp; TEXT((Weather_Input!B8+Weather_Input!C8)/2,"0")</f>
        <v>75/59/67</v>
      </c>
      <c r="H5" s="866" t="str">
        <f>TEXT(Weather_Input!B9,"0")&amp;"/"&amp;TEXT(Weather_Input!C9,"0") &amp; "/" &amp; TEXT((Weather_Input!B9+Weather_Input!C9)/2,"0")</f>
        <v>77/59/68</v>
      </c>
      <c r="I5" s="867" t="str">
        <f>TEXT(Weather_Input!B10,"0")&amp;"/"&amp;TEXT(Weather_Input!C10,"0") &amp; "/" &amp; TEXT((Weather_Input!B10+Weather_Input!C10)/2,"0")</f>
        <v>77/59/68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32.5</v>
      </c>
      <c r="E6" s="836">
        <f ca="1">VLOOKUP(E4,NSG_Sendouts,CELL("Col",NSG_Deliveries!C6),FALSE)/1000</f>
        <v>31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36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11.57</v>
      </c>
      <c r="E8" s="836">
        <f>NSG_Requirements!J8/1000</f>
        <v>11.914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44.07</v>
      </c>
      <c r="E11" s="845">
        <f t="shared" ca="1" si="1"/>
        <v>42.914000000000001</v>
      </c>
      <c r="F11" s="845">
        <f t="shared" ca="1" si="1"/>
        <v>34</v>
      </c>
      <c r="G11" s="845">
        <f t="shared" ca="1" si="1"/>
        <v>36</v>
      </c>
      <c r="H11" s="845">
        <f t="shared" ca="1" si="1"/>
        <v>36</v>
      </c>
      <c r="I11" s="846">
        <f t="shared" ca="1" si="1"/>
        <v>36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32.158999999999999</v>
      </c>
      <c r="E19" s="836">
        <f>NSG_Supplies!Q8/1000</f>
        <v>32.158999999999999</v>
      </c>
      <c r="F19" s="836">
        <f>NSG_Supplies!Q9/1000</f>
        <v>25.568999999999999</v>
      </c>
      <c r="G19" s="836">
        <f>NSG_Supplies!Q10/1000</f>
        <v>25.568999999999999</v>
      </c>
      <c r="H19" s="836">
        <f>NSG_Supplies!Q11/1000</f>
        <v>25.568999999999999</v>
      </c>
      <c r="I19" s="837">
        <f>NSG_Supplies!Q12/1000</f>
        <v>25.568999999999999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44.073</v>
      </c>
      <c r="E21" s="1244">
        <f t="shared" si="2"/>
        <v>44.073</v>
      </c>
      <c r="F21" s="1244">
        <f t="shared" si="2"/>
        <v>37.569000000000003</v>
      </c>
      <c r="G21" s="1244">
        <f t="shared" si="2"/>
        <v>37.569000000000003</v>
      </c>
      <c r="H21" s="1244">
        <f t="shared" si="2"/>
        <v>37.569000000000003</v>
      </c>
      <c r="I21" s="1245">
        <f t="shared" si="2"/>
        <v>37.569000000000003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1.1589999999999989</v>
      </c>
      <c r="F22" s="877">
        <f t="shared" ca="1" si="3"/>
        <v>3.5690000000000026</v>
      </c>
      <c r="G22" s="877">
        <f t="shared" ca="1" si="3"/>
        <v>1.5690000000000026</v>
      </c>
      <c r="H22" s="877">
        <f t="shared" ca="1" si="3"/>
        <v>1.5690000000000026</v>
      </c>
      <c r="I22" s="878">
        <f t="shared" ca="1" si="3"/>
        <v>1.5690000000000026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20.285</v>
      </c>
      <c r="E24" s="1097">
        <f>NSG_Supplies!R8/1000</f>
        <v>20.285</v>
      </c>
      <c r="F24" s="1097">
        <f>NSG_Supplies!R9/1000</f>
        <v>20.285</v>
      </c>
      <c r="G24" s="1097">
        <f>NSG_Supplies!R10/1000</f>
        <v>20.285</v>
      </c>
      <c r="H24" s="1097">
        <f>NSG_Supplies!R11/1000</f>
        <v>20.285</v>
      </c>
      <c r="I24" s="1098">
        <f>NSG_Supplies!R12/1000</f>
        <v>20.285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6.6</v>
      </c>
      <c r="E26" s="884">
        <f>Weather_Input!D6</f>
        <v>10</v>
      </c>
      <c r="F26" s="884">
        <f>Weather_Input!D7</f>
        <v>16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B16" zoomScale="75" workbookViewId="0">
      <selection activeCell="I24" sqref="I24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37071</v>
      </c>
      <c r="N1" s="1218" t="str">
        <f>CHOOSE(WEEKDAY(M1),"SUN","MON","TUE","WED","THU","FRI","SAT")</f>
        <v>FRI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0.1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86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>
        <v>77.3</v>
      </c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96.116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195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96.016000000000005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96.016000000000005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-99.23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160.298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36.5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-99.23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-29.321000000000002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179.26300000000001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15.736999999999995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29.321000000000002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17.236999999999995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4.7300000000000004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2.4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-21.965</v>
      </c>
      <c r="L30" s="1161"/>
      <c r="M30" s="1061">
        <f>-PGL_Supplies!AB7/1000</f>
        <v>-21.965</v>
      </c>
      <c r="N30" s="1162"/>
      <c r="O30" s="1222">
        <f>-PGL_Supplies!AB7/1000</f>
        <v>-21.965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155.19800000000001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160.298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130.977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29.321000000000002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160.298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FRI</v>
      </c>
      <c r="G1" s="1224">
        <f>Weather_Input!A5</f>
        <v>37071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77.3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86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32.5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32.155999999999999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0.34399999999999942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32.155999999999999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-32.158999999999999</v>
      </c>
      <c r="D25" s="710"/>
      <c r="E25" s="703">
        <f>-NSG_Supplies!Q7/1000</f>
        <v>-32.158999999999999</v>
      </c>
      <c r="F25" s="710"/>
      <c r="G25" s="703">
        <f>-NSG_Supplies!Q7/1000</f>
        <v>-32.158999999999999</v>
      </c>
      <c r="H25" s="709"/>
      <c r="I25" s="766">
        <f>-NSG_Supplies!Q7/1000</f>
        <v>-32.158999999999999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11.57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0.34399999999999942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37071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86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195</v>
      </c>
      <c r="C8" s="269">
        <f>NSG_Deliveries!C5/1000</f>
        <v>32.5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123.11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-3.8840000000000003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36.5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32.5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32.5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-21.965</v>
      </c>
      <c r="C32" s="310">
        <f>-NSG_Supplies!Q7/1000</f>
        <v>-32.158999999999999</v>
      </c>
      <c r="D32" s="310">
        <f>B32</f>
        <v>-21.965</v>
      </c>
      <c r="E32" s="310">
        <f>C32</f>
        <v>-32.158999999999999</v>
      </c>
      <c r="F32" s="310">
        <f>B32</f>
        <v>-21.965</v>
      </c>
      <c r="G32" s="310">
        <f>C32</f>
        <v>-32.158999999999999</v>
      </c>
      <c r="H32" s="315">
        <f>B32</f>
        <v>-21.965</v>
      </c>
      <c r="I32" s="316">
        <f>C32</f>
        <v>-32.158999999999999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-20.285</v>
      </c>
      <c r="D33" s="310">
        <f>B33</f>
        <v>0</v>
      </c>
      <c r="E33" s="310">
        <f>C33</f>
        <v>-20.285</v>
      </c>
      <c r="F33" s="310">
        <f>B33</f>
        <v>0</v>
      </c>
      <c r="G33" s="310">
        <f>C33</f>
        <v>-20.285</v>
      </c>
      <c r="H33" s="315">
        <f>B33</f>
        <v>0</v>
      </c>
      <c r="I33" s="316">
        <f>C33</f>
        <v>-20.285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4.7300000000000004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123.21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123.11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96.116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-3.8840000000000003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FRI</v>
      </c>
      <c r="H73" s="401">
        <f>Weather_Input!A5</f>
        <v>37071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23.209999999999994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96.116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36.5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-20.285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4.7300000000000004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100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123.21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23.209999999999994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96.116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96.116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37072.165541782408</v>
      </c>
      <c r="F22" s="161" t="s">
        <v>257</v>
      </c>
      <c r="G22" s="188">
        <f ca="1">NOW()</f>
        <v>37072.165541782408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37071</v>
      </c>
      <c r="C5" s="15"/>
      <c r="D5" s="22" t="s">
        <v>275</v>
      </c>
      <c r="E5" s="23">
        <f>Weather_Input!B5</f>
        <v>86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SUNNY AND HOT … HIGH IN THE MIDDLE 80S. SE WINDS 5 TO 10. TONIGHT, 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CLOUDY, LOW IN THE MIDDLE 60S.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37072</v>
      </c>
      <c r="C10" s="15"/>
      <c r="D10" s="150" t="s">
        <v>275</v>
      </c>
      <c r="E10" s="23">
        <f>Weather_Input!B6</f>
        <v>88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67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77.5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>CHANCE OF A T-STORM. HIGH IN THE MIDDLE 80S.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37073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55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>CHANCE OF SHOWERS AND T-STORMS. HIGH IN THE 80S.. LOW IN THE MIDDLE 60S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37074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59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67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>PARTLY CLOUDY. HIGH IN THE MIDDLE 80S.. LOW IN THE LOWER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37075</v>
      </c>
      <c r="C25" s="15"/>
      <c r="D25" s="22" t="s">
        <v>275</v>
      </c>
      <c r="E25" s="23">
        <f>Weather_Input!B9</f>
        <v>77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59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68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37076</v>
      </c>
      <c r="C30" s="15"/>
      <c r="D30" s="22" t="s">
        <v>275</v>
      </c>
      <c r="E30" s="23">
        <f>Weather_Input!B10</f>
        <v>77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59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68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37071</v>
      </c>
      <c r="C36" s="89">
        <f>B10</f>
        <v>37072</v>
      </c>
      <c r="D36" s="89">
        <f>B15</f>
        <v>37073</v>
      </c>
      <c r="E36" s="89">
        <f xml:space="preserve">       B20</f>
        <v>37074</v>
      </c>
      <c r="F36" s="89">
        <f>B25</f>
        <v>37075</v>
      </c>
      <c r="G36" s="89">
        <f>B30</f>
        <v>37076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210</v>
      </c>
      <c r="F37" s="41">
        <f ca="1">(VLOOKUP(F36,PGL_Sendouts,(CELL("COL",PGL_Deliveries!C10))))/1000</f>
        <v>210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335.98100000000005</v>
      </c>
      <c r="C38" s="41">
        <f>PGL_6_Day_Report!E25</f>
        <v>314.65500000000003</v>
      </c>
      <c r="D38" s="41">
        <f>PGL_6_Day_Report!F25</f>
        <v>334.68</v>
      </c>
      <c r="E38" s="41">
        <f>PGL_6_Day_Report!G25</f>
        <v>354.68</v>
      </c>
      <c r="F38" s="41">
        <f>PGL_6_Day_Report!H25</f>
        <v>344.68</v>
      </c>
      <c r="G38" s="41">
        <f>PGL_6_Day_Report!I25</f>
        <v>344.68</v>
      </c>
      <c r="H38" s="14"/>
      <c r="I38" s="15"/>
    </row>
    <row r="39" spans="1:9" ht="15">
      <c r="A39" s="42" t="s">
        <v>104</v>
      </c>
      <c r="B39" s="41">
        <f>SUM(PGL_Supplies!Y7:AD7)/1000</f>
        <v>179.863</v>
      </c>
      <c r="C39" s="41">
        <f>SUM(PGL_Supplies!Y8:AD8)/1000</f>
        <v>182.505</v>
      </c>
      <c r="D39" s="41">
        <f>SUM(PGL_Supplies!Y9:AD9)/1000</f>
        <v>194.08500000000001</v>
      </c>
      <c r="E39" s="41">
        <f>SUM(PGL_Supplies!Y10:AD10)/1000</f>
        <v>194.08500000000001</v>
      </c>
      <c r="F39" s="41">
        <f>SUM(PGL_Supplies!Y11:AD11)/1000</f>
        <v>194.08500000000001</v>
      </c>
      <c r="G39" s="41">
        <f>SUM(PGL_Supplies!Y12:AD12)/1000</f>
        <v>194.08500000000001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0.43</v>
      </c>
      <c r="C41" s="41">
        <f>SUM(PGL_Requirements!Q7:T7)/1000</f>
        <v>0.43</v>
      </c>
      <c r="D41" s="41">
        <f>SUM(PGL_Requirements!Q7:T7)/1000</f>
        <v>0.43</v>
      </c>
      <c r="E41" s="41">
        <f>SUM(PGL_Requirements!Q7:T7)/1000</f>
        <v>0.43</v>
      </c>
      <c r="F41" s="41">
        <f>SUM(PGL_Requirements!Q7:T7)/1000</f>
        <v>0.43</v>
      </c>
      <c r="G41" s="41">
        <f>SUM(PGL_Requirements!Q7:T7)/1000</f>
        <v>0.43</v>
      </c>
      <c r="H41" s="14"/>
      <c r="I41" s="15"/>
    </row>
    <row r="42" spans="1:9" ht="15">
      <c r="A42" s="15" t="s">
        <v>127</v>
      </c>
      <c r="B42" s="41">
        <f>PGL_Supplies!U7/1000</f>
        <v>123.21</v>
      </c>
      <c r="C42" s="41">
        <f>PGL_Supplies!U8/1000</f>
        <v>123.21</v>
      </c>
      <c r="D42" s="41">
        <f>PGL_Supplies!U9/1000</f>
        <v>123.21</v>
      </c>
      <c r="E42" s="41">
        <f>PGL_Supplies!U10/1000</f>
        <v>123.21</v>
      </c>
      <c r="F42" s="41">
        <f>PGL_Supplies!U11/1000</f>
        <v>123.21</v>
      </c>
      <c r="G42" s="41">
        <f>PGL_Supplies!U12/1000</f>
        <v>123.21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37071</v>
      </c>
      <c r="C44" s="89">
        <f t="shared" si="0"/>
        <v>37072</v>
      </c>
      <c r="D44" s="89">
        <f t="shared" si="0"/>
        <v>37073</v>
      </c>
      <c r="E44" s="89">
        <f t="shared" si="0"/>
        <v>37074</v>
      </c>
      <c r="F44" s="89">
        <f t="shared" si="0"/>
        <v>37075</v>
      </c>
      <c r="G44" s="89">
        <f t="shared" si="0"/>
        <v>37076</v>
      </c>
      <c r="H44" s="14"/>
      <c r="I44" s="15"/>
    </row>
    <row r="45" spans="1:9" ht="15">
      <c r="A45" s="15" t="s">
        <v>54</v>
      </c>
      <c r="B45" s="41">
        <f ca="1">NSG_6_Day_Report!D6</f>
        <v>32.5</v>
      </c>
      <c r="C45" s="41">
        <f ca="1">NSG_6_Day_Report!E6</f>
        <v>31</v>
      </c>
      <c r="D45" s="41">
        <f ca="1">NSG_6_Day_Report!F6</f>
        <v>34</v>
      </c>
      <c r="E45" s="41">
        <f ca="1">NSG_6_Day_Report!G6</f>
        <v>36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44.07</v>
      </c>
      <c r="C46" s="41">
        <f ca="1">NSG_6_Day_Report!E11</f>
        <v>42.914000000000001</v>
      </c>
      <c r="D46" s="41">
        <f ca="1">NSG_6_Day_Report!F11</f>
        <v>34</v>
      </c>
      <c r="E46" s="41">
        <f ca="1">NSG_6_Day_Report!G11</f>
        <v>36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44.073</v>
      </c>
      <c r="C47" s="41">
        <f>SUM(NSG_Supplies!O8:Q8)/1000</f>
        <v>44.073</v>
      </c>
      <c r="D47" s="41">
        <f>SUM(NSG_Supplies!O9:Q9)/1000</f>
        <v>37.569000000000003</v>
      </c>
      <c r="E47" s="41">
        <f>SUM(NSG_Supplies!O10:Q10)/1000</f>
        <v>37.569000000000003</v>
      </c>
      <c r="F47" s="41">
        <f>SUM(NSG_Supplies!O11:Q11)/1000</f>
        <v>37.569000000000003</v>
      </c>
      <c r="G47" s="41">
        <f>SUM(NSG_Supplies!O12:Q12)/1000</f>
        <v>37.569000000000003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20.285</v>
      </c>
      <c r="C50" s="41">
        <f>NSG_Supplies!R8/1000</f>
        <v>20.285</v>
      </c>
      <c r="D50" s="41">
        <f>NSG_Supplies!R9/1000</f>
        <v>20.285</v>
      </c>
      <c r="E50" s="41">
        <f>NSG_Supplies!R10/1000</f>
        <v>20.285</v>
      </c>
      <c r="F50" s="41">
        <f>NSG_Supplies!R11/1000</f>
        <v>20.285</v>
      </c>
      <c r="G50" s="41">
        <f>NSG_Supplies!R12/1000</f>
        <v>20.285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37071</v>
      </c>
      <c r="C52" s="89">
        <f t="shared" si="1"/>
        <v>37072</v>
      </c>
      <c r="D52" s="89">
        <f t="shared" si="1"/>
        <v>37073</v>
      </c>
      <c r="E52" s="89">
        <f t="shared" si="1"/>
        <v>37074</v>
      </c>
      <c r="F52" s="89">
        <f t="shared" si="1"/>
        <v>37075</v>
      </c>
      <c r="G52" s="89">
        <f t="shared" si="1"/>
        <v>37076</v>
      </c>
      <c r="H52" s="14"/>
      <c r="I52" s="15"/>
    </row>
    <row r="53" spans="1:9" ht="15">
      <c r="A53" s="92" t="s">
        <v>290</v>
      </c>
      <c r="B53" s="41">
        <f>PGL_Requirements!O7/1000</f>
        <v>100</v>
      </c>
      <c r="C53" s="41">
        <f>PGL_Requirements!O8/1000</f>
        <v>115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Saturday</v>
      </c>
      <c r="C4" s="1066" t="str">
        <f>Six_Day_Summary!A15</f>
        <v>Sunday</v>
      </c>
      <c r="D4" s="1066" t="str">
        <f>Six_Day_Summary!A20</f>
        <v>Monday</v>
      </c>
      <c r="E4" s="1066" t="str">
        <f>Six_Day_Summary!A25</f>
        <v>Tuesday</v>
      </c>
      <c r="F4" s="1067" t="str">
        <f>Six_Day_Summary!A30</f>
        <v>Wednesday</v>
      </c>
      <c r="G4" s="98"/>
    </row>
    <row r="5" spans="1:8">
      <c r="A5" s="101" t="s">
        <v>297</v>
      </c>
      <c r="B5" s="1068">
        <f>Weather_Input!A6</f>
        <v>37072</v>
      </c>
      <c r="C5" s="1069">
        <f>Weather_Input!A7</f>
        <v>37073</v>
      </c>
      <c r="D5" s="1069">
        <f>Weather_Input!A8</f>
        <v>37074</v>
      </c>
      <c r="E5" s="1069">
        <f>Weather_Input!A9</f>
        <v>37075</v>
      </c>
      <c r="F5" s="1070">
        <f>Weather_Input!A10</f>
        <v>37076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21.712</v>
      </c>
      <c r="C6" s="1071">
        <f>PGL_Supplies!AB9/1000+PGL_Supplies!K9/1000-PGL_Requirements!N9/1000+C15-PGL_Requirements!S9/1000</f>
        <v>33.731000000000002</v>
      </c>
      <c r="D6" s="1071">
        <f>PGL_Supplies!AB10/1000+PGL_Supplies!K10/1000-PGL_Requirements!N10/1000+D15-PGL_Requirements!S10/1000</f>
        <v>33.731000000000002</v>
      </c>
      <c r="E6" s="1071">
        <f>PGL_Supplies!AB11/1000+PGL_Supplies!K11/1000-PGL_Requirements!N11/1000+E15-PGL_Requirements!S11/1000</f>
        <v>33.731000000000002</v>
      </c>
      <c r="F6" s="1072">
        <f>PGL_Supplies!AB12/1000+PGL_Supplies!K12/1000-PGL_Requirements!N12/1000+F15-PGL_Requirements!S12/1000</f>
        <v>33.731000000000002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Saturday</v>
      </c>
      <c r="C21" s="1081" t="str">
        <f t="shared" si="0"/>
        <v>Sunday</v>
      </c>
      <c r="D21" s="1081" t="str">
        <f t="shared" si="0"/>
        <v>Monday</v>
      </c>
      <c r="E21" s="1081" t="str">
        <f t="shared" si="0"/>
        <v>Tuesday</v>
      </c>
      <c r="F21" s="1082" t="str">
        <f t="shared" si="0"/>
        <v>Wednesday</v>
      </c>
      <c r="G21" s="98"/>
    </row>
    <row r="22" spans="1:7">
      <c r="A22" s="105" t="s">
        <v>297</v>
      </c>
      <c r="B22" s="1083">
        <f t="shared" si="0"/>
        <v>37072</v>
      </c>
      <c r="C22" s="1083">
        <f t="shared" si="0"/>
        <v>37073</v>
      </c>
      <c r="D22" s="1083">
        <f t="shared" si="0"/>
        <v>37074</v>
      </c>
      <c r="E22" s="1083">
        <f t="shared" si="0"/>
        <v>37075</v>
      </c>
      <c r="F22" s="1084">
        <f t="shared" si="0"/>
        <v>37076</v>
      </c>
      <c r="G22" s="98"/>
    </row>
    <row r="23" spans="1:7">
      <c r="A23" s="98" t="s">
        <v>298</v>
      </c>
      <c r="B23" s="1077">
        <f>NSG_Supplies!Q8/1000+NSG_Supplies!F8/1000-NSG_Requirements!H8/1000</f>
        <v>32.158999999999999</v>
      </c>
      <c r="C23" s="1077">
        <f>NSG_Supplies!Q9/1000+NSG_Supplies!F9/1000-NSG_Requirements!H9/1000</f>
        <v>25.568999999999999</v>
      </c>
      <c r="D23" s="1077">
        <f>NSG_Supplies!Q10/1000+NSG_Supplies!F10/1000-NSG_Requirements!H10/1000</f>
        <v>25.568999999999999</v>
      </c>
      <c r="E23" s="1077">
        <f>NSG_Supplies!Q12/1000+NSG_Supplies!F11/1000-NSG_Requirements!H11/1000</f>
        <v>25.568999999999999</v>
      </c>
      <c r="F23" s="1072">
        <f>NSG_Supplies!Q12/1000+NSG_Supplies!F12/1000-NSG_Requirements!H12/1000</f>
        <v>25.568999999999999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37072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11.914</v>
      </c>
      <c r="E4" s="789"/>
      <c r="F4" s="169" t="s">
        <v>520</v>
      </c>
      <c r="G4" s="60"/>
      <c r="H4" s="151">
        <f>PGL_Requirements!O8/1000</f>
        <v>115</v>
      </c>
      <c r="I4" s="173">
        <f>AVERAGE(H4/1.025)</f>
        <v>112.19512195121952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4.791666666666667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157.04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94.274000000000001</v>
      </c>
      <c r="D11" s="778"/>
      <c r="E11" s="1056"/>
      <c r="F11" s="430" t="s">
        <v>356</v>
      </c>
      <c r="G11" s="442">
        <f>G8+G10</f>
        <v>157.04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94.274000000000001</v>
      </c>
      <c r="D14" s="433"/>
      <c r="E14" s="435">
        <f>AVERAGE(C14/24)</f>
        <v>3.9280833333333334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1.2529999999999999</v>
      </c>
      <c r="D15" s="60"/>
      <c r="E15" s="158"/>
      <c r="F15" s="772" t="s">
        <v>532</v>
      </c>
      <c r="G15" s="442">
        <f>SUM(G11)-G16-G17</f>
        <v>137.04</v>
      </c>
      <c r="H15" s="433" t="s">
        <v>9</v>
      </c>
      <c r="I15" s="435">
        <f>AVERAGE(G15/24)</f>
        <v>5.71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20</v>
      </c>
      <c r="H16" s="443" t="s">
        <v>9</v>
      </c>
      <c r="I16" s="435">
        <f>AVERAGE(G16/24)</f>
        <v>0.83333333333333337</v>
      </c>
    </row>
    <row r="17" spans="1:9" ht="15.75" customHeight="1" thickTop="1" thickBot="1">
      <c r="B17" s="430" t="s">
        <v>356</v>
      </c>
      <c r="C17" s="442">
        <f>SUM(C15:C16)-SUM(D15:D16)</f>
        <v>1.0529999999999999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1.0529999999999999</v>
      </c>
      <c r="D20" s="436" t="s">
        <v>9</v>
      </c>
      <c r="E20" s="435">
        <f>AVERAGE(C20/24)</f>
        <v>4.3874999999999997E-2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37072</v>
      </c>
      <c r="I1" s="914"/>
      <c r="J1" s="916"/>
      <c r="K1" s="916"/>
    </row>
    <row r="2" spans="1:22" ht="16.5" customHeight="1">
      <c r="A2" s="934" t="s">
        <v>641</v>
      </c>
      <c r="C2" s="982">
        <v>267</v>
      </c>
      <c r="F2" s="983">
        <v>273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32.158999999999999</v>
      </c>
      <c r="I9" s="987"/>
      <c r="K9" s="914" t="s">
        <v>645</v>
      </c>
      <c r="L9" s="936">
        <f>NSG_Deliveries!C6/1000</f>
        <v>31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1.0529999999999999</v>
      </c>
      <c r="B11" s="987"/>
      <c r="H11" s="936">
        <f>NSG_Supplies!T8/1000</f>
        <v>0</v>
      </c>
      <c r="K11" s="917" t="s">
        <v>646</v>
      </c>
      <c r="L11" s="942">
        <f>SUM(K4+K17+K19+H11+H9-L9)</f>
        <v>1.1589999999999989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94.274000000000001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275</v>
      </c>
      <c r="F15" s="988">
        <v>275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595</v>
      </c>
      <c r="D18" s="990"/>
      <c r="E18" s="990"/>
      <c r="F18" s="983">
        <v>795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137.04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180</v>
      </c>
      <c r="L26" s="914" t="s">
        <v>645</v>
      </c>
      <c r="M26" s="936">
        <f>NSG_Deliveries!C6/1000</f>
        <v>31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113.36699999999999</v>
      </c>
      <c r="L28" s="917" t="s">
        <v>689</v>
      </c>
      <c r="M28" s="942">
        <f>SUM(J2+K17+K19+H11+H9-M26)</f>
        <v>13.073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37071</v>
      </c>
      <c r="G29" s="936">
        <f>PGL_Requirements!G7/1000</f>
        <v>58.642000000000003</v>
      </c>
      <c r="H29" s="915"/>
      <c r="J29" s="917" t="s">
        <v>649</v>
      </c>
      <c r="K29" s="936">
        <f>PGL_Supplies!AB8/1000+PGL_Supplies!K8/1000-PGL_Requirements!N8/1000</f>
        <v>21.712</v>
      </c>
    </row>
    <row r="30" spans="1:17" ht="10.5" customHeight="1">
      <c r="A30" s="919"/>
      <c r="B30" s="936"/>
      <c r="C30" s="917"/>
      <c r="D30" s="936"/>
      <c r="F30" s="1041">
        <f>PGL_Requirements!A8</f>
        <v>37072</v>
      </c>
      <c r="G30" s="936">
        <f>PGL_Requirements!G8/1000</f>
        <v>20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-44.921000000000021</v>
      </c>
    </row>
    <row r="32" spans="1:17">
      <c r="A32" s="936">
        <f>PGL_Supplies!G8/1000</f>
        <v>1</v>
      </c>
      <c r="G32" s="936">
        <f>PGL_Requirements!O8/1000</f>
        <v>115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599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248.36699999999999</v>
      </c>
      <c r="B40" s="930"/>
      <c r="C40" s="929"/>
      <c r="D40" s="930"/>
      <c r="E40" s="930"/>
      <c r="F40" s="998"/>
      <c r="G40" s="998">
        <f>SUM(G30:G35)</f>
        <v>135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113.36699999999999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274</v>
      </c>
      <c r="E45" s="1003"/>
      <c r="F45" s="1004">
        <v>6.7000000000000004E-2</v>
      </c>
      <c r="G45" s="1005">
        <f>(C45-D45)*F45</f>
        <v>11.792000000000002</v>
      </c>
      <c r="H45" s="1005">
        <f>(D45-B45)*F45</f>
        <v>-6.7000000000000004E-2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271</v>
      </c>
      <c r="E47" s="1003"/>
      <c r="F47" s="1004">
        <v>0.14099999999999999</v>
      </c>
      <c r="G47" s="1005">
        <f>(C47-D47)*F47</f>
        <v>25.238999999999997</v>
      </c>
      <c r="H47" s="1005">
        <f>(D47-B47)*F47</f>
        <v>-0.56399999999999995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597</v>
      </c>
      <c r="E48" s="1003"/>
      <c r="F48" s="1004">
        <v>0.161</v>
      </c>
      <c r="G48" s="1005">
        <f>(C48-D48)*F48</f>
        <v>24.632999999999999</v>
      </c>
      <c r="H48" s="1005">
        <f>(D48-B48)*F48</f>
        <v>50.231999999999999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61.664000000000001</v>
      </c>
      <c r="H49" s="1005">
        <f>SUM(H45:H48)</f>
        <v>49.600999999999999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37071</v>
      </c>
      <c r="B5" s="11">
        <v>86</v>
      </c>
      <c r="C5" s="49">
        <v>68</v>
      </c>
      <c r="D5" s="49">
        <v>6.6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811</v>
      </c>
      <c r="K5" s="11">
        <v>1</v>
      </c>
      <c r="L5" s="11">
        <v>1</v>
      </c>
      <c r="N5" s="15" t="str">
        <f>I5&amp;" "&amp;I5</f>
        <v xml:space="preserve">SUNNY AND HOT … HIGH IN THE MIDDLE 80S. SE WINDS 5 TO 10. TONIGHT, PARTLY  SUNNY AND HOT … HIGH IN THE MIDDLE 80S. SE WINDS 5 TO 10. TONIGHT, PARTLY </v>
      </c>
      <c r="AE5" s="15">
        <v>1</v>
      </c>
      <c r="AH5" s="15" t="s">
        <v>32</v>
      </c>
    </row>
    <row r="6" spans="1:34" ht="16.5" customHeight="1">
      <c r="A6" s="86">
        <f>A5+1</f>
        <v>37072</v>
      </c>
      <c r="B6" s="11">
        <v>88</v>
      </c>
      <c r="C6" s="49">
        <v>67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CHANCE OF A T-STORM. HIGH IN THE MIDDLE 80S.  </v>
      </c>
      <c r="AE6" s="15">
        <v>1</v>
      </c>
      <c r="AH6" s="15" t="s">
        <v>33</v>
      </c>
    </row>
    <row r="7" spans="1:34" ht="16.5" customHeight="1">
      <c r="A7" s="86">
        <f>A6+1</f>
        <v>37073</v>
      </c>
      <c r="B7" s="11">
        <v>75</v>
      </c>
      <c r="C7" s="49">
        <v>55</v>
      </c>
      <c r="D7" s="49">
        <v>16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CHANCE OF SHOWERS AND T-STORMS. HIGH IN THE 80S.. LOW IN THE MIDDLE 60S  </v>
      </c>
    </row>
    <row r="8" spans="1:34" ht="16.5" customHeight="1">
      <c r="A8" s="86">
        <f>A7+1</f>
        <v>37074</v>
      </c>
      <c r="B8" s="11">
        <v>75</v>
      </c>
      <c r="C8" s="49">
        <v>59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814</v>
      </c>
      <c r="J8" s="894" t="s">
        <v>9</v>
      </c>
      <c r="K8" s="11">
        <v>6</v>
      </c>
      <c r="L8" s="11"/>
      <c r="N8" s="15" t="str">
        <f>I8&amp;" "&amp;J8</f>
        <v xml:space="preserve">PARTLY CLOUDY. HIGH IN THE MIDDLE 80S.. LOW IN THE LOWER 60S.  </v>
      </c>
    </row>
    <row r="9" spans="1:34" ht="16.5" customHeight="1">
      <c r="A9" s="86">
        <f>A8+1</f>
        <v>37075</v>
      </c>
      <c r="B9" s="11">
        <v>77</v>
      </c>
      <c r="C9" s="49">
        <v>59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37076</v>
      </c>
      <c r="B10" s="11">
        <v>77</v>
      </c>
      <c r="C10" s="49">
        <v>59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814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37071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96.116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0.1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96.016000000000005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4.7300000000000004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21.965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100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35.713999999999999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155.19800000000001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86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6.6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37071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32.158999999999999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33.790999999999997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37071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37070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107954</v>
      </c>
      <c r="O6" s="201">
        <v>0</v>
      </c>
      <c r="P6" s="201">
        <v>52905644</v>
      </c>
      <c r="Q6" s="201">
        <v>15045098</v>
      </c>
      <c r="R6" s="201">
        <v>37860546</v>
      </c>
      <c r="S6" s="201">
        <v>0</v>
      </c>
    </row>
    <row r="7" spans="1:19">
      <c r="A7" s="4">
        <f>B1</f>
        <v>37071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98616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53004260</v>
      </c>
      <c r="Q7">
        <f>IF(O7&gt;0,Q6+O7,Q6)</f>
        <v>15045098</v>
      </c>
      <c r="R7">
        <f>IF(P7&gt;Q7,P7-Q7,0)</f>
        <v>37959162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37071</v>
      </c>
      <c r="B5" s="1">
        <f>(Weather_Input!B5+Weather_Input!C5)/2</f>
        <v>77</v>
      </c>
      <c r="C5" s="895">
        <v>195000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37072</v>
      </c>
      <c r="B6" s="913">
        <f>(Weather_Input!B6+Weather_Input!C6)/2</f>
        <v>77.5</v>
      </c>
      <c r="C6" s="895">
        <v>180000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37073</v>
      </c>
      <c r="B7" s="913">
        <f>(Weather_Input!B7+Weather_Input!C7)/2</f>
        <v>65</v>
      </c>
      <c r="C7" s="895">
        <v>190000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37074</v>
      </c>
      <c r="B8" s="913">
        <f>(Weather_Input!B8+Weather_Input!C8)/2</f>
        <v>67</v>
      </c>
      <c r="C8" s="895">
        <v>210000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37075</v>
      </c>
      <c r="B9" s="913">
        <f>(Weather_Input!B9+Weather_Input!C9)/2</f>
        <v>68</v>
      </c>
      <c r="C9" s="895">
        <v>210000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37076</v>
      </c>
      <c r="B10" s="913">
        <f>(Weather_Input!B10+Weather_Input!C10)/2</f>
        <v>68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37071</v>
      </c>
      <c r="B5" s="1">
        <f>(Weather_Input!B5+Weather_Input!C5)/2</f>
        <v>77</v>
      </c>
      <c r="C5" s="895">
        <v>32500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37072</v>
      </c>
      <c r="B6" s="913">
        <f>(Weather_Input!B6+Weather_Input!C6)/2</f>
        <v>77.5</v>
      </c>
      <c r="C6" s="895">
        <v>31000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37073</v>
      </c>
      <c r="B7" s="913">
        <f>(Weather_Input!B7+Weather_Input!C7)/2</f>
        <v>65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37074</v>
      </c>
      <c r="B8" s="913">
        <f>(Weather_Input!B8+Weather_Input!C8)/2</f>
        <v>67</v>
      </c>
      <c r="C8" s="895">
        <v>36000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37075</v>
      </c>
      <c r="B9" s="913">
        <f>(Weather_Input!B9+Weather_Input!C9)/2</f>
        <v>68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37076</v>
      </c>
      <c r="B10" s="913">
        <f>(Weather_Input!B10+Weather_Input!C10)/2</f>
        <v>68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37071</v>
      </c>
      <c r="B7" s="904">
        <v>0</v>
      </c>
      <c r="C7" s="620">
        <v>0</v>
      </c>
      <c r="D7" s="620">
        <v>2400</v>
      </c>
      <c r="E7" s="904">
        <v>2500</v>
      </c>
      <c r="F7" s="904">
        <v>0</v>
      </c>
      <c r="G7" s="906">
        <v>58642</v>
      </c>
      <c r="H7" s="619">
        <v>0</v>
      </c>
      <c r="I7" s="619">
        <v>100</v>
      </c>
      <c r="J7" s="620">
        <v>0</v>
      </c>
      <c r="K7" s="619">
        <v>0</v>
      </c>
      <c r="L7" s="620">
        <v>0</v>
      </c>
      <c r="M7" s="620">
        <v>0</v>
      </c>
      <c r="N7" s="621">
        <v>4730</v>
      </c>
      <c r="O7" s="620">
        <v>100000</v>
      </c>
      <c r="P7" s="622">
        <f t="shared" ref="P7:P12" si="0">O7*0.015</f>
        <v>1500</v>
      </c>
      <c r="Q7" s="620">
        <v>230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37072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20000</v>
      </c>
      <c r="H8" s="619">
        <v>0</v>
      </c>
      <c r="I8" s="619">
        <v>0</v>
      </c>
      <c r="J8" s="620">
        <v>5000</v>
      </c>
      <c r="K8" s="619">
        <v>0</v>
      </c>
      <c r="L8" s="620">
        <v>0</v>
      </c>
      <c r="M8" s="620">
        <v>0</v>
      </c>
      <c r="N8" s="621">
        <v>0</v>
      </c>
      <c r="O8" s="620">
        <v>115000</v>
      </c>
      <c r="P8" s="622">
        <f t="shared" si="0"/>
        <v>1725</v>
      </c>
      <c r="Q8" s="620">
        <v>230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37073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130000</v>
      </c>
      <c r="P9" s="622">
        <f t="shared" si="0"/>
        <v>1950</v>
      </c>
      <c r="Q9" s="620">
        <v>230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37074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20000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130000</v>
      </c>
      <c r="P10" s="622">
        <f t="shared" si="0"/>
        <v>1950</v>
      </c>
      <c r="Q10" s="620">
        <v>230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37075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130000</v>
      </c>
      <c r="P11" s="622">
        <f t="shared" si="0"/>
        <v>1950</v>
      </c>
      <c r="Q11" s="620">
        <v>230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37076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130000</v>
      </c>
      <c r="P12" s="622">
        <f t="shared" si="0"/>
        <v>1950</v>
      </c>
      <c r="Q12" s="620">
        <v>230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37071</v>
      </c>
      <c r="B7" s="622">
        <v>36500</v>
      </c>
      <c r="C7" s="622">
        <v>0</v>
      </c>
      <c r="D7" s="622">
        <v>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123210</v>
      </c>
      <c r="V7" s="621">
        <v>0</v>
      </c>
      <c r="W7" s="619">
        <v>0</v>
      </c>
      <c r="X7" s="907">
        <v>96116</v>
      </c>
      <c r="Y7" s="621">
        <v>200</v>
      </c>
      <c r="Z7" s="1">
        <v>0</v>
      </c>
      <c r="AA7" s="619">
        <v>155198</v>
      </c>
      <c r="AB7" s="619">
        <v>21965</v>
      </c>
      <c r="AC7" s="619">
        <v>2500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37072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0</v>
      </c>
      <c r="T8" s="620">
        <v>0</v>
      </c>
      <c r="U8" s="621">
        <v>123210</v>
      </c>
      <c r="V8" s="621">
        <v>0</v>
      </c>
      <c r="W8" s="619">
        <v>0</v>
      </c>
      <c r="X8" s="907">
        <v>94274</v>
      </c>
      <c r="Y8" s="621">
        <v>1253</v>
      </c>
      <c r="Z8" s="1">
        <v>0</v>
      </c>
      <c r="AA8" s="619">
        <v>157040</v>
      </c>
      <c r="AB8" s="619">
        <v>21712</v>
      </c>
      <c r="AC8" s="619">
        <v>2500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37073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123210</v>
      </c>
      <c r="V9" s="621">
        <v>0</v>
      </c>
      <c r="W9" s="619">
        <v>0</v>
      </c>
      <c r="X9" s="907">
        <v>125693</v>
      </c>
      <c r="Y9" s="621">
        <v>200</v>
      </c>
      <c r="Z9" s="1">
        <v>0</v>
      </c>
      <c r="AA9" s="619">
        <v>157154</v>
      </c>
      <c r="AB9" s="619">
        <v>33731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37074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123210</v>
      </c>
      <c r="V10" s="621">
        <v>0</v>
      </c>
      <c r="W10" s="619">
        <v>0</v>
      </c>
      <c r="X10" s="907">
        <v>125693</v>
      </c>
      <c r="Y10" s="621">
        <v>200</v>
      </c>
      <c r="Z10" s="1">
        <v>0</v>
      </c>
      <c r="AA10" s="619">
        <v>157154</v>
      </c>
      <c r="AB10" s="619">
        <v>33731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37075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123210</v>
      </c>
      <c r="V11" s="621">
        <v>0</v>
      </c>
      <c r="W11" s="619">
        <v>0</v>
      </c>
      <c r="X11" s="907">
        <v>119693</v>
      </c>
      <c r="Y11" s="621">
        <v>200</v>
      </c>
      <c r="Z11" s="1">
        <v>0</v>
      </c>
      <c r="AA11" s="619">
        <v>157154</v>
      </c>
      <c r="AB11" s="619">
        <v>33731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37076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123210</v>
      </c>
      <c r="V12" s="621">
        <v>0</v>
      </c>
      <c r="W12" s="619">
        <v>0</v>
      </c>
      <c r="X12" s="907">
        <v>119693</v>
      </c>
      <c r="Y12" s="621">
        <v>200</v>
      </c>
      <c r="Z12" s="1">
        <v>0</v>
      </c>
      <c r="AA12" s="619">
        <v>157154</v>
      </c>
      <c r="AB12" s="619">
        <v>33731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37071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11570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37071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37072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11914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37072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37073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37073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37074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37074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37075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37075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37076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37076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37071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32159</v>
      </c>
      <c r="R7" s="622">
        <v>20285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37072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32159</v>
      </c>
      <c r="R8" s="622">
        <v>20285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37073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25569</v>
      </c>
      <c r="R9" s="622">
        <v>20285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37074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25569</v>
      </c>
      <c r="R10" s="622">
        <v>20285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37075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25569</v>
      </c>
      <c r="R11" s="622">
        <v>20285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37076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25569</v>
      </c>
      <c r="R12" s="622">
        <v>20285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activeCell="D7" sqref="D7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FRI</v>
      </c>
      <c r="I1" s="824">
        <f>D4</f>
        <v>37071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FRI</v>
      </c>
      <c r="E3" s="829" t="str">
        <f t="shared" si="0"/>
        <v>SAT</v>
      </c>
      <c r="F3" s="829" t="str">
        <f t="shared" si="0"/>
        <v>SUN</v>
      </c>
      <c r="G3" s="829" t="str">
        <f t="shared" si="0"/>
        <v>MON</v>
      </c>
      <c r="H3" s="829" t="str">
        <f t="shared" si="0"/>
        <v>TUE</v>
      </c>
      <c r="I3" s="830" t="str">
        <f t="shared" si="0"/>
        <v>WED</v>
      </c>
    </row>
    <row r="4" spans="1:256" ht="18.95" customHeight="1" thickBot="1">
      <c r="A4" s="831"/>
      <c r="B4" s="832"/>
      <c r="C4" s="832"/>
      <c r="D4" s="461">
        <f>Weather_Input!A5</f>
        <v>37071</v>
      </c>
      <c r="E4" s="461">
        <f>Weather_Input!A6</f>
        <v>37072</v>
      </c>
      <c r="F4" s="461">
        <f>Weather_Input!A7</f>
        <v>37073</v>
      </c>
      <c r="G4" s="461">
        <f>Weather_Input!A8</f>
        <v>37074</v>
      </c>
      <c r="H4" s="461">
        <f>Weather_Input!A9</f>
        <v>37075</v>
      </c>
      <c r="I4" s="462">
        <f>Weather_Input!A10</f>
        <v>37076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86/68/77</v>
      </c>
      <c r="E5" s="463" t="str">
        <f>TEXT(Weather_Input!B6,"0")&amp;"/"&amp;TEXT(Weather_Input!C6,"0") &amp; "/" &amp; TEXT((Weather_Input!B6+Weather_Input!C6)/2,"0")</f>
        <v>88/67/78</v>
      </c>
      <c r="F5" s="463" t="str">
        <f>TEXT(Weather_Input!B7,"0")&amp;"/"&amp;TEXT(Weather_Input!C7,"0") &amp; "/" &amp; TEXT((Weather_Input!B7+Weather_Input!C7)/2,"0")</f>
        <v>75/55/65</v>
      </c>
      <c r="G5" s="463" t="str">
        <f>TEXT(Weather_Input!B8,"0")&amp;"/"&amp;TEXT(Weather_Input!C8,"0") &amp; "/" &amp; TEXT((Weather_Input!B8+Weather_Input!C8)/2,"0")</f>
        <v>75/59/67</v>
      </c>
      <c r="H5" s="463" t="str">
        <f>TEXT(Weather_Input!B9,"0")&amp;"/"&amp;TEXT(Weather_Input!C9,"0") &amp; "/" &amp; TEXT((Weather_Input!B9+Weather_Input!C9)/2,"0")</f>
        <v>77/59/68</v>
      </c>
      <c r="I5" s="464" t="str">
        <f>TEXT(Weather_Input!B10,"0")&amp;"/"&amp;TEXT(Weather_Input!C10,"0") &amp; "/" &amp; TEXT((Weather_Input!B10+Weather_Input!C10)/2,"0")</f>
        <v>77/59/68</v>
      </c>
    </row>
    <row r="6" spans="1:256" ht="18.95" customHeight="1">
      <c r="A6" s="838" t="s">
        <v>134</v>
      </c>
      <c r="B6" s="826"/>
      <c r="C6" s="826"/>
      <c r="D6" s="463">
        <f>PGL_Deliveries!C5/1000</f>
        <v>195</v>
      </c>
      <c r="E6" s="463">
        <f>PGL_Deliveries!C6/1000</f>
        <v>180</v>
      </c>
      <c r="F6" s="463">
        <f>PGL_Deliveries!C7/1000</f>
        <v>190</v>
      </c>
      <c r="G6" s="463">
        <f>PGL_Deliveries!C8/1000</f>
        <v>210</v>
      </c>
      <c r="H6" s="463">
        <f>PGL_Deliveries!C9/1000</f>
        <v>210</v>
      </c>
      <c r="I6" s="464">
        <f>PGL_Deliveries!C10/1000</f>
        <v>210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29.321000000000002</v>
      </c>
      <c r="E7" s="463">
        <f>PGL_Requirements!G8/1000*0.5</f>
        <v>10</v>
      </c>
      <c r="F7" s="463">
        <f>PGL_Requirements!G9/1000*0.5</f>
        <v>10</v>
      </c>
      <c r="G7" s="463">
        <f>PGL_Requirements!G10/1000*0.5</f>
        <v>10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775</v>
      </c>
      <c r="B8" s="826"/>
      <c r="C8" s="826"/>
      <c r="D8" s="463">
        <f>PGL_Requirements!J7/1000</f>
        <v>0</v>
      </c>
      <c r="E8" s="463">
        <f>PGL_Requirements!J8/1000</f>
        <v>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100</v>
      </c>
      <c r="E11" s="463">
        <f>PGL_Requirements!O8/1000</f>
        <v>115</v>
      </c>
      <c r="F11" s="463">
        <f>PGL_Requirements!O9/1000</f>
        <v>130</v>
      </c>
      <c r="G11" s="463">
        <f>PGL_Requirements!O10/1000</f>
        <v>130</v>
      </c>
      <c r="H11" s="463">
        <f>PGL_Requirements!O11/1000</f>
        <v>130</v>
      </c>
      <c r="I11" s="464">
        <f>PGL_Requirements!O12/1000</f>
        <v>130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1.5</v>
      </c>
      <c r="E12" s="463">
        <f>PGL_Requirements!P8/1000</f>
        <v>1.7250000000000001</v>
      </c>
      <c r="F12" s="463">
        <f>PGL_Requirements!P9/1000</f>
        <v>1.95</v>
      </c>
      <c r="G12" s="463">
        <f>PGL_Requirements!P10/1000</f>
        <v>1.95</v>
      </c>
      <c r="H12" s="463">
        <f>PGL_Requirements!P11/1000</f>
        <v>1.95</v>
      </c>
      <c r="I12" s="464">
        <f>PGL_Requirements!P12/1000</f>
        <v>1.95</v>
      </c>
    </row>
    <row r="13" spans="1:256" ht="18.95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778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95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4.7300000000000004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0.1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2.4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335.98100000000005</v>
      </c>
      <c r="E25" s="467">
        <f t="shared" si="1"/>
        <v>314.65500000000003</v>
      </c>
      <c r="F25" s="467">
        <f t="shared" si="1"/>
        <v>334.68</v>
      </c>
      <c r="G25" s="467">
        <f t="shared" si="1"/>
        <v>354.68</v>
      </c>
      <c r="H25" s="467">
        <f t="shared" si="1"/>
        <v>344.68</v>
      </c>
      <c r="I25" s="1099">
        <f t="shared" si="1"/>
        <v>344.68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96.116</v>
      </c>
      <c r="E37" s="463">
        <f>PGL_Supplies!X8/1000</f>
        <v>94.274000000000001</v>
      </c>
      <c r="F37" s="463">
        <f>PGL_Supplies!X9/1000</f>
        <v>125.693</v>
      </c>
      <c r="G37" s="463">
        <f>PGL_Supplies!X10/1000</f>
        <v>125.693</v>
      </c>
      <c r="H37" s="463">
        <f>PGL_Supplies!X11/1000</f>
        <v>119.693</v>
      </c>
      <c r="I37" s="464">
        <f>PGL_Supplies!X12/1000</f>
        <v>119.693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1.2529999999999999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155.19800000000001</v>
      </c>
      <c r="E40" s="463">
        <f>PGL_Supplies!AA8/1000</f>
        <v>157.04</v>
      </c>
      <c r="F40" s="463">
        <f>PGL_Supplies!AA9/1000</f>
        <v>157.154</v>
      </c>
      <c r="G40" s="463">
        <f>PGL_Supplies!AA10/1000</f>
        <v>157.154</v>
      </c>
      <c r="H40" s="463">
        <f>PGL_Supplies!AA11/1000</f>
        <v>157.154</v>
      </c>
      <c r="I40" s="464">
        <f>PGL_Supplies!AA12/1000</f>
        <v>157.154</v>
      </c>
    </row>
    <row r="41" spans="1:10" ht="18.95" customHeight="1">
      <c r="A41" s="838"/>
      <c r="B41" s="826" t="s">
        <v>135</v>
      </c>
      <c r="C41" s="826"/>
      <c r="D41" s="463">
        <f>PGL_Supplies!AB7/1000</f>
        <v>21.965</v>
      </c>
      <c r="E41" s="463">
        <f>PGL_Supplies!AB8/1000</f>
        <v>21.712</v>
      </c>
      <c r="F41" s="463">
        <f>PGL_Supplies!AB9/1000</f>
        <v>33.731000000000002</v>
      </c>
      <c r="G41" s="463">
        <f>PGL_Supplies!AB10/1000</f>
        <v>33.731000000000002</v>
      </c>
      <c r="H41" s="463">
        <f>PGL_Supplies!AB11/1000</f>
        <v>33.731000000000002</v>
      </c>
      <c r="I41" s="464">
        <f>PGL_Supplies!AB12/1000</f>
        <v>33.731000000000002</v>
      </c>
    </row>
    <row r="42" spans="1:10" ht="18.95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2.5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36.5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335.97899999999998</v>
      </c>
      <c r="E50" s="473">
        <f t="shared" si="2"/>
        <v>292.779</v>
      </c>
      <c r="F50" s="473">
        <f t="shared" si="2"/>
        <v>335.77800000000002</v>
      </c>
      <c r="G50" s="473">
        <f t="shared" si="2"/>
        <v>335.77800000000002</v>
      </c>
      <c r="H50" s="473">
        <f t="shared" si="2"/>
        <v>329.77800000000002</v>
      </c>
      <c r="I50" s="1101">
        <f t="shared" si="2"/>
        <v>329.77800000000002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1.0980000000000132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2.0000000000663931E-3</v>
      </c>
      <c r="E52" s="475">
        <f t="shared" si="4"/>
        <v>21.876000000000033</v>
      </c>
      <c r="F52" s="475">
        <f t="shared" si="4"/>
        <v>0</v>
      </c>
      <c r="G52" s="475">
        <f t="shared" si="4"/>
        <v>18.901999999999987</v>
      </c>
      <c r="H52" s="475">
        <f t="shared" si="4"/>
        <v>14.901999999999987</v>
      </c>
      <c r="I52" s="1103">
        <f t="shared" si="4"/>
        <v>14.901999999999987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123.21</v>
      </c>
      <c r="E53" s="1092">
        <f>PGL_Supplies!U8/1000</f>
        <v>123.21</v>
      </c>
      <c r="F53" s="1092">
        <f>PGL_Supplies!U9/1000</f>
        <v>123.21</v>
      </c>
      <c r="G53" s="1092">
        <f>PGL_Supplies!U10/1000</f>
        <v>123.21</v>
      </c>
      <c r="H53" s="1092">
        <f>PGL_Supplies!U11/1000</f>
        <v>123.21</v>
      </c>
      <c r="I53" s="1093">
        <f>PGL_Supplies!U12/1000</f>
        <v>123.21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2001-06-29T19:17:35Z</cp:lastPrinted>
  <dcterms:created xsi:type="dcterms:W3CDTF">1997-07-16T16:14:22Z</dcterms:created>
  <dcterms:modified xsi:type="dcterms:W3CDTF">2023-09-10T17:05:00Z</dcterms:modified>
</cp:coreProperties>
</file>