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317D23-9A5F-4768-BC03-16CFD2BA13BD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2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<sst xmlns="http://schemas.openxmlformats.org/spreadsheetml/2006/main" count="2068" uniqueCount="819">
  <si>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</si>
  <si>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</si>
  <si>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</si>
  <si>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</si>
  <si>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</si>
  <si>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</si>
  <si>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</si>
  <si>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</si>
  <si>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</si>
  <si>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</si>
  <si>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</si>
  <si>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</si>
  <si>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</si>
  <si>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</si>
  <si>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</si>
  <si>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</si>
  <si>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</si>
  <si>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</si>
  <si>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</si>
  <si>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</si>
  <si>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</si>
  <si>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</si>
  <si>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</si>
  <si>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</si>
  <si>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</si>
  <si>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</si>
  <si>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</si>
  <si>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</si>
  <si>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</si>
  <si>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</si>
  <si>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</si>
  <si>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</si>
  <si>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</si>
  <si>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</si>
  <si>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</si>
  <si>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</si>
  <si>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</si>
  <si>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</si>
  <si>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</si>
  <si>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</si>
  <si>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</si>
  <si>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</si>
  <si>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</si>
  <si>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</si>
  <si>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</si>
  <si>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</si>
  <si>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</si>
  <si>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</si>
  <si>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</si>
  <si>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</si>
  <si>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</si>
  <si>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</si>
  <si>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</si>
  <si>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</si>
  <si>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</si>
  <si>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</si>
  <si>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</si>
  <si>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</si>
  <si>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</si>
  <si>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</si>
  <si>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</si>
  <si>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</si>
  <si>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</si>
  <si>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</si>
  <si>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</si>
  <si>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</si>
  <si>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</si>
  <si>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</si>
  <si>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</si>
  <si>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</si>
  <si>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</si>
  <si>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</si>
  <si>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</si>
  <si>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</si>
  <si>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</si>
  <si>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</si>
  <si>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</si>
  <si>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</si>
  <si>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</si>
  <si>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</si>
  <si>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</si>
  <si>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</si>
  <si>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</si>
  <si>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</si>
  <si>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</si>
  <si>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</si>
  <si>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</si>
  <si>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</si>
  <si>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</si>
  <si>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</si>
  <si>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</si>
  <si>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</si>
  <si>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</si>
  <si>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</si>
  <si>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</si>
  <si>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</si>
  <si>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</si>
  <si>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</si>
  <si>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</si>
  <si>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</si>
  <si>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</si>
  <si>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</si>
  <si>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</si>
  <si>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</si>
  <si>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</si>
  <si>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</si>
  <si>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</si>
  <si>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</si>
  <si>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</si>
  <si>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</si>
  <si>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</si>
  <si>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</si>
  <si>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</si>
  <si>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</si>
  <si>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</si>
  <si>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</si>
  <si>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</si>
  <si>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</si>
  <si>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</si>
  <si>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</si>
  <si>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</si>
  <si>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</si>
  <si>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</si>
  <si>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</si>
  <si>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</si>
  <si>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</si>
  <si>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</si>
  <si>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</si>
  <si>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</si>
  <si>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</si>
  <si>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</si>
  <si>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</si>
  <si>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</si>
  <si>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</si>
  <si>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</si>
  <si>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</si>
  <si>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</si>
  <si>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</si>
  <si>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</si>
  <si>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</si>
  <si>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</si>
  <si>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</si>
  <si>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</si>
  <si>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</si>
  <si>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</si>
  <si>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</si>
  <si>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</si>
  <si>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</si>
  <si>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</si>
  <si>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</si>
  <si>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</si>
  <si>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</si>
  <si>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</si>
  <si>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</si>
  <si>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</si>
  <si>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</si>
  <si>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</si>
  <si>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</si>
  <si>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</si>
  <si>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</si>
  <si>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</si>
  <si>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</si>
  <si>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</si>
  <si>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</si>
  <si>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</si>
  <si>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</si>
  <si>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</si>
  <si>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</si>
  <si>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</si>
  <si>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</si>
  <si>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</si>
  <si>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</si>
  <si>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</si>
  <si>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</si>
  <si>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</si>
  <si>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</si>
  <si>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</si>
  <si>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</si>
  <si>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</si>
  <si>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</si>
  <si>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</si>
  <si>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</si>
  <si>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</si>
  <si>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</si>
  <si>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</si>
  <si>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</si>
  <si>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</si>
  <si>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</si>
  <si>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</si>
  <si>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</si>
  <si>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</si>
  <si>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</si>
  <si>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</si>
  <si>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</si>
  <si>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</si>
  <si>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</si>
  <si>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</si>
  <si>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</si>
  <si>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</si>
  <si>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</si>
  <si>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</si>
  <si>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</si>
  <si>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</si>
  <si>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</si>
  <si>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</si>
  <si>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</si>
  <si>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</si>
  <si>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</si>
  <si>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</si>
  <si>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</si>
  <si>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</si>
  <si>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</si>
  <si>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</si>
  <si>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</si>
  <si>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</si>
  <si>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</si>
  <si>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</si>
  <si>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</si>
  <si>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</si>
  <si>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</si>
  <si>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</si>
  <si>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</si>
  <si>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</si>
  <si>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</si>
  <si>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</si>
  <si>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</si>
  <si>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</si>
  <si>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</si>
  <si>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</si>
  <si>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</si>
  <si>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</si>
  <si>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</si>
  <si>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</si>
  <si>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</si>
  <si>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</si>
  <si>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</si>
  <si>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</si>
  <si>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</si>
  <si>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</si>
  <si>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</si>
  <si>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</si>
  <si>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</si>
  <si>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</si>
  <si>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</si>
  <si>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</si>
  <si>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</si>
  <si>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</si>
  <si>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</si>
  <si>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</si>
  <si>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</si>
  <si>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</si>
  <si>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</si>
  <si>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</si>
  <si>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</si>
  <si>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</si>
  <si>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</si>
  <si>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</si>
  <si>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</si>
  <si>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</si>
  <si>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</si>
  <si>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</si>
  <si>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</si>
  <si>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</si>
  <si>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</si>
  <si>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</si>
  <si>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</si>
  <si>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</si>
  <si>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</si>
  <si>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</si>
  <si>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</si>
  <si>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</si>
  <si>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</si>
  <si>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</si>
  <si>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</si>
  <si>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</si>
  <si>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</si>
  <si>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</si>
  <si>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</si>
  <si>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</si>
  <si>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</si>
  <si>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</si>
  <si>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</si>
  <si>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</si>
  <si>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</si>
  <si>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</si>
  <si>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</si>
  <si>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</si>
  <si>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</si>
  <si>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</si>
  <si>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</si>
  <si>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</si>
  <si>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</si>
  <si>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</si>
  <si>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</si>
  <si>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</si>
  <si>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</si>
  <si>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</si>
  <si>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</si>
  <si>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</si>
  <si>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</si>
  <si>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</si>
  <si>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</si>
  <si>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</si>
  <si>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</si>
  <si>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</si>
  <si>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</si>
  <si>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</si>
  <si>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</si>
  <si>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</si>
  <si>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</si>
  <si>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</si>
  <si>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</si>
  <si>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</si>
  <si>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</si>
  <si>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</si>
  <si>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</si>
  <si>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</si>
  <si>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</si>
  <si>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</si>
  <si>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</si>
  <si>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</si>
  <si>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</si>
  <si>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</si>
  <si>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</si>
  <si>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</si>
  <si>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</si>
  <si>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</si>
  <si>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</si>
  <si>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</si>
  <si>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</si>
  <si>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</si>
  <si>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</si>
  <si>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</si>
  <si>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</si>
  <si>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</si>
  <si>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</si>
  <si>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</si>
  <si>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</si>
  <si>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</si>
  <si>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</si>
  <si>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</si>
  <si>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</si>
  <si>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</si>
  <si>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</si>
  <si>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</si>
  <si>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</si>
  <si>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</si>
  <si>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</si>
  <si>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</si>
  <si>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</si>
  <si>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</si>
  <si>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</si>
  <si>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</si>
  <si>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</si>
  <si>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</si>
  <si>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</si>
  <si>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</si>
  <si>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</si>
  <si>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</si>
  <si>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</si>
  <si>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</si>
  <si>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</si>
  <si>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</si>
  <si>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</si>
  <si>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</si>
  <si>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</si>
  <si>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</si>
  <si>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</si>
  <si>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</si>
  <si>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</si>
  <si>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</si>
  <si>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</si>
  <si>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</si>
  <si>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</si>
  <si>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</si>
  <si>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</si>
  <si>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</si>
  <si>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</si>
  <si>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</si>
  <si>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</si>
  <si>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</si>
  <si>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</si>
  <si>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</si>
  <si>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</si>
  <si>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</si>
  <si>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</si>
  <si>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</si>
  <si>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</si>
  <si>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</si>
  <si>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</si>
  <si>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</si>
  <si>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</si>
  <si>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</si>
  <si>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</si>
  <si>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</si>
  <si>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</si>
  <si>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</si>
  <si>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</si>
  <si>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</si>
  <si>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</si>
  <si>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</si>
  <si>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</si>
  <si>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</si>
  <si>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</si>
  <si>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</si>
  <si>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</si>
  <si>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</si>
  <si>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</si>
  <si>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</si>
  <si>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</si>
  <si>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</si>
  <si>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</si>
  <si>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</si>
  <si>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</si>
  <si>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</si>
  <si>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</si>
  <si>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</si>
  <si>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</si>
  <si>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</si>
  <si>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</si>
  <si>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</si>
  <si>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</si>
  <si>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</si>
  <si>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</si>
  <si>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</si>
  <si>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</si>
  <si>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</si>
  <si>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</si>
  <si>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</si>
  <si>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</si>
  <si>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</si>
  <si>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</si>
  <si>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</si>
  <si>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</si>
  <si>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</si>
  <si>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</si>
  <si>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</si>
  <si>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</si>
  <si>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</si>
  <si>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</si>
  <si>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</si>
  <si>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</si>
  <si>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</si>
  <si>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</si>
  <si>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</si>
  <si>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</si>
  <si>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</si>
  <si>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</si>
  <si>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</si>
  <si>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</si>
  <si>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</si>
  <si>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</si>
  <si>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</si>
  <si>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</si>
  <si>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</si>
  <si>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</si>
  <si>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</si>
  <si>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</si>
  <si>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</si>
  <si>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</si>
  <si>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</si>
  <si>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</si>
  <si>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</si>
  <si>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</si>
  <si>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</si>
  <si>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</si>
  <si>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</si>
  <si>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</si>
  <si>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</si>
  <si>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</si>
  <si>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</si>
  <si>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</si>
  <si>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</si>
  <si>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</si>
  <si>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</si>
  <si>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</si>
  <si>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</si>
  <si>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</si>
  <si>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</si>
  <si>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</si>
  <si>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</si>
  <si>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</si>
  <si>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</si>
  <si>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</si>
  <si>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</si>
  <si>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</si>
  <si>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</si>
  <si>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</si>
  <si>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</si>
  <si>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</si>
  <si>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</si>
  <si>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</si>
  <si>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</si>
  <si>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</si>
  <si>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</si>
  <si>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</si>
  <si>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</si>
  <si>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</si>
  <si>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</si>
  <si>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</si>
  <si>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</si>
  <si>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</si>
  <si>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</si>
  <si>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</si>
  <si>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</si>
  <si>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</si>
  <si>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</si>
  <si>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</si>
  <si>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</si>
  <si>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</si>
  <si>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</si>
  <si>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</si>
  <si>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</si>
  <si>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</si>
  <si>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</si>
  <si>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</si>
  <si>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</si>
  <si>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</si>
  <si>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</si>
  <si>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</si>
  <si>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</si>
  <si>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</si>
  <si>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</si>
  <si>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</si>
  <si>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</si>
  <si>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</si>
  <si>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</si>
  <si>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</si>
  <si>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</si>
  <si>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</si>
  <si>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</si>
  <si>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</si>
  <si>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</si>
  <si>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</si>
  <si>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</si>
  <si>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</si>
  <si>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</si>
  <si>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</si>
  <si>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</si>
  <si>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</si>
  <si>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</si>
  <si>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</si>
  <si>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</si>
  <si>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</si>
  <si>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</si>
  <si>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</si>
  <si>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</si>
  <si>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</si>
  <si>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</si>
  <si>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</si>
  <si>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</si>
  <si>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</si>
  <si>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</si>
  <si>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</si>
  <si>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</si>
  <si>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</si>
  <si>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</si>
  <si>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</si>
  <si>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</si>
  <si>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</si>
  <si>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</si>
  <si>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</si>
  <si>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</si>
  <si>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</si>
  <si>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</si>
  <si>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</si>
  <si>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</si>
  <si>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</si>
  <si>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</si>
  <si>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</si>
  <si>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</si>
  <si>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</si>
  <si>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</si>
  <si>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</si>
  <si>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</si>
  <si>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</si>
  <si>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</si>
  <si>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</si>
  <si>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</si>
  <si>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</si>
  <si>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</si>
  <si>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</si>
  <si>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</si>
  <si>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</si>
  <si>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</si>
  <si>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</si>
  <si>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</si>
  <si>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</si>
  <si>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</si>
  <si>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</si>
  <si>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</si>
  <si>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</si>
  <si>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</si>
  <si>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</si>
  <si>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</si>
  <si>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</si>
  <si>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</si>
  <si>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</si>
  <si>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</si>
  <si>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</si>
  <si>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</si>
  <si>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</si>
  <si>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</si>
  <si>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</si>
  <si>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</si>
  <si>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</si>
  <si>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</si>
  <si>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</si>
  <si>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</si>
  <si>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</si>
  <si>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</si>
  <si>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</si>
  <si>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</si>
  <si>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</si>
  <si>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</si>
  <si>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</si>
  <si>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</si>
  <si>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</si>
  <si>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</si>
  <si>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</si>
  <si>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</si>
  <si>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</si>
  <si>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</si>
  <si>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</si>
  <si>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</si>
  <si>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</si>
  <si>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</si>
  <si>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</si>
  <si>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</si>
  <si>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</si>
  <si>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</si>
  <si>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</si>
  <si>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</si>
  <si>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</si>
  <si>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</si>
  <si>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</si>
  <si>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</si>
  <si>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</si>
  <si>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</si>
  <si>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</si>
  <si>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</si>
  <si>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</si>
  <si>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</si>
  <si>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</si>
  <si>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</si>
  <si>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</si>
  <si>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</si>
  <si>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</si>
  <si>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</si>
  <si>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</si>
  <si>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</si>
  <si>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</si>
  <si>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</si>
  <si>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</si>
  <si>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</si>
  <si>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</si>
  <si>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</si>
  <si>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</si>
  <si>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</si>
  <si>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</si>
  <si>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</si>
  <si>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</si>
  <si>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</si>
  <si>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</si>
  <si>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</si>
  <si>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</si>
  <si>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</si>
  <si>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</si>
  <si>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</si>
  <si>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</si>
  <si>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</si>
  <si>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</si>
  <si>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</si>
  <si>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</si>
  <si>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</si>
  <si>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</si>
  <si>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</si>
  <si>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</si>
  <si>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</si>
  <si>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</si>
  <si>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</si>
  <si>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</si>
  <si>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</si>
  <si>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</si>
  <si>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</si>
  <si>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</si>
  <si>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</si>
  <si>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</si>
  <si>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</si>
  <si>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</si>
  <si>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</si>
  <si>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</si>
  <si>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</si>
  <si>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</si>
  <si>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</si>
  <si>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</si>
  <si>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</si>
  <si>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</si>
  <si>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</si>
  <si>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</si>
  <si>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</si>
  <si>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</si>
  <si>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</si>
  <si>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</si>
  <si>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</si>
  <si>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</si>
  <si>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</si>
  <si>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</si>
  <si>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</si>
  <si>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</si>
  <si>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</si>
  <si>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</si>
  <si>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</si>
  <si>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</si>
  <si>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</si>
  <si>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</si>
  <si>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</si>
  <si>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</si>
  <si>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</si>
  <si>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</si>
  <si>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</si>
  <si>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</si>
  <si>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</si>
  <si>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</si>
  <si>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</si>
  <si>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</si>
  <si>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</si>
  <si>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</si>
  <si>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</si>
  <si>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</si>
  <si>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</si>
  <si>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</si>
  <si>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</si>
  <si>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</si>
  <si>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</si>
  <si>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</si>
  <si>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</si>
  <si>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</si>
  <si>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</si>
  <si>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</si>
  <si>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</si>
  <si>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</si>
  <si>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</si>
  <si>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</si>
  <si>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</si>
  <si>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</si>
  <si>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</si>
  <si>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</si>
  <si>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</si>
  <si>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</si>
  <si>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</si>
  <si>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</si>
  <si>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</si>
  <si>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</si>
  <si>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</si>
  <si>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</si>
  <si>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</si>
  <si>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</si>
  <si>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</si>
  <si>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</si>
  <si>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</si>
  <si>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</si>
  <si>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</si>
  <si>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</si>
  <si>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</si>
  <si>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</si>
  <si>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</si>
  <si>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</si>
  <si>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</si>
  <si>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</si>
  <si>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</si>
  <si>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</si>
  <si>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</si>
  <si>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</si>
  <si>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</si>
  <si>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</si>
  <si>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</si>
  <si>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</si>
  <si>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</si>
  <si>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</si>
  <si>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</si>
  <si>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</si>
  <si>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</si>
  <si>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</si>
  <si>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</si>
  <si>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</si>
  <si>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</si>
  <si>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</si>
  <si>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</si>
  <si>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</si>
  <si>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</si>
  <si>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</si>
  <si>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</si>
  <si>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</si>
  <si>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</si>
  <si>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</si>
  <si>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SUNNY.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</si>
  <si>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</si>
  <si>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</si>
  <si>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</si>
  <si>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</si>
  <si>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</si>
  <si>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</si>
  <si>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</si>
  <si>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>OVERNIGHT…PARTLY CLOUDY/WINDY. S.W. 15 TO 25.</t>
  </si>
  <si>
    <t>PARTLY SUNNY. A 30% CHANCE OF P.M. T'STORMS. S.W. WINDS 15 TO 25 MPH BECO</t>
  </si>
  <si>
    <t>MING NORTH 10 TO 15 MPH. OVERNIGHT…MOSTLY CLOUDY. A 40% CHANCE OF RAIN.</t>
  </si>
  <si>
    <t>MOSTLY CLOUDY IN THE MORNING WITH A 30% CHANCE OF RAIN…BECOMING PART</t>
  </si>
  <si>
    <t>LY CLOUDY BY P.M. OVERNIGHT…PARTLY CLOUDY.</t>
  </si>
  <si>
    <t xml:space="preserve">PARTLY CLOUDY. CHANCE OF SHOWERS. </t>
  </si>
  <si>
    <t>MOSTLY SUNNY.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</si>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</sst>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9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</borders>
  <cellStyleXfs count="1">
    <xf numFmtId="0" fontId="0" fillId="0" borderId="0"/>
  </cellStyleXfs>
  <cellXfs count="1261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5" xfId="0" applyNumberFormat="1" applyFont="1" applyFill="1" applyBorder="1" applyAlignment="1"/>
    <xf numFmtId="0" fontId="29" fillId="0" borderId="166" xfId="0" applyFont="1" applyFill="1" applyBorder="1" applyAlignment="1"/>
    <xf numFmtId="167" fontId="29" fillId="0" borderId="166" xfId="0" applyNumberFormat="1" applyFont="1" applyFill="1" applyBorder="1" applyAlignment="1"/>
    <xf numFmtId="166" fontId="29" fillId="0" borderId="167" xfId="0" applyNumberFormat="1" applyFont="1" applyFill="1" applyBorder="1" applyAlignment="1"/>
    <xf numFmtId="166" fontId="29" fillId="0" borderId="168" xfId="0" applyNumberFormat="1" applyFont="1" applyFill="1" applyBorder="1" applyAlignment="1"/>
    <xf numFmtId="167" fontId="29" fillId="0" borderId="167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9" xfId="0" applyBorder="1"/>
    <xf numFmtId="0" fontId="56" fillId="0" borderId="170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3" xfId="0" applyNumberFormat="1" applyBorder="1"/>
    <xf numFmtId="166" fontId="0" fillId="0" borderId="174" xfId="0" applyNumberFormat="1" applyBorder="1"/>
    <xf numFmtId="166" fontId="0" fillId="3" borderId="111" xfId="0" applyNumberFormat="1" applyFill="1" applyBorder="1"/>
    <xf numFmtId="166" fontId="0" fillId="3" borderId="174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5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6" xfId="0" applyNumberFormat="1" applyFont="1" applyFill="1" applyBorder="1" applyProtection="1"/>
    <xf numFmtId="166" fontId="57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166" fontId="16" fillId="2" borderId="179" xfId="0" applyNumberFormat="1" applyFont="1" applyFill="1" applyBorder="1" applyProtection="1"/>
    <xf numFmtId="166" fontId="16" fillId="2" borderId="180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8" xfId="0" applyNumberFormat="1" applyFont="1" applyFill="1" applyBorder="1" applyProtection="1"/>
    <xf numFmtId="167" fontId="11" fillId="0" borderId="169" xfId="0" applyNumberFormat="1" applyFont="1" applyBorder="1"/>
    <xf numFmtId="167" fontId="11" fillId="0" borderId="181" xfId="0" applyNumberFormat="1" applyFont="1" applyBorder="1"/>
    <xf numFmtId="172" fontId="29" fillId="0" borderId="65" xfId="0" applyNumberFormat="1" applyFont="1" applyBorder="1"/>
    <xf numFmtId="166" fontId="0" fillId="0" borderId="173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2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3" xfId="0" applyFont="1" applyBorder="1"/>
    <xf numFmtId="0" fontId="31" fillId="0" borderId="174" xfId="0" applyFont="1" applyBorder="1"/>
    <xf numFmtId="0" fontId="31" fillId="0" borderId="183" xfId="0" applyFont="1" applyBorder="1"/>
    <xf numFmtId="0" fontId="29" fillId="0" borderId="173" xfId="0" applyFont="1" applyBorder="1"/>
    <xf numFmtId="0" fontId="0" fillId="0" borderId="173" xfId="0" applyBorder="1"/>
    <xf numFmtId="0" fontId="31" fillId="6" borderId="18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5" xfId="0" applyFont="1" applyFill="1" applyBorder="1" applyAlignment="1">
      <alignment horizontal="left"/>
    </xf>
    <xf numFmtId="0" fontId="30" fillId="6" borderId="169" xfId="0" applyFont="1" applyFill="1" applyBorder="1" applyAlignment="1">
      <alignment horizontal="left"/>
    </xf>
    <xf numFmtId="0" fontId="28" fillId="6" borderId="169" xfId="0" quotePrefix="1" applyFont="1" applyFill="1" applyBorder="1" applyAlignment="1">
      <alignment horizontal="center"/>
    </xf>
    <xf numFmtId="0" fontId="6" fillId="5" borderId="169" xfId="0" applyFont="1" applyFill="1" applyBorder="1"/>
    <xf numFmtId="0" fontId="28" fillId="6" borderId="185" xfId="0" applyFont="1" applyFill="1" applyBorder="1" applyAlignment="1">
      <alignment horizontal="centerContinuous"/>
    </xf>
    <xf numFmtId="0" fontId="28" fillId="6" borderId="169" xfId="0" applyFont="1" applyFill="1" applyBorder="1" applyAlignment="1">
      <alignment horizontal="centerContinuous"/>
    </xf>
    <xf numFmtId="0" fontId="31" fillId="6" borderId="169" xfId="0" applyFont="1" applyFill="1" applyBorder="1" applyAlignment="1">
      <alignment horizontal="centerContinuous"/>
    </xf>
    <xf numFmtId="0" fontId="31" fillId="6" borderId="181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6" xfId="0" applyBorder="1"/>
    <xf numFmtId="0" fontId="0" fillId="0" borderId="107" xfId="0" applyBorder="1"/>
    <xf numFmtId="0" fontId="16" fillId="0" borderId="86" xfId="0" applyFont="1" applyBorder="1"/>
    <xf numFmtId="0" fontId="16" fillId="0" borderId="187" xfId="0" applyFont="1" applyBorder="1"/>
    <xf numFmtId="0" fontId="0" fillId="0" borderId="142" xfId="0" applyBorder="1"/>
    <xf numFmtId="0" fontId="0" fillId="0" borderId="188" xfId="0" applyBorder="1"/>
    <xf numFmtId="0" fontId="0" fillId="0" borderId="46" xfId="0" applyBorder="1"/>
    <xf numFmtId="0" fontId="0" fillId="0" borderId="183" xfId="0" applyBorder="1"/>
    <xf numFmtId="0" fontId="0" fillId="0" borderId="165" xfId="0" applyBorder="1"/>
    <xf numFmtId="0" fontId="0" fillId="0" borderId="174" xfId="0" applyBorder="1"/>
    <xf numFmtId="0" fontId="0" fillId="0" borderId="125" xfId="0" applyBorder="1"/>
    <xf numFmtId="0" fontId="0" fillId="0" borderId="189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0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5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89" xfId="0" applyFont="1" applyBorder="1" applyAlignment="1">
      <alignment horizontal="left"/>
    </xf>
    <xf numFmtId="0" fontId="29" fillId="0" borderId="191" xfId="0" applyFont="1" applyBorder="1" applyAlignment="1">
      <alignment horizontal="left"/>
    </xf>
    <xf numFmtId="179" fontId="11" fillId="2" borderId="192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9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  <xf numFmtId="164" fontId="28" fillId="0" borderId="116" xfId="0" applyNumberFormat="1" applyFont="1" applyFill="1" applyBorder="1" applyAlignment="1">
      <alignment horizontal="left"/>
    </xf>
    <xf numFmtId="166" fontId="29" fillId="0" borderId="193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4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4" xfId="0" applyFont="1" applyFill="1" applyBorder="1" applyAlignment="1" applyProtection="1">
      <alignment horizontal="left"/>
    </xf>
    <xf numFmtId="0" fontId="57" fillId="2" borderId="195" xfId="0" applyFont="1" applyFill="1" applyBorder="1" applyProtection="1"/>
    <xf numFmtId="2" fontId="57" fillId="2" borderId="196" xfId="0" applyNumberFormat="1" applyFont="1" applyFill="1" applyBorder="1" applyProtection="1"/>
    <xf numFmtId="2" fontId="57" fillId="2" borderId="197" xfId="0" applyNumberFormat="1" applyFont="1" applyFill="1" applyBorder="1" applyProtection="1"/>
    <xf numFmtId="167" fontId="7" fillId="0" borderId="32" xfId="0" applyNumberFormat="1" applyFont="1" applyBorder="1"/>
    <xf numFmtId="0" fontId="7" fillId="2" borderId="1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2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1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3DD10A64-8F2D-6C77-5C5D-E127C21D8D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2CE6F934-02A7-2E6A-108F-8C55B0D32D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AF606755-BBD1-7A82-D1B4-1B36D899D7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98E16CD-6B30-0826-1BFA-B0DFBC9CCF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473BAFE-B7DA-0AEC-FF57-5513BB60BA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6027922C-5A3A-A531-9D96-DA3DCEFB7A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8A57BBE3-72E9-5BB9-3B88-23CC10C69A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51737BD9-E8E0-D461-811A-6D22083AC6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2EC5A253-1016-15EF-B7F6-4240CA38E9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B688268-A22D-415C-3EC8-9CB9E51777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E2495082-38E5-B705-B4C9-E726635F53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CE28690C-4BBB-7B4B-3234-5FA6894F7B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1946EE08-2C98-C3BC-15A0-98AD3E4F38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FFC5AC40-AD5A-99A0-7745-5F66D181C7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C4A58229-D670-6A9D-D1BB-EAA619644A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427EC6A3-ABED-0D86-432E-AE2FE4A2AA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E121FEA9-ADF9-7821-5975-F9488DEEEB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6813DE21-6364-41D5-15E8-9DBA3F5010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10830183-2700-2D7B-5C38-ABD7CF2C26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E0A12FC8-2467-7214-ACC6-F0108BE47F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3A4F7409-0375-A79D-4D86-E38260266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A8E6C4F4-8784-4B39-A712-F0CA32742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8102DEE2-E45C-3E8F-2011-EC42F1905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5D01FA14-7CF2-0909-49AC-A3D373691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3DB42A07-A20D-6AB4-4560-9CDFA3CA7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58E147E6-C08F-2E82-09BC-021D7C5E2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B8FAA6F9-BFA6-E31B-21F3-D019A4E28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9EAE3089-351F-95DD-2DE2-C53EF6F0D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131C84B5-CDB6-EF80-0DAD-893D7B1B0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E5EE4533-AB0D-C13B-251E-F8644996B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D50A1BD5-B994-050C-6F54-7BF8B82E5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940B2AD5-D1A9-56FC-EBEF-7F5223E8E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A8EC9481-D991-D65A-4A18-DC6CE6CAF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CAFF0CB2-708F-C5F7-F83D-CB2EAD977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6780CAC8-8BED-F9AD-3888-3EFF47772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0FF0B4ED-D5AD-5E9D-5EE1-BD9332858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C5CFEBCA-6B84-3503-C4AA-A90A69910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D3E57301-68F1-A7A4-B20E-292A618DB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43F5E2FC-CEFF-AFC5-F0FB-E4B7C76B3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AA4F4962-16BA-C7A2-B149-D7F94DE67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4967BB66-3360-4476-EC9C-E722479A9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02B92C46-8B77-726C-301F-41A8A2EEE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E20E52D4-7F43-FBCD-4FCA-A2A5D2294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EB346F80-3785-AC18-B1DD-D06B014F2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397" name="Day_1">
          <a:extLst>
            <a:ext uri="{FF2B5EF4-FFF2-40B4-BE49-F238E27FC236}">
              <a16:creationId xmlns:a16="http://schemas.microsoft.com/office/drawing/2014/main" id="{9F7946E2-28BC-C2A7-B404-D5067582E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398" name="Day_2">
          <a:extLst>
            <a:ext uri="{FF2B5EF4-FFF2-40B4-BE49-F238E27FC236}">
              <a16:creationId xmlns:a16="http://schemas.microsoft.com/office/drawing/2014/main" id="{B8DE9842-46F9-D0E0-E02F-E2ADE494D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399" name="Day_3">
          <a:extLst>
            <a:ext uri="{FF2B5EF4-FFF2-40B4-BE49-F238E27FC236}">
              <a16:creationId xmlns:a16="http://schemas.microsoft.com/office/drawing/2014/main" id="{9DC45CFC-9BE1-B447-2C8D-C69E8EDE6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400" name="Day_4">
          <a:extLst>
            <a:ext uri="{FF2B5EF4-FFF2-40B4-BE49-F238E27FC236}">
              <a16:creationId xmlns:a16="http://schemas.microsoft.com/office/drawing/2014/main" id="{022BA5A5-E480-C2A6-F80E-C279FF3E7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401" name="Day_5">
          <a:extLst>
            <a:ext uri="{FF2B5EF4-FFF2-40B4-BE49-F238E27FC236}">
              <a16:creationId xmlns:a16="http://schemas.microsoft.com/office/drawing/2014/main" id="{828C2ABB-3925-B208-AF95-9EF1C18A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402" name="Day_6">
          <a:extLst>
            <a:ext uri="{FF2B5EF4-FFF2-40B4-BE49-F238E27FC236}">
              <a16:creationId xmlns:a16="http://schemas.microsoft.com/office/drawing/2014/main" id="{1B89B2ED-A892-A319-BCDB-2E83E65E1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55EDA1CA-1BBA-DE38-EE7F-B8CF7DD770AE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0716A085-8649-672D-08F5-D7ACF1CE2CC9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C40CF345-F5A4-9593-6FE3-A213C8025A7F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5432D904-04F7-B21C-C26B-106B735F8E7C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712DAF50-3B7C-75E8-3D8D-980BD1BBCD7B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D5433AFC-056D-07AB-E405-728E02248218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F61532AB-EEF9-DAA7-5383-8A9FB9F0975B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A42E83F8-CC06-860E-5FF7-0EC1E1D9EA30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AE0AC3B0-A33E-88BC-4849-EC41E116E398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AC0D9307-2304-4E76-A7F1-8FE9F83F499E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BA347BE8-B34E-D6D4-844A-029ADC625621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F4490D14-5866-6A5A-EE1F-BCC058EF3526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FC0B7D47-F521-305E-0322-4AC8FE938114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070003BF-6F9C-994D-845C-D8874F59DA19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404AF622-1C9F-E023-8889-9493D96B7C34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D3229171-1D99-0107-DE1C-AB2460CFDD16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C71AA490-CD53-5875-494D-C69E65E1B5D8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84C75897-00C7-EA7A-9E3B-B37AFB49A6D0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2C463598-0481-DBF3-680E-F41227E7C363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5E641887-BB5E-E17D-8DDA-E3037B34A92A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577C8885-6E2E-2AA1-D97E-89C3B571F39A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67336B2C-22FF-AA2C-A2DA-2C61CFD2CBC8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ACAB971E-A8DA-454B-DEB8-9C03E2E36C4F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28058B0B-BEE0-A37A-EDA5-3FD99A4A578B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0D264052-89DF-1877-7096-ABEEA8310FDB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0F161DE3-E712-21F8-6B48-B351C207DD9A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9339DA30-62F8-065E-F23D-F13577A47600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CFE4C471-DD37-1C8F-520A-3CE309EE136D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D25E5DCB-78EC-C4BD-C1C8-46817032DE9D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77E67DFD-9DCB-E15C-3889-2BA53AE7CF34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F1C59B7D-D54D-8BB8-E17C-01DA3221E366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C888A441-3FE2-E54C-0679-27B61799AEC7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7650D584-25A1-67E1-1BF6-D7C1141E2923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44DD4F19-250B-9FCB-CCE4-466665EFB14B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1EFC34FD-FA6F-BEBB-FA22-E9389F66F345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6408DAC3-FD4B-4E0D-0E39-C729A2293549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208A1B81-AC85-D8DE-C844-E07F65579FEC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F360DDC1-039B-C4E1-F34E-8A2FE03A911E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AD4BC69B-A451-9ECC-043D-3CDAFA226F42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FFB8154D-9F64-1A1D-0AA0-CB4312502624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F6DE2AD0-BF33-9098-DEB6-C9F6EED891AA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55A046CF-22EF-693C-2A00-40815CAC9497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B2085B1D-CA0A-B0BE-3CA7-6440CD0E05B9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BC1CD9A2-C047-34E3-E4A6-C88B7F5137E9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C668474D-E550-38C7-9E00-4702EC42CBB7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F720C15E-ABF7-2C8C-A5AA-EDA2EEF97538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A236D833-E6BB-1C21-3F09-2A66A23AA07B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6235C42F-6944-AD5D-4608-C4D03B9DAD30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280969E6-F84E-0076-4EA3-783EC5AA7AC6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5158D28E-063A-B749-9C05-8D69F6C75058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17F993C9-474D-80DB-6384-0EC644E7C6D5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3A36040E-C821-73AB-62C2-740093543C6A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979D384B-45AF-A4E9-6BC3-7BEBEB73934F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E246D503-5268-5FDD-FA5E-E38C1A865824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4206DE45-8E90-CD12-DE75-3C3171CE28A7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5DB3962A-3DAC-5533-8BCC-17B55AB8E152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C1AC9238-5D20-7583-263F-F42C5EED68FD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52B9B207-0479-281D-EE79-6C38B6C1CD8E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CB2CD678-BB55-0FBF-258F-3B06EFE0895D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5F5623AF-F20D-5D95-A192-1D1152C5512E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A57B63DB-28F6-D8DC-4DCA-BD52F3B9B95F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E0CF2197-E89F-FE1D-2468-97EDEF463B6E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A80769FD-55DF-55C0-F310-8CCCE2177F9B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D6F2867F-5A6C-AD38-5D42-0596C7E35141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13BFCD40-7C45-E0FF-D078-027FF985815F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10DAB6CC-A5FE-61BB-567B-90B5D7A97E36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034F37E2-27B3-7DBC-7046-6AAE982BC91C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58170919-ACF6-6026-7353-0A801C7C5298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8B274E05-D39F-D211-5841-531C9A5EECCA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6A9CB54C-3D56-FF33-61D3-2893EBAF754E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4DC43647-3469-3337-A0D7-1579B0B9925F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2DFC0D0C-872E-3AE7-FD31-075FB0E67185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C085C9F1-765C-69A5-DE02-689CE0B4D296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6EB6B10F-42FE-6ED5-D713-E024769B39E3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61E0CFAF-FEE2-7D32-BFC5-6690E91A7FE0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E511672D-3623-B102-6655-52A99117A31A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6F9E9506-8877-DD64-097C-7BD5A62D8D7E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844B3430-0A01-78F6-22B0-2335A61167F1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AACCDFFE-A215-696B-127D-E8A0F3645665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A1665526-CAE6-2750-BAE1-9BCAA06EEAB7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82AE554B-7D9C-8A1F-EF08-88E1682E7C25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949D68F1-6263-FD7C-5C9E-CC5997494502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2AF14C43-636D-9AD5-C021-1E5364B7927D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6E6554B8-29D3-8106-4319-C55499CA0A0A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D2E4A1A1-5CBF-E792-D19A-A0B10D35E1BF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80B0C815-EF88-CC6B-BDEB-6CDD23C4922C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5D26278A-DE07-4792-D6E4-43D3B15B47C9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4F29CA57-6446-9DA5-00A2-2C895B4A8A03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59B753C5-9991-040A-10C8-113E928D17F1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9EEA5DD7-C90D-4265-E6DF-7E5BF96719B1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FEED3D70-8EF9-645F-E00E-13DD4984B67B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58471DB0-1598-D62E-138E-FB32A6631D3D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68B72B47-7167-DCBC-6DE2-8D76B74555BD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A01AFD07-6218-4579-C6F4-AC7992026033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24D71033-25A9-7B19-A1A9-770EB01F1235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0DF72889-27A4-19BB-D679-C8543A859E21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9B3AFEC8-5F2E-6A92-034D-4A62EE1622B1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EFD2ACE6-1479-1ACA-603D-A1EBC7A64455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AA18309E-CD75-C095-B572-DC4167AC3EB0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ECEE76AE-B2D3-9986-B279-47EA6529D103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4C8EABB7-A79F-677B-BD96-71BF719A0DAD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943243B4-33F4-8520-8827-E8E39A6EFE4C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064931A5-E9F4-6E62-352A-76FD7B5F6C4D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E3DBE111-B4F9-0356-3412-73663A6D8341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DD428F2E-5703-57C0-D673-B6548BEF4091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C9004925-205C-CA8E-5872-2766F14265B8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9807775F-7953-F9A5-AE08-89EED062C49B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91955945-4411-B8C1-FE98-D3FC0CB87F1C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BCF84636-D305-AF5C-B6D4-F7F78AA48C35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E87BB376-CA92-9A67-D67B-5FD283E4D54B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121DAAB3-64F8-6FB7-0063-B14D6948A636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5B74E243-C597-BDEB-6197-7A970E38F743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DF2FFE49-7DCD-4CA7-E364-FACE2160838E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02F38207-9506-BC8B-2E64-C4E238B6AE1F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B34F2262-40E9-BEE7-E4B4-87CEEFBB3478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90F12664-5629-7843-62D9-343807651E99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964AF1A8-6446-46F6-1354-3C4FE86EF4B6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6D88753A-979F-8563-93A2-AD7A8BD6A4FA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FAEF4595-06BE-FCD9-E91C-397C1FB47EF8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033A391E-9AB6-E5AD-D79C-754128E0BD0E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7B80EE5C-FECF-9B81-91FA-4E03736F247E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9C1FD8B6-5B9B-8C5D-787C-CBF3E4D18483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B63E2D65-DCD4-FE4B-1967-3306EBAF1905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F398CAE9-9210-579B-52AE-FAD31FA2F5FE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F6C0DD13-80D4-0ABC-0430-E3B0E5E9511F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DBF4E814-09CA-DC5F-2762-C440C4631061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3FAA4DE1-4627-FDE3-5AA2-5B9500489915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E2B7107F-845D-1F4E-2591-C0DDDEC5CFD2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BD2379F6-6194-4CA5-17B6-6ACB43C26CB1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F0A00259-AF6C-1EF7-FB9B-FA65DB842418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47" t="s">
        <v>9</v>
      </c>
      <c r="B1" s="800"/>
    </row>
    <row r="2" spans="1:88">
      <c r="A2" s="1047" t="s">
        <v>9</v>
      </c>
      <c r="B2" t="s">
        <v>9</v>
      </c>
    </row>
    <row r="3" spans="1:88" ht="15.75" thickBot="1">
      <c r="A3" s="1119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50"/>
      <c r="B4" s="800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391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46" t="s">
        <v>658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595</v>
      </c>
    </row>
    <row r="11" spans="1:88" ht="15.75" customHeight="1">
      <c r="A11" t="s">
        <v>9</v>
      </c>
      <c r="B11" s="800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595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730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593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593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595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595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65" t="s">
        <v>613</v>
      </c>
      <c r="B1" s="824"/>
      <c r="C1" s="824"/>
      <c r="D1" s="824"/>
      <c r="E1" s="824"/>
      <c r="F1" s="824"/>
      <c r="G1" s="824" t="s">
        <v>130</v>
      </c>
      <c r="H1" s="866" t="str">
        <f>D3</f>
        <v>MON</v>
      </c>
      <c r="I1" s="867">
        <f>D4</f>
        <v>37060</v>
      </c>
      <c r="J1" s="110"/>
    </row>
    <row r="2" spans="1:10" ht="24.95" customHeight="1">
      <c r="A2" s="827" t="s">
        <v>152</v>
      </c>
      <c r="B2" s="828"/>
      <c r="C2" s="828"/>
      <c r="D2" s="828"/>
      <c r="E2" s="828"/>
      <c r="F2" s="828"/>
      <c r="G2" s="828"/>
      <c r="H2" s="828"/>
      <c r="I2" s="829"/>
      <c r="J2" s="110"/>
    </row>
    <row r="3" spans="1:10" ht="24.95" customHeight="1" thickBot="1">
      <c r="A3" s="830"/>
      <c r="B3" s="828"/>
      <c r="C3" s="828"/>
      <c r="D3" s="831" t="str">
        <f t="shared" ref="D3:I3" si="0">CHOOSE(WEEKDAY(D4),"SUN","MON","TUE","WED","THU","FRI","SAT")</f>
        <v>MON</v>
      </c>
      <c r="E3" s="831" t="str">
        <f t="shared" si="0"/>
        <v>TUE</v>
      </c>
      <c r="F3" s="831" t="str">
        <f t="shared" si="0"/>
        <v>WED</v>
      </c>
      <c r="G3" s="831" t="str">
        <f t="shared" si="0"/>
        <v>THU</v>
      </c>
      <c r="H3" s="831" t="str">
        <f t="shared" si="0"/>
        <v>FRI</v>
      </c>
      <c r="I3" s="832" t="str">
        <f t="shared" si="0"/>
        <v>SAT</v>
      </c>
      <c r="J3" s="110"/>
    </row>
    <row r="4" spans="1:10" ht="24.95" customHeight="1" thickBot="1">
      <c r="A4" s="833" t="s">
        <v>153</v>
      </c>
      <c r="B4" s="834"/>
      <c r="C4" s="834"/>
      <c r="D4" s="835">
        <f>Weather_Input!A5</f>
        <v>37060</v>
      </c>
      <c r="E4" s="835">
        <f>Weather_Input!A6</f>
        <v>37061</v>
      </c>
      <c r="F4" s="835">
        <f>Weather_Input!A7</f>
        <v>37062</v>
      </c>
      <c r="G4" s="835">
        <f>Weather_Input!A8</f>
        <v>37063</v>
      </c>
      <c r="H4" s="835">
        <f>Weather_Input!A9</f>
        <v>37064</v>
      </c>
      <c r="I4" s="836">
        <f>Weather_Input!A10</f>
        <v>37065</v>
      </c>
      <c r="J4" s="110"/>
    </row>
    <row r="5" spans="1:10" s="111" customFormat="1" ht="24.95" customHeight="1" thickTop="1">
      <c r="A5" s="837" t="s">
        <v>132</v>
      </c>
      <c r="B5" s="828"/>
      <c r="C5" s="828" t="s">
        <v>133</v>
      </c>
      <c r="D5" s="868" t="str">
        <f>TEXT(Weather_Input!B5,"0")&amp;"/"&amp;TEXT(Weather_Input!C5,"0") &amp; "/" &amp; TEXT((Weather_Input!B5+Weather_Input!C5)/2,"0")</f>
        <v>91/73/82</v>
      </c>
      <c r="E5" s="868" t="str">
        <f>TEXT(Weather_Input!B6,"0")&amp;"/"&amp;TEXT(Weather_Input!C6,"0") &amp; "/" &amp; TEXT((Weather_Input!B6+Weather_Input!C6)/2,"0")</f>
        <v>86/59/73</v>
      </c>
      <c r="F5" s="868" t="str">
        <f>TEXT(Weather_Input!B7,"0")&amp;"/"&amp;TEXT(Weather_Input!C7,"0") &amp; "/" &amp; TEXT((Weather_Input!B7+Weather_Input!C7)/2,"0")</f>
        <v>76/54/65</v>
      </c>
      <c r="G5" s="868" t="str">
        <f>TEXT(Weather_Input!B8,"0")&amp;"/"&amp;TEXT(Weather_Input!C8,"0") &amp; "/" &amp; TEXT((Weather_Input!B8+Weather_Input!C8)/2,"0")</f>
        <v>70/52/61</v>
      </c>
      <c r="H5" s="868" t="str">
        <f>TEXT(Weather_Input!B9,"0")&amp;"/"&amp;TEXT(Weather_Input!C9,"0") &amp; "/" &amp; TEXT((Weather_Input!B9+Weather_Input!C9)/2,"0")</f>
        <v>74/51/63</v>
      </c>
      <c r="I5" s="869" t="str">
        <f>TEXT(Weather_Input!B10,"0")&amp;"/"&amp;TEXT(Weather_Input!C10,"0") &amp; "/" &amp; TEXT((Weather_Input!B10+Weather_Input!C10)/2,"0")</f>
        <v>80/58/69</v>
      </c>
      <c r="J5" s="110"/>
    </row>
    <row r="6" spans="1:10" ht="24.95" customHeight="1">
      <c r="A6" s="840" t="s">
        <v>134</v>
      </c>
      <c r="B6" s="828"/>
      <c r="C6" s="828"/>
      <c r="D6" s="838">
        <f ca="1">VLOOKUP(D4,NSG_Sendouts,CELL("Col",NSG_Deliveries!C5),FALSE)/1000</f>
        <v>36</v>
      </c>
      <c r="E6" s="838">
        <f ca="1">VLOOKUP(E4,NSG_Sendouts,CELL("Col",NSG_Deliveries!C6),FALSE)/1000</f>
        <v>37</v>
      </c>
      <c r="F6" s="838">
        <f ca="1">VLOOKUP(F4,NSG_Sendouts,CELL("Col",NSG_Deliveries!C7),FALSE)/1000</f>
        <v>38</v>
      </c>
      <c r="G6" s="838">
        <f ca="1">VLOOKUP(G4,NSG_Sendouts,CELL("Col",NSG_Deliveries!C8),FALSE)/1000</f>
        <v>39</v>
      </c>
      <c r="H6" s="838">
        <f ca="1">VLOOKUP(H4,NSG_Sendouts,CELL("Col",NSG_Deliveries!C9),FALSE)/1000</f>
        <v>36</v>
      </c>
      <c r="I6" s="843">
        <f ca="1">VLOOKUP(I4,NSG_Sendouts,CELL("Col",NSG_Deliveries!C10),FALSE)/1000</f>
        <v>33</v>
      </c>
      <c r="J6" s="111"/>
    </row>
    <row r="7" spans="1:10" ht="24.95" customHeight="1">
      <c r="A7" s="837" t="s">
        <v>138</v>
      </c>
      <c r="B7" s="828" t="s">
        <v>139</v>
      </c>
      <c r="C7" s="828" t="s">
        <v>58</v>
      </c>
      <c r="D7" s="838">
        <f>(NSG_Requirements!$K$7+NSG_Requirements!$L$7+NSG_Requirements!$M$7+NSG_Requirements!$N$7)/1000</f>
        <v>0</v>
      </c>
      <c r="E7" s="838">
        <f>(NSG_Requirements!$K$8+NSG_Requirements!$L$8+NSG_Requirements!$M$8+NSG_Requirements!$N$8)/1000</f>
        <v>0</v>
      </c>
      <c r="F7" s="838">
        <f>(NSG_Requirements!$K$9+NSG_Requirements!$L$9+NSG_Requirements!$M$9+NSG_Requirements!$N$9)/1000</f>
        <v>0</v>
      </c>
      <c r="G7" s="838">
        <f>(NSG_Requirements!$K$10+NSG_Requirements!$L$10+NSG_Requirements!$M$10+NSG_Requirements!$N$10)/1000</f>
        <v>0</v>
      </c>
      <c r="H7" s="838">
        <f>(NSG_Requirements!$K$11+NSG_Requirements!$L$11+NSG_Requirements!$M$11+NSG_Requirements!$N$11)/1000</f>
        <v>0</v>
      </c>
      <c r="I7" s="843">
        <f>(NSG_Requirements!$K$12+NSG_Requirements!$L$12+NSG_Requirements!$M$12+NSG_Requirements!$N$12)/1000</f>
        <v>0</v>
      </c>
      <c r="J7" s="111"/>
    </row>
    <row r="8" spans="1:10" ht="24.95" customHeight="1">
      <c r="A8" s="837"/>
      <c r="B8" s="828" t="s">
        <v>137</v>
      </c>
      <c r="C8" s="842" t="s">
        <v>87</v>
      </c>
      <c r="D8" s="838">
        <f>NSG_Requirements!J7/1000</f>
        <v>5.39</v>
      </c>
      <c r="E8" s="838">
        <f>NSG_Requirements!J8/1000</f>
        <v>4.1100000000000003</v>
      </c>
      <c r="F8" s="838">
        <f>NSG_Requirements!J9/1000</f>
        <v>0</v>
      </c>
      <c r="G8" s="838">
        <f>NSG_Requirements!J10/1000</f>
        <v>0</v>
      </c>
      <c r="H8" s="838">
        <f>NSG_Requirements!J11/1000</f>
        <v>0</v>
      </c>
      <c r="I8" s="839">
        <f>NSG_Requirements!J12/1000</f>
        <v>0</v>
      </c>
      <c r="J8" s="110"/>
    </row>
    <row r="9" spans="1:10" ht="24.95" customHeight="1">
      <c r="A9" s="837"/>
      <c r="B9" s="828" t="s">
        <v>135</v>
      </c>
      <c r="C9" s="842" t="s">
        <v>87</v>
      </c>
      <c r="D9" s="838">
        <f>NSG_Requirements!H7/1000</f>
        <v>2.3969999999999998</v>
      </c>
      <c r="E9" s="838">
        <f>NSG_Requirements!H8/1000</f>
        <v>2</v>
      </c>
      <c r="F9" s="838">
        <f>NSG_Requirements!H9/1000</f>
        <v>2</v>
      </c>
      <c r="G9" s="838">
        <f>NSG_Requirements!H10/1000</f>
        <v>2</v>
      </c>
      <c r="H9" s="838">
        <f>NSG_Requirements!H11/1000</f>
        <v>2</v>
      </c>
      <c r="I9" s="839">
        <f>NSG_Requirements!H12/1000</f>
        <v>2</v>
      </c>
      <c r="J9" s="110"/>
    </row>
    <row r="10" spans="1:10" ht="24.95" customHeight="1">
      <c r="A10" s="855" t="s">
        <v>154</v>
      </c>
      <c r="B10" s="856" t="s">
        <v>381</v>
      </c>
      <c r="C10" s="856"/>
      <c r="D10" s="870">
        <f>NSG_Requirements!B7/1000</f>
        <v>0</v>
      </c>
      <c r="E10" s="870">
        <f>NSG_Requirements!B8/1000</f>
        <v>0</v>
      </c>
      <c r="F10" s="870">
        <f>NSG_Requirements!B9/1000</f>
        <v>0</v>
      </c>
      <c r="G10" s="870">
        <f>NSG_Requirements!B10/1000</f>
        <v>0</v>
      </c>
      <c r="H10" s="870">
        <f>NSG_Requirements!B11/1000</f>
        <v>0</v>
      </c>
      <c r="I10" s="871">
        <f>NSG_Requirements!B12/1000</f>
        <v>0</v>
      </c>
      <c r="J10" s="110"/>
    </row>
    <row r="11" spans="1:10" ht="24.95" customHeight="1" thickBot="1">
      <c r="A11" s="872" t="s">
        <v>143</v>
      </c>
      <c r="B11" s="862"/>
      <c r="C11" s="862"/>
      <c r="D11" s="847">
        <f t="shared" ref="D11:I11" ca="1" si="1">SUM(D6:D10)</f>
        <v>43.786999999999999</v>
      </c>
      <c r="E11" s="847">
        <f t="shared" ca="1" si="1"/>
        <v>43.11</v>
      </c>
      <c r="F11" s="847">
        <f t="shared" ca="1" si="1"/>
        <v>40</v>
      </c>
      <c r="G11" s="847">
        <f t="shared" ca="1" si="1"/>
        <v>41</v>
      </c>
      <c r="H11" s="847">
        <f t="shared" ca="1" si="1"/>
        <v>38</v>
      </c>
      <c r="I11" s="848">
        <f t="shared" ca="1" si="1"/>
        <v>35</v>
      </c>
      <c r="J11" s="110"/>
    </row>
    <row r="12" spans="1:10" ht="24.95" customHeight="1" thickTop="1" thickBot="1">
      <c r="A12" s="873"/>
      <c r="B12" s="874"/>
      <c r="C12" s="874"/>
      <c r="D12" s="875"/>
      <c r="E12" s="875"/>
      <c r="F12" s="875"/>
      <c r="G12" s="875"/>
      <c r="H12" s="875"/>
      <c r="I12" s="875"/>
      <c r="J12" s="111"/>
    </row>
    <row r="13" spans="1:10" ht="24.95" customHeight="1" thickTop="1" thickBot="1">
      <c r="A13" s="876" t="s">
        <v>144</v>
      </c>
      <c r="B13" s="851"/>
      <c r="C13" s="851"/>
      <c r="D13" s="852"/>
      <c r="E13" s="852"/>
      <c r="F13" s="852"/>
      <c r="G13" s="852"/>
      <c r="H13" s="852"/>
      <c r="I13" s="853"/>
      <c r="J13" s="110"/>
    </row>
    <row r="14" spans="1:10" ht="24.95" customHeight="1" thickTop="1">
      <c r="A14" s="837" t="s">
        <v>724</v>
      </c>
      <c r="B14" s="828" t="s">
        <v>139</v>
      </c>
      <c r="C14" s="828" t="s">
        <v>155</v>
      </c>
      <c r="D14" s="838">
        <f>NSG_Supplies!G7/1000</f>
        <v>0</v>
      </c>
      <c r="E14" s="838">
        <f>NSG_Supplies!G8/1000</f>
        <v>0</v>
      </c>
      <c r="F14" s="838">
        <f>NSG_Supplies!G9/1000</f>
        <v>0</v>
      </c>
      <c r="G14" s="838">
        <f>NSG_Supplies!G10/1000</f>
        <v>0</v>
      </c>
      <c r="H14" s="838">
        <f>NSG_Supplies!G11/1000</f>
        <v>0</v>
      </c>
      <c r="I14" s="839">
        <f>NSG_Supplies!G12/1000</f>
        <v>0</v>
      </c>
      <c r="J14" s="110"/>
    </row>
    <row r="15" spans="1:10" ht="24.95" customHeight="1">
      <c r="A15" s="837"/>
      <c r="B15" s="828" t="s">
        <v>137</v>
      </c>
      <c r="C15" s="828" t="s">
        <v>146</v>
      </c>
      <c r="D15" s="838">
        <f>NSG_Supplies!K7/1000</f>
        <v>0</v>
      </c>
      <c r="E15" s="838">
        <f>NSG_Supplies!K8/1000</f>
        <v>0</v>
      </c>
      <c r="F15" s="838">
        <f>NSG_Supplies!K9/1000</f>
        <v>0</v>
      </c>
      <c r="G15" s="838">
        <f>NSG_Supplies!K10/1000</f>
        <v>0</v>
      </c>
      <c r="H15" s="838">
        <f>NSG_Supplies!K11/1000</f>
        <v>0</v>
      </c>
      <c r="I15" s="839">
        <f>NSG_Supplies!K12/1000</f>
        <v>0</v>
      </c>
      <c r="J15" s="110"/>
    </row>
    <row r="16" spans="1:10" ht="24.95" customHeight="1">
      <c r="A16" s="837"/>
      <c r="B16" s="828"/>
      <c r="C16" s="842" t="s">
        <v>793</v>
      </c>
      <c r="D16" s="838">
        <f>NSG_Supplies!E7/1000</f>
        <v>0</v>
      </c>
      <c r="E16" s="838">
        <f>NSG_Supplies!E8/1000</f>
        <v>0</v>
      </c>
      <c r="F16" s="838">
        <f>NSG_Supplies!E9/1000</f>
        <v>0</v>
      </c>
      <c r="G16" s="838">
        <f>NSG_Supplies!E10/1000</f>
        <v>0</v>
      </c>
      <c r="H16" s="838">
        <f>NSG_Supplies!E11/1000</f>
        <v>0</v>
      </c>
      <c r="I16" s="843">
        <f>NSG_Supplies!E12/1000</f>
        <v>0</v>
      </c>
      <c r="J16" s="111"/>
    </row>
    <row r="17" spans="1:13" ht="24.95" customHeight="1">
      <c r="A17" s="837"/>
      <c r="B17" s="828" t="s">
        <v>135</v>
      </c>
      <c r="C17" s="842" t="s">
        <v>794</v>
      </c>
      <c r="D17" s="838">
        <f>NSG_Supplies!F7/1000</f>
        <v>0</v>
      </c>
      <c r="E17" s="838">
        <f>NSG_Supplies!F8/1000</f>
        <v>0</v>
      </c>
      <c r="F17" s="838">
        <f>NSG_Supplies!F9/1000</f>
        <v>0</v>
      </c>
      <c r="G17" s="838">
        <f>NSG_Supplies!F10/1000</f>
        <v>0</v>
      </c>
      <c r="H17" s="838">
        <f>NSG_Supplies!F11/1000</f>
        <v>0</v>
      </c>
      <c r="I17" s="843">
        <f>NSG_Supplies!F12/1000</f>
        <v>0</v>
      </c>
      <c r="J17" s="111"/>
    </row>
    <row r="18" spans="1:13" ht="24.95" customHeight="1">
      <c r="A18" s="837"/>
      <c r="B18" s="828" t="s">
        <v>81</v>
      </c>
      <c r="C18" s="828" t="s">
        <v>725</v>
      </c>
      <c r="D18" s="838">
        <f>NSG_Supplies!T7/1000</f>
        <v>0</v>
      </c>
      <c r="E18" s="838">
        <f>NSG_Supplies!T8/1000</f>
        <v>0</v>
      </c>
      <c r="F18" s="838">
        <f>NSG_Supplies!T9/1000</f>
        <v>0</v>
      </c>
      <c r="G18" s="838">
        <f>NSG_Supplies!T10/1000</f>
        <v>0</v>
      </c>
      <c r="H18" s="838">
        <f>NSG_Supplies!T11/1000</f>
        <v>0</v>
      </c>
      <c r="I18" s="843">
        <f>NSG_Supplies!T12/1000</f>
        <v>0</v>
      </c>
      <c r="J18" s="111"/>
    </row>
    <row r="19" spans="1:13" ht="24.95" customHeight="1">
      <c r="A19" s="837" t="s">
        <v>156</v>
      </c>
      <c r="B19" s="828" t="s">
        <v>135</v>
      </c>
      <c r="C19" s="1102" t="s">
        <v>726</v>
      </c>
      <c r="D19" s="838">
        <f>NSG_Supplies!Q7/1000</f>
        <v>28.599</v>
      </c>
      <c r="E19" s="838">
        <f>NSG_Supplies!Q8/1000</f>
        <v>27.899000000000001</v>
      </c>
      <c r="F19" s="838">
        <f>NSG_Supplies!Q9/1000</f>
        <v>27.899000000000001</v>
      </c>
      <c r="G19" s="838">
        <f>NSG_Supplies!Q10/1000</f>
        <v>27.899000000000001</v>
      </c>
      <c r="H19" s="838">
        <f>NSG_Supplies!Q11/1000</f>
        <v>27.899000000000001</v>
      </c>
      <c r="I19" s="839">
        <f>NSG_Supplies!Q12/1000</f>
        <v>27.899000000000001</v>
      </c>
      <c r="J19" s="110"/>
    </row>
    <row r="20" spans="1:13" ht="24.95" customHeight="1">
      <c r="A20" s="837"/>
      <c r="B20" s="828" t="s">
        <v>137</v>
      </c>
      <c r="C20" s="828" t="s">
        <v>602</v>
      </c>
      <c r="D20" s="838">
        <f>NSG_Supplies!P7/1000</f>
        <v>15.215</v>
      </c>
      <c r="E20" s="838">
        <f>NSG_Supplies!P8/1000</f>
        <v>15.215</v>
      </c>
      <c r="F20" s="838">
        <f>NSG_Supplies!P9/1000</f>
        <v>15.215</v>
      </c>
      <c r="G20" s="838">
        <f>NSG_Supplies!P10/1000</f>
        <v>15.215</v>
      </c>
      <c r="H20" s="838">
        <f>NSG_Supplies!P11/1000</f>
        <v>15.215</v>
      </c>
      <c r="I20" s="839">
        <f>NSG_Supplies!P12/1000</f>
        <v>15.215</v>
      </c>
      <c r="J20" s="110"/>
    </row>
    <row r="21" spans="1:13" ht="24.95" customHeight="1" thickBot="1">
      <c r="A21" s="1255" t="s">
        <v>149</v>
      </c>
      <c r="B21" s="1256"/>
      <c r="C21" s="1256"/>
      <c r="D21" s="1257">
        <f t="shared" ref="D21:I21" si="2">SUM(D14:D20)</f>
        <v>43.814</v>
      </c>
      <c r="E21" s="1257">
        <f t="shared" si="2"/>
        <v>43.114000000000004</v>
      </c>
      <c r="F21" s="1257">
        <f t="shared" si="2"/>
        <v>43.114000000000004</v>
      </c>
      <c r="G21" s="1257">
        <f t="shared" si="2"/>
        <v>43.114000000000004</v>
      </c>
      <c r="H21" s="1257">
        <f t="shared" si="2"/>
        <v>43.114000000000004</v>
      </c>
      <c r="I21" s="1258">
        <f t="shared" si="2"/>
        <v>43.114000000000004</v>
      </c>
      <c r="J21" s="110"/>
      <c r="K21" s="111"/>
      <c r="L21" s="93"/>
      <c r="M21" s="111"/>
    </row>
    <row r="22" spans="1:13" ht="24.95" customHeight="1">
      <c r="A22" s="877" t="s">
        <v>150</v>
      </c>
      <c r="B22" s="878"/>
      <c r="C22" s="878"/>
      <c r="D22" s="879">
        <f t="shared" ref="D22:I22" ca="1" si="3">IF(D21-D11&lt;0,0,D21-D11)</f>
        <v>2.7000000000001023E-2</v>
      </c>
      <c r="E22" s="879">
        <f t="shared" ca="1" si="3"/>
        <v>4.0000000000048885E-3</v>
      </c>
      <c r="F22" s="879">
        <f t="shared" ca="1" si="3"/>
        <v>3.1140000000000043</v>
      </c>
      <c r="G22" s="879">
        <f t="shared" ca="1" si="3"/>
        <v>2.1140000000000043</v>
      </c>
      <c r="H22" s="879">
        <f t="shared" ca="1" si="3"/>
        <v>5.1140000000000043</v>
      </c>
      <c r="I22" s="880">
        <f t="shared" ca="1" si="3"/>
        <v>8.1140000000000043</v>
      </c>
      <c r="J22" s="110"/>
      <c r="K22" s="111"/>
      <c r="L22" s="93"/>
      <c r="M22" s="111"/>
    </row>
    <row r="23" spans="1:13" ht="24.95" customHeight="1" thickBot="1">
      <c r="A23" s="881" t="s">
        <v>151</v>
      </c>
      <c r="B23" s="862"/>
      <c r="C23" s="862"/>
      <c r="D23" s="863">
        <f t="shared" ref="D23:I23" ca="1" si="4">IF(D11-D21&lt;0,0,D11-D21)</f>
        <v>0</v>
      </c>
      <c r="E23" s="863">
        <f t="shared" ca="1" si="4"/>
        <v>0</v>
      </c>
      <c r="F23" s="863">
        <f t="shared" ca="1" si="4"/>
        <v>0</v>
      </c>
      <c r="G23" s="863">
        <f t="shared" ca="1" si="4"/>
        <v>0</v>
      </c>
      <c r="H23" s="863">
        <f t="shared" ca="1" si="4"/>
        <v>0</v>
      </c>
      <c r="I23" s="864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103" t="s">
        <v>727</v>
      </c>
      <c r="B24" s="1104"/>
      <c r="C24" s="1104"/>
      <c r="D24" s="1105">
        <f>NSG_Supplies!R7/1000</f>
        <v>16.725000000000001</v>
      </c>
      <c r="E24" s="1105">
        <f>NSG_Supplies!R8/1000</f>
        <v>16.024999999999999</v>
      </c>
      <c r="F24" s="1105">
        <f>NSG_Supplies!R9/1000</f>
        <v>16.024999999999999</v>
      </c>
      <c r="G24" s="1105">
        <f>NSG_Supplies!R10/1000</f>
        <v>16.024999999999999</v>
      </c>
      <c r="H24" s="1105">
        <f>NSG_Supplies!R11/1000</f>
        <v>16.024999999999999</v>
      </c>
      <c r="I24" s="1106">
        <f>NSG_Supplies!R12/1000</f>
        <v>16.024999999999999</v>
      </c>
    </row>
    <row r="25" spans="1:13" ht="24.95" customHeight="1" thickTop="1" thickBot="1">
      <c r="B25" s="883"/>
      <c r="C25" s="883"/>
      <c r="D25" s="883"/>
      <c r="E25" s="883"/>
      <c r="F25" s="883"/>
      <c r="G25" s="882"/>
      <c r="H25" s="882"/>
      <c r="I25" s="882"/>
    </row>
    <row r="26" spans="1:13" ht="24.95" customHeight="1" thickTop="1" thickBot="1">
      <c r="A26" s="884" t="s">
        <v>157</v>
      </c>
      <c r="B26" s="885"/>
      <c r="C26" s="885"/>
      <c r="D26" s="886">
        <f>Weather_Input!D5</f>
        <v>15.9</v>
      </c>
      <c r="E26" s="886">
        <f>Weather_Input!D6</f>
        <v>10</v>
      </c>
      <c r="F26" s="886">
        <f>Weather_Input!D7</f>
        <v>10</v>
      </c>
      <c r="G26" s="887"/>
      <c r="H26" s="882"/>
      <c r="I26" s="882"/>
    </row>
    <row r="27" spans="1:13" ht="15.75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A6" zoomScale="75" workbookViewId="0">
      <selection activeCell="A29" sqref="A29"/>
    </sheetView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49" t="s">
        <v>9</v>
      </c>
      <c r="B1" s="1146" t="s">
        <v>9</v>
      </c>
      <c r="C1" s="1147" t="s">
        <v>699</v>
      </c>
      <c r="D1" s="1148"/>
      <c r="E1" s="1149" t="s">
        <v>9</v>
      </c>
      <c r="F1" s="1150" t="s">
        <v>745</v>
      </c>
      <c r="G1" s="1151" t="s">
        <v>9</v>
      </c>
      <c r="H1" s="1152"/>
      <c r="I1" s="1196" t="s">
        <v>9</v>
      </c>
      <c r="J1" s="583"/>
      <c r="K1" s="583"/>
      <c r="L1" s="584" t="s">
        <v>159</v>
      </c>
      <c r="M1" s="1229">
        <f>Weather_Input!A5</f>
        <v>37060</v>
      </c>
      <c r="N1" s="1230" t="str">
        <f>CHOOSE(WEEKDAY(M1),"SUN","MON","TUE","WED","THU","FRI","SAT")</f>
        <v>MON</v>
      </c>
      <c r="O1" s="588"/>
    </row>
    <row r="2" spans="1:17" ht="16.5" thickTop="1" thickBot="1">
      <c r="A2" s="420" t="s">
        <v>702</v>
      </c>
      <c r="B2" s="319">
        <f>PGL_Supplies!W7/1000</f>
        <v>0</v>
      </c>
      <c r="C2" s="8"/>
      <c r="D2" s="608"/>
      <c r="E2" s="563" t="s">
        <v>406</v>
      </c>
      <c r="F2" s="1126"/>
      <c r="G2" s="558" t="s">
        <v>9</v>
      </c>
      <c r="H2" s="1140" t="s">
        <v>9</v>
      </c>
      <c r="I2" s="254" t="s">
        <v>511</v>
      </c>
      <c r="J2" s="1167" t="s">
        <v>389</v>
      </c>
      <c r="K2" s="1172" t="s">
        <v>162</v>
      </c>
      <c r="L2" s="1173" t="s">
        <v>21</v>
      </c>
      <c r="M2" s="1172" t="s">
        <v>162</v>
      </c>
      <c r="N2" s="1167" t="s">
        <v>21</v>
      </c>
      <c r="O2" s="1174" t="s">
        <v>162</v>
      </c>
      <c r="Q2" s="1145" t="s">
        <v>9</v>
      </c>
    </row>
    <row r="3" spans="1:17" ht="15.75">
      <c r="A3" s="420" t="s">
        <v>740</v>
      </c>
      <c r="B3" s="1188">
        <f>PGL_Requirements!I7/1000</f>
        <v>0</v>
      </c>
      <c r="C3" s="965" t="s">
        <v>9</v>
      </c>
      <c r="D3" s="308"/>
      <c r="E3" s="563" t="s">
        <v>455</v>
      </c>
      <c r="F3" s="319">
        <f>PGL_Supplies!H7/1000</f>
        <v>6.3230000000000004</v>
      </c>
      <c r="G3" s="383" t="s">
        <v>9</v>
      </c>
      <c r="H3" s="1140" t="s">
        <v>9</v>
      </c>
      <c r="I3" s="1197" t="s">
        <v>9</v>
      </c>
      <c r="J3" s="946">
        <f>Weather_Input!B5</f>
        <v>91</v>
      </c>
      <c r="K3" s="947">
        <f>Weather_Input!C5</f>
        <v>73</v>
      </c>
      <c r="L3" s="599" t="s">
        <v>9</v>
      </c>
      <c r="M3" s="264" t="s">
        <v>9</v>
      </c>
      <c r="N3" s="264"/>
      <c r="O3" s="262"/>
    </row>
    <row r="4" spans="1:17" ht="16.5" thickBot="1">
      <c r="A4" s="244" t="s">
        <v>742</v>
      </c>
      <c r="B4" s="1189">
        <v>0</v>
      </c>
      <c r="C4" s="119"/>
      <c r="D4" s="977"/>
      <c r="E4" s="532" t="s">
        <v>456</v>
      </c>
      <c r="F4" s="1222">
        <v>0</v>
      </c>
      <c r="G4" s="521" t="s">
        <v>9</v>
      </c>
      <c r="H4" s="1250"/>
      <c r="I4" t="s">
        <v>777</v>
      </c>
      <c r="J4" s="1051"/>
      <c r="K4" s="1236" t="s">
        <v>9</v>
      </c>
      <c r="L4" s="429"/>
      <c r="M4" s="1053"/>
      <c r="N4" s="429"/>
      <c r="O4" s="801"/>
    </row>
    <row r="5" spans="1:17" ht="16.5" thickBot="1">
      <c r="A5" s="1066" t="s">
        <v>3</v>
      </c>
      <c r="B5" s="319">
        <f>PGL_Supplies!X7/1000</f>
        <v>103.4</v>
      </c>
      <c r="C5" s="1054" t="s">
        <v>9</v>
      </c>
      <c r="D5" s="344"/>
      <c r="E5" s="1207" t="s">
        <v>432</v>
      </c>
      <c r="F5" s="971">
        <f>F3+F4</f>
        <v>6.3230000000000004</v>
      </c>
      <c r="G5" s="561" t="s">
        <v>9</v>
      </c>
      <c r="H5" s="1239" t="s">
        <v>9</v>
      </c>
      <c r="I5" s="1198" t="s">
        <v>399</v>
      </c>
      <c r="J5" s="1095" t="s">
        <v>9</v>
      </c>
      <c r="K5" s="949">
        <f>PGL_Deliveries!C5/1000</f>
        <v>213</v>
      </c>
      <c r="L5" s="597"/>
      <c r="M5" s="264"/>
      <c r="N5" s="597"/>
      <c r="O5" s="262"/>
    </row>
    <row r="6" spans="1:17" ht="16.5" thickBot="1">
      <c r="A6" s="554" t="s">
        <v>423</v>
      </c>
      <c r="B6" s="1057">
        <f>+B5-B3+B2-B4</f>
        <v>103.4</v>
      </c>
      <c r="C6" s="1058" t="s">
        <v>9</v>
      </c>
      <c r="D6" s="526"/>
      <c r="E6" s="631" t="s">
        <v>9</v>
      </c>
      <c r="F6" s="975" t="s">
        <v>35</v>
      </c>
      <c r="G6" s="976"/>
      <c r="H6" s="1141"/>
      <c r="I6" s="119" t="s">
        <v>721</v>
      </c>
      <c r="J6" s="1096"/>
      <c r="K6" s="1069">
        <f>PGL_Requirements!X7/1000</f>
        <v>0</v>
      </c>
      <c r="L6" s="1096"/>
      <c r="M6" s="1097"/>
      <c r="N6" s="119"/>
      <c r="O6" s="116"/>
    </row>
    <row r="7" spans="1:17" ht="16.5" thickBot="1">
      <c r="A7" s="321" t="s">
        <v>9</v>
      </c>
      <c r="B7" s="1055" t="s">
        <v>9</v>
      </c>
      <c r="C7" s="970" t="s">
        <v>66</v>
      </c>
      <c r="D7" s="1056"/>
      <c r="E7" s="420" t="s">
        <v>434</v>
      </c>
      <c r="F7" s="319">
        <f>PGL_Supplies!P7/1000</f>
        <v>0</v>
      </c>
      <c r="G7" s="376" t="s">
        <v>9</v>
      </c>
      <c r="H7" s="1134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596</v>
      </c>
      <c r="B8" s="319">
        <f>PGL_Requirements!T7/1000</f>
        <v>0</v>
      </c>
      <c r="C8" s="589"/>
      <c r="D8" s="308"/>
      <c r="E8" s="420" t="s">
        <v>435</v>
      </c>
      <c r="F8" s="383">
        <f>PGL_Requirements!E7/1000</f>
        <v>4</v>
      </c>
      <c r="G8" s="376" t="s">
        <v>9</v>
      </c>
      <c r="H8" s="1134"/>
      <c r="I8" s="1042" t="s">
        <v>738</v>
      </c>
      <c r="J8" s="288" t="s">
        <v>9</v>
      </c>
      <c r="K8" s="609">
        <f>B4</f>
        <v>0</v>
      </c>
      <c r="L8" s="614"/>
      <c r="M8" s="264"/>
      <c r="N8" s="614"/>
      <c r="O8" s="262" t="s">
        <v>9</v>
      </c>
    </row>
    <row r="9" spans="1:17">
      <c r="A9" s="420" t="s">
        <v>673</v>
      </c>
      <c r="B9" s="319">
        <f>PGL_Supplies!Q7/1000</f>
        <v>0</v>
      </c>
      <c r="C9" s="308"/>
      <c r="D9" s="308"/>
      <c r="E9" s="420" t="s">
        <v>436</v>
      </c>
      <c r="F9" s="319">
        <f>PGL_Supplies!F7/1000</f>
        <v>0</v>
      </c>
      <c r="G9" s="319"/>
      <c r="H9" s="1134"/>
      <c r="I9" s="119" t="s">
        <v>699</v>
      </c>
      <c r="J9" s="1051"/>
      <c r="K9" s="1065">
        <f>+B6</f>
        <v>103.4</v>
      </c>
      <c r="L9" s="1051"/>
      <c r="M9" s="1053"/>
      <c r="N9" s="429"/>
      <c r="O9" s="280" t="s">
        <v>9</v>
      </c>
    </row>
    <row r="10" spans="1:17" ht="15.75" thickBot="1">
      <c r="A10" s="630" t="s">
        <v>656</v>
      </c>
      <c r="B10" s="319">
        <f>PGL_Supplies!Y7/1000</f>
        <v>0.2</v>
      </c>
      <c r="C10" s="119"/>
      <c r="D10" s="1050"/>
      <c r="E10" s="420" t="s">
        <v>766</v>
      </c>
      <c r="F10" s="979">
        <f>PGL_Supplies!AC7/1000</f>
        <v>4</v>
      </c>
      <c r="G10" s="522"/>
      <c r="H10" s="1135"/>
      <c r="I10" s="1199" t="s">
        <v>758</v>
      </c>
      <c r="J10" s="277" t="s">
        <v>9</v>
      </c>
      <c r="K10" s="609">
        <f>B11</f>
        <v>0.2</v>
      </c>
      <c r="L10" s="597"/>
      <c r="M10" s="609" t="s">
        <v>9</v>
      </c>
      <c r="N10" s="597"/>
      <c r="O10" s="280" t="s">
        <v>9</v>
      </c>
    </row>
    <row r="11" spans="1:17" ht="16.5" thickBot="1">
      <c r="A11" s="554" t="s">
        <v>423</v>
      </c>
      <c r="B11" s="561">
        <f>B10+B9-B8</f>
        <v>0.2</v>
      </c>
      <c r="C11" s="526"/>
      <c r="D11" s="526"/>
      <c r="E11" s="788" t="s">
        <v>535</v>
      </c>
      <c r="F11" s="980">
        <f>+F10+F9-F8+F7</f>
        <v>0</v>
      </c>
      <c r="G11" s="971" t="s">
        <v>9</v>
      </c>
      <c r="H11" s="527"/>
      <c r="I11" s="1199" t="s">
        <v>58</v>
      </c>
      <c r="J11" s="277" t="s">
        <v>9</v>
      </c>
      <c r="K11" s="609">
        <f>B19</f>
        <v>-128.97399999999999</v>
      </c>
      <c r="L11" s="597"/>
      <c r="M11" s="264" t="s">
        <v>9</v>
      </c>
      <c r="N11" s="597"/>
      <c r="O11" s="262"/>
    </row>
    <row r="12" spans="1:17" ht="16.5" thickBot="1">
      <c r="A12" s="550" t="s">
        <v>9</v>
      </c>
      <c r="B12" s="555" t="s">
        <v>9</v>
      </c>
      <c r="C12" s="970" t="s">
        <v>58</v>
      </c>
      <c r="D12" s="553"/>
      <c r="E12" s="1191" t="s">
        <v>9</v>
      </c>
      <c r="F12" s="1190" t="s">
        <v>778</v>
      </c>
      <c r="G12" s="354"/>
      <c r="H12" s="1139"/>
      <c r="I12" s="1199" t="s">
        <v>759</v>
      </c>
      <c r="J12" s="277" t="s">
        <v>9</v>
      </c>
      <c r="K12" s="609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129.22</v>
      </c>
      <c r="C13" s="308"/>
      <c r="D13" s="544"/>
      <c r="E13" s="576" t="s">
        <v>464</v>
      </c>
      <c r="F13" s="1126" t="s">
        <v>9</v>
      </c>
      <c r="G13" s="569" t="s">
        <v>9</v>
      </c>
      <c r="H13" s="1142" t="s">
        <v>9</v>
      </c>
      <c r="I13" s="1199" t="s">
        <v>760</v>
      </c>
      <c r="J13" s="281" t="s">
        <v>9</v>
      </c>
      <c r="K13" s="609">
        <f>B34</f>
        <v>221.56700000000001</v>
      </c>
      <c r="L13" s="597"/>
      <c r="M13" s="264" t="s">
        <v>9</v>
      </c>
      <c r="N13" s="597"/>
      <c r="O13" s="262"/>
    </row>
    <row r="14" spans="1:17">
      <c r="A14" s="420" t="s">
        <v>428</v>
      </c>
      <c r="B14" s="319">
        <f>PGL_Supplies!L7/1000</f>
        <v>0</v>
      </c>
      <c r="C14" s="308"/>
      <c r="D14" s="544"/>
      <c r="E14" s="356" t="s">
        <v>465</v>
      </c>
      <c r="F14" s="308"/>
      <c r="G14" s="535"/>
      <c r="H14" s="1143"/>
      <c r="I14" s="1199" t="s">
        <v>402</v>
      </c>
      <c r="J14" s="277" t="s">
        <v>9</v>
      </c>
      <c r="K14" s="950">
        <f>F5</f>
        <v>6.3230000000000004</v>
      </c>
      <c r="L14" s="597"/>
      <c r="M14" s="264" t="s">
        <v>9</v>
      </c>
      <c r="N14" s="597"/>
      <c r="O14" s="262"/>
    </row>
    <row r="15" spans="1:17" ht="16.5" thickBot="1">
      <c r="A15" s="420" t="s">
        <v>429</v>
      </c>
      <c r="B15" s="319">
        <f>SUM(PGL_Requirements!B7/1000)</f>
        <v>0</v>
      </c>
      <c r="C15" s="308"/>
      <c r="D15" s="1134"/>
      <c r="E15" s="1193" t="s">
        <v>657</v>
      </c>
      <c r="F15" s="978"/>
      <c r="G15" s="1096"/>
      <c r="H15" s="1158"/>
      <c r="I15" s="1199" t="s">
        <v>761</v>
      </c>
      <c r="J15" s="277" t="s">
        <v>158</v>
      </c>
      <c r="K15" s="609">
        <f>F11</f>
        <v>0</v>
      </c>
      <c r="L15" s="597"/>
      <c r="M15" s="264" t="s">
        <v>9</v>
      </c>
      <c r="N15" s="597"/>
      <c r="O15" s="262"/>
    </row>
    <row r="16" spans="1:17" ht="16.5" thickBot="1">
      <c r="A16" s="420" t="s">
        <v>430</v>
      </c>
      <c r="B16" s="319">
        <f>PGL_Supplies!G7/1000</f>
        <v>0.83599999999999997</v>
      </c>
      <c r="C16" s="308"/>
      <c r="D16" s="1134"/>
      <c r="E16" s="1194" t="s">
        <v>9</v>
      </c>
      <c r="F16" s="1153" t="s">
        <v>457</v>
      </c>
      <c r="G16" s="1240"/>
      <c r="H16" s="1195"/>
      <c r="I16" s="1199" t="s">
        <v>536</v>
      </c>
      <c r="J16" s="277" t="s">
        <v>158</v>
      </c>
      <c r="K16" s="950">
        <f>PGL_Supplies!B7/1000</f>
        <v>26.071999999999999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695</v>
      </c>
      <c r="B17" s="319">
        <f>PGL_Requirements!Q7/1000</f>
        <v>0.59</v>
      </c>
      <c r="C17" s="308"/>
      <c r="D17" s="1134"/>
      <c r="E17" s="537" t="s">
        <v>458</v>
      </c>
      <c r="F17" s="557">
        <f>+PGL_Supplies!J7/1000</f>
        <v>0</v>
      </c>
      <c r="G17" s="1220" t="s">
        <v>9</v>
      </c>
      <c r="H17" s="1144" t="s">
        <v>9</v>
      </c>
      <c r="I17" s="1192" t="s">
        <v>537</v>
      </c>
      <c r="J17" s="302" t="s">
        <v>9</v>
      </c>
      <c r="K17" s="965">
        <f>-PGL_Requirements!F7/1000</f>
        <v>0</v>
      </c>
      <c r="L17" s="597"/>
      <c r="M17" s="264"/>
      <c r="N17" s="597"/>
      <c r="O17" s="262"/>
    </row>
    <row r="18" spans="1:15" ht="16.5" thickBot="1">
      <c r="A18" s="420" t="s">
        <v>696</v>
      </c>
      <c r="B18" s="319">
        <f>PGL_Requirements!P7/1000</f>
        <v>1.9382999999999999</v>
      </c>
      <c r="C18" s="344"/>
      <c r="D18" s="1135"/>
      <c r="E18" s="631" t="s">
        <v>9</v>
      </c>
      <c r="F18" s="1153" t="s">
        <v>746</v>
      </c>
      <c r="G18" s="976"/>
      <c r="H18" s="1141"/>
      <c r="I18" t="s">
        <v>776</v>
      </c>
      <c r="J18" s="1051"/>
      <c r="K18" s="1225">
        <f>-F19</f>
        <v>0</v>
      </c>
      <c r="L18" s="1051"/>
      <c r="M18" s="221"/>
      <c r="N18" s="1051"/>
      <c r="O18" s="801"/>
    </row>
    <row r="19" spans="1:15" ht="16.5" thickBot="1">
      <c r="A19" s="513" t="s">
        <v>432</v>
      </c>
      <c r="B19" s="1218">
        <f>-B13+B14+B16-B17-B15+B20+B21</f>
        <v>-128.97399999999999</v>
      </c>
      <c r="C19" s="515"/>
      <c r="D19" s="527"/>
      <c r="E19" s="1154" t="s">
        <v>747</v>
      </c>
      <c r="F19" s="1221">
        <f>PGL_Requirements!J7/1000</f>
        <v>0</v>
      </c>
      <c r="G19" s="1040" t="s">
        <v>9</v>
      </c>
      <c r="H19" s="1155" t="s">
        <v>9</v>
      </c>
      <c r="I19" t="s">
        <v>538</v>
      </c>
      <c r="J19" s="1224"/>
      <c r="K19" s="1226">
        <f>-F24</f>
        <v>-28.075500000000002</v>
      </c>
      <c r="L19" s="1224"/>
      <c r="M19" s="157"/>
      <c r="N19" s="1224"/>
      <c r="O19" s="1223"/>
    </row>
    <row r="20" spans="1:15" ht="16.5" thickBot="1">
      <c r="A20" s="327" t="s">
        <v>204</v>
      </c>
      <c r="B20" s="319">
        <v>0</v>
      </c>
      <c r="C20" s="518"/>
      <c r="D20" s="1136"/>
      <c r="E20" s="119"/>
      <c r="F20" s="119"/>
      <c r="G20" s="119"/>
      <c r="H20" s="1166"/>
      <c r="I20" s="1200" t="s">
        <v>657</v>
      </c>
      <c r="J20" s="612" t="s">
        <v>9</v>
      </c>
      <c r="K20" s="506">
        <f>SUM(K8:K19)</f>
        <v>200.51250000000005</v>
      </c>
      <c r="L20" s="616" t="s">
        <v>9</v>
      </c>
      <c r="M20" s="506" t="s">
        <v>9</v>
      </c>
      <c r="N20" s="616" t="s">
        <v>9</v>
      </c>
      <c r="O20" s="617"/>
    </row>
    <row r="21" spans="1:15" ht="16.5" thickBot="1">
      <c r="A21" s="420" t="s">
        <v>202</v>
      </c>
      <c r="B21" s="1130">
        <v>0</v>
      </c>
      <c r="C21" s="545"/>
      <c r="D21" s="1137"/>
      <c r="E21" s="1156" t="s">
        <v>748</v>
      </c>
      <c r="F21" s="1189">
        <v>0</v>
      </c>
      <c r="G21" s="1052"/>
      <c r="H21" s="431"/>
      <c r="I21" s="492" t="s">
        <v>36</v>
      </c>
      <c r="J21" s="500" t="s">
        <v>9</v>
      </c>
      <c r="K21" s="951"/>
      <c r="L21" s="502"/>
      <c r="M21" s="502" t="s">
        <v>757</v>
      </c>
      <c r="N21" s="502"/>
      <c r="O21" s="952"/>
    </row>
    <row r="22" spans="1:15" ht="15.75" thickBot="1">
      <c r="A22" s="1131" t="s">
        <v>739</v>
      </c>
      <c r="B22" s="1118">
        <f>SUM(B4)</f>
        <v>0</v>
      </c>
      <c r="C22" s="1132"/>
      <c r="D22" s="1133"/>
      <c r="E22" s="1156" t="s">
        <v>749</v>
      </c>
      <c r="F22" s="1189">
        <v>0</v>
      </c>
      <c r="G22" s="1052"/>
      <c r="H22" s="431"/>
      <c r="I22" s="1199" t="s">
        <v>594</v>
      </c>
      <c r="J22" s="277" t="s">
        <v>9</v>
      </c>
      <c r="K22" s="953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41" t="s">
        <v>67</v>
      </c>
      <c r="D23" s="1141"/>
      <c r="E23" s="1157" t="s">
        <v>750</v>
      </c>
      <c r="F23" s="1209">
        <v>0</v>
      </c>
      <c r="G23" s="978"/>
      <c r="H23" s="1158"/>
      <c r="I23" s="1199" t="s">
        <v>405</v>
      </c>
      <c r="J23" s="277" t="s">
        <v>9</v>
      </c>
      <c r="K23" s="609">
        <f>K5+K6-K20</f>
        <v>12.487499999999955</v>
      </c>
      <c r="L23" s="261"/>
      <c r="M23" s="609" t="s">
        <v>9</v>
      </c>
      <c r="N23" s="261"/>
      <c r="O23" s="291"/>
    </row>
    <row r="24" spans="1:15" ht="16.5" thickBot="1">
      <c r="A24" s="420" t="s">
        <v>426</v>
      </c>
      <c r="B24" s="319">
        <f>PGL_Supplies!C7/1000</f>
        <v>0</v>
      </c>
      <c r="C24" s="347"/>
      <c r="D24" s="1134"/>
      <c r="E24" s="546" t="s">
        <v>751</v>
      </c>
      <c r="F24" s="1221">
        <f>PGL_Requirements!G7/1000*0.5</f>
        <v>28.075500000000002</v>
      </c>
      <c r="G24" s="1040"/>
      <c r="H24" s="1023"/>
      <c r="I24" s="1201" t="s">
        <v>406</v>
      </c>
      <c r="J24" s="277" t="s">
        <v>9</v>
      </c>
      <c r="K24" s="609"/>
      <c r="L24" s="292" t="s">
        <v>9</v>
      </c>
      <c r="M24" s="954"/>
      <c r="N24" s="292" t="s">
        <v>9</v>
      </c>
      <c r="O24" s="291"/>
    </row>
    <row r="25" spans="1:15" ht="16.5" thickBot="1">
      <c r="A25" s="420" t="s">
        <v>743</v>
      </c>
      <c r="B25" s="973">
        <f>PGL_Supplies!C7/1000</f>
        <v>0</v>
      </c>
      <c r="C25" s="1217"/>
      <c r="D25" s="1134"/>
      <c r="E25" s="1159" t="s">
        <v>752</v>
      </c>
      <c r="F25" s="1210"/>
      <c r="G25" s="1160"/>
      <c r="H25" s="1161"/>
      <c r="I25" s="1199" t="s">
        <v>407</v>
      </c>
      <c r="J25" s="955" t="s">
        <v>9</v>
      </c>
      <c r="K25" s="956">
        <f>SUM(B18+B20+B21)</f>
        <v>1.9382999999999999</v>
      </c>
      <c r="L25" s="957"/>
      <c r="M25" s="1238"/>
      <c r="N25" s="958" t="s">
        <v>9</v>
      </c>
      <c r="O25" s="255"/>
    </row>
    <row r="26" spans="1:15" ht="17.25" thickTop="1" thickBot="1">
      <c r="A26" s="420" t="s">
        <v>104</v>
      </c>
      <c r="B26" s="973">
        <f>PGL_Supplies!Z7/1000</f>
        <v>0</v>
      </c>
      <c r="C26" s="308"/>
      <c r="D26" s="1134"/>
      <c r="E26" s="119"/>
      <c r="F26" s="1070"/>
      <c r="G26" s="119"/>
      <c r="H26" s="158"/>
      <c r="I26" s="1202" t="s">
        <v>408</v>
      </c>
      <c r="J26" s="959" t="s">
        <v>9</v>
      </c>
      <c r="K26" s="960">
        <f>SUM(K23:K25)</f>
        <v>14.425799999999954</v>
      </c>
      <c r="L26" s="959" t="s">
        <v>9</v>
      </c>
      <c r="M26" s="609"/>
      <c r="N26" s="961" t="s">
        <v>9</v>
      </c>
      <c r="O26" s="962" t="s">
        <v>9</v>
      </c>
    </row>
    <row r="27" spans="1:15" ht="15.75" customHeight="1" thickTop="1" thickBot="1">
      <c r="A27" s="420" t="s">
        <v>744</v>
      </c>
      <c r="B27" s="319">
        <f>PGL_Supplies!R7/1000</f>
        <v>0</v>
      </c>
      <c r="C27" s="347"/>
      <c r="D27" s="1134"/>
      <c r="E27" s="1154" t="s">
        <v>753</v>
      </c>
      <c r="F27" s="1208"/>
      <c r="G27" s="1040"/>
      <c r="H27" s="1155"/>
      <c r="I27" s="1203" t="s">
        <v>690</v>
      </c>
      <c r="J27" s="963"/>
      <c r="K27" s="953">
        <f>SUM(-PGL_Supplies!L7/1000)</f>
        <v>0</v>
      </c>
      <c r="L27" s="1043"/>
      <c r="M27" s="1044"/>
      <c r="N27" s="509"/>
      <c r="O27" s="966"/>
    </row>
    <row r="28" spans="1:15" ht="16.5" thickBot="1">
      <c r="A28" s="554" t="s">
        <v>423</v>
      </c>
      <c r="B28" s="971">
        <f>-B24+B25+B26+B27</f>
        <v>0</v>
      </c>
      <c r="C28" s="972"/>
      <c r="D28" s="527"/>
      <c r="E28" s="119"/>
      <c r="F28" s="1070"/>
      <c r="G28" s="119"/>
      <c r="H28" s="158"/>
      <c r="I28" s="1199" t="s">
        <v>416</v>
      </c>
      <c r="J28" s="967"/>
      <c r="K28" s="965">
        <f>PGL_Requirements!N7/1000</f>
        <v>0</v>
      </c>
      <c r="L28" s="302"/>
      <c r="M28" s="948" t="s">
        <v>9</v>
      </c>
      <c r="N28" s="509"/>
      <c r="O28" s="964" t="s">
        <v>9</v>
      </c>
    </row>
    <row r="29" spans="1:15" ht="16.5" thickBot="1">
      <c r="A29" s="353" t="s">
        <v>9</v>
      </c>
      <c r="B29" s="1235" t="s">
        <v>401</v>
      </c>
      <c r="C29" s="354"/>
      <c r="D29" s="355"/>
      <c r="E29" s="1162" t="s">
        <v>449</v>
      </c>
      <c r="F29" s="1209"/>
      <c r="G29" s="978"/>
      <c r="H29" s="1163"/>
      <c r="I29" s="1199" t="s">
        <v>417</v>
      </c>
      <c r="J29" s="968"/>
      <c r="K29" s="1171">
        <f>-PGL_Supplies!K7/1000</f>
        <v>-4.4999999999999998E-2</v>
      </c>
      <c r="L29" s="302"/>
      <c r="M29" s="965" t="s">
        <v>9</v>
      </c>
      <c r="N29" s="509"/>
      <c r="O29" s="969" t="s">
        <v>9</v>
      </c>
    </row>
    <row r="30" spans="1:15" ht="15.75" thickBot="1">
      <c r="A30" s="365" t="s">
        <v>460</v>
      </c>
      <c r="B30" s="383">
        <f>PGL_Requirements!D7/1000</f>
        <v>0</v>
      </c>
      <c r="C30" s="535"/>
      <c r="D30" s="383" t="s">
        <v>9</v>
      </c>
      <c r="E30" s="1165" t="s">
        <v>754</v>
      </c>
      <c r="F30" s="1189"/>
      <c r="G30" s="1052"/>
      <c r="H30" s="1138"/>
      <c r="I30" s="1204" t="s">
        <v>183</v>
      </c>
      <c r="J30" s="1168"/>
      <c r="K30" s="1069">
        <f>-PGL_Supplies!AB7/1000</f>
        <v>-20.155000000000001</v>
      </c>
      <c r="L30" s="1169"/>
      <c r="M30" s="1069">
        <f>-PGL_Supplies!AB7/1000</f>
        <v>-20.155000000000001</v>
      </c>
      <c r="N30" s="1170"/>
      <c r="O30" s="1234">
        <f>-PGL_Supplies!AB7/1000</f>
        <v>-20.155000000000001</v>
      </c>
    </row>
    <row r="31" spans="1:15" ht="16.5" thickBot="1">
      <c r="A31" s="365" t="s">
        <v>461</v>
      </c>
      <c r="B31" s="973">
        <f>PGL_Supplies!D7/1000</f>
        <v>0</v>
      </c>
      <c r="C31" s="973" t="s">
        <v>9</v>
      </c>
      <c r="D31" s="974" t="s">
        <v>9</v>
      </c>
      <c r="E31" s="157" t="s">
        <v>755</v>
      </c>
      <c r="F31" s="1211"/>
      <c r="G31" s="1050"/>
      <c r="H31" s="1164"/>
      <c r="I31" s="324" t="s">
        <v>188</v>
      </c>
      <c r="J31" s="323"/>
      <c r="K31" s="1177"/>
      <c r="L31" s="1178"/>
      <c r="M31" s="326"/>
      <c r="N31" s="326"/>
      <c r="O31" s="326"/>
    </row>
    <row r="32" spans="1:15" ht="16.5" thickBot="1">
      <c r="A32" s="420" t="s">
        <v>104</v>
      </c>
      <c r="B32" s="973">
        <f>PGL_Supplies!AA7/1000+NSG_Supplies!M7/1000</f>
        <v>211.56700000000001</v>
      </c>
      <c r="C32" s="973" t="s">
        <v>9</v>
      </c>
      <c r="D32" s="974" t="s">
        <v>9</v>
      </c>
      <c r="E32" s="546" t="s">
        <v>756</v>
      </c>
      <c r="F32" s="1212"/>
      <c r="G32" s="425"/>
      <c r="H32" s="1023"/>
      <c r="I32" s="1203" t="s">
        <v>440</v>
      </c>
      <c r="J32" s="518"/>
      <c r="K32" s="1242"/>
      <c r="L32" s="1219" t="s">
        <v>762</v>
      </c>
      <c r="M32" s="119"/>
      <c r="N32" s="1249"/>
      <c r="O32" s="1247"/>
    </row>
    <row r="33" spans="1:15" ht="15.75" thickBot="1">
      <c r="A33" s="1125" t="s">
        <v>589</v>
      </c>
      <c r="B33" s="973">
        <f>PGL_Supplies!S7/1000</f>
        <v>20</v>
      </c>
      <c r="C33" s="973" t="s">
        <v>9</v>
      </c>
      <c r="D33" s="977"/>
      <c r="E33" s="119"/>
      <c r="F33" s="119"/>
      <c r="G33" s="119"/>
      <c r="H33" s="158"/>
      <c r="I33" s="1205" t="s">
        <v>441</v>
      </c>
      <c r="J33" s="1246"/>
      <c r="K33" s="1243"/>
      <c r="L33" s="1179" t="s">
        <v>449</v>
      </c>
      <c r="M33" s="1053"/>
      <c r="N33" s="1051"/>
      <c r="O33" s="801"/>
    </row>
    <row r="34" spans="1:15" ht="16.5" thickBot="1">
      <c r="A34" s="1182" t="s">
        <v>653</v>
      </c>
      <c r="B34" s="1208">
        <f>-B30+B31+B32+B33*0.5</f>
        <v>221.56700000000001</v>
      </c>
      <c r="C34" s="1040"/>
      <c r="D34" s="1025" t="s">
        <v>9</v>
      </c>
      <c r="E34" s="119"/>
      <c r="F34" s="119"/>
      <c r="G34" s="119"/>
      <c r="H34" s="158"/>
      <c r="I34" s="1206" t="s">
        <v>442</v>
      </c>
      <c r="J34" s="544"/>
      <c r="K34" s="1244"/>
      <c r="L34" s="1179" t="s">
        <v>450</v>
      </c>
      <c r="M34" s="1053"/>
      <c r="N34" s="1051"/>
      <c r="O34" s="801"/>
    </row>
    <row r="35" spans="1:15">
      <c r="A35" s="1120" t="s">
        <v>773</v>
      </c>
      <c r="B35" s="1028"/>
      <c r="C35" s="1028"/>
      <c r="D35" s="1026" t="s">
        <v>9</v>
      </c>
      <c r="E35" s="119"/>
      <c r="F35" s="119"/>
      <c r="G35" s="119"/>
      <c r="H35" s="158"/>
      <c r="I35" s="1206" t="s">
        <v>443</v>
      </c>
      <c r="J35" s="544"/>
      <c r="K35" s="1243"/>
      <c r="L35" s="1180" t="s">
        <v>451</v>
      </c>
      <c r="M35" s="1053"/>
      <c r="N35" s="1051"/>
      <c r="O35" s="801"/>
    </row>
    <row r="36" spans="1:15">
      <c r="A36" s="1121" t="s">
        <v>774</v>
      </c>
      <c r="B36" s="319">
        <f>B34-B35-B37</f>
        <v>193.4915</v>
      </c>
      <c r="C36" s="1029" t="s">
        <v>9</v>
      </c>
      <c r="D36" s="1027" t="s">
        <v>9</v>
      </c>
      <c r="E36" s="119"/>
      <c r="F36" s="119"/>
      <c r="G36" s="119"/>
      <c r="H36" s="158"/>
      <c r="I36" s="1206" t="s">
        <v>444</v>
      </c>
      <c r="J36" s="544"/>
      <c r="K36" s="1243"/>
      <c r="L36" s="1180" t="s">
        <v>383</v>
      </c>
      <c r="M36" s="1053"/>
      <c r="N36" s="1051"/>
      <c r="O36" s="801"/>
    </row>
    <row r="37" spans="1:15">
      <c r="A37" s="1122" t="s">
        <v>775</v>
      </c>
      <c r="B37" s="1232">
        <f>F24</f>
        <v>28.075500000000002</v>
      </c>
      <c r="C37" s="1051"/>
      <c r="D37" s="1114" t="s">
        <v>9</v>
      </c>
      <c r="E37" s="119"/>
      <c r="F37" s="119"/>
      <c r="G37" s="119"/>
      <c r="H37" s="119"/>
      <c r="I37" s="1231" t="s">
        <v>445</v>
      </c>
      <c r="J37" s="544"/>
      <c r="K37" s="1243"/>
      <c r="L37" s="1181" t="s">
        <v>452</v>
      </c>
      <c r="M37" s="1053"/>
      <c r="N37" s="1051"/>
      <c r="O37" s="801"/>
    </row>
    <row r="38" spans="1:15" ht="16.5" thickBot="1">
      <c r="A38" s="1127" t="s">
        <v>2</v>
      </c>
      <c r="B38" s="1233">
        <f>B35+B36+B37</f>
        <v>221.56700000000001</v>
      </c>
      <c r="C38" s="1128"/>
      <c r="D38" s="1129" t="s">
        <v>9</v>
      </c>
      <c r="E38" s="119"/>
      <c r="F38" s="119"/>
      <c r="G38" s="119"/>
      <c r="H38" s="119"/>
      <c r="I38" s="1227" t="s">
        <v>446</v>
      </c>
      <c r="J38" s="544"/>
      <c r="K38" s="1243"/>
      <c r="L38" s="589" t="s">
        <v>453</v>
      </c>
      <c r="M38" s="119"/>
      <c r="N38" s="1096"/>
      <c r="O38" s="1248"/>
    </row>
    <row r="39" spans="1:15" ht="17.25" thickTop="1" thickBot="1">
      <c r="E39" s="119"/>
      <c r="F39" s="119"/>
      <c r="G39" s="119"/>
      <c r="H39" s="119"/>
      <c r="I39" s="1228" t="s">
        <v>447</v>
      </c>
      <c r="J39" s="579"/>
      <c r="K39" s="1245"/>
      <c r="L39" s="546" t="s">
        <v>210</v>
      </c>
      <c r="M39" s="425"/>
      <c r="N39" s="425"/>
      <c r="O39" s="427"/>
    </row>
    <row r="40" spans="1:15" ht="15.75" thickBot="1">
      <c r="A40" s="117" t="s">
        <v>765</v>
      </c>
      <c r="E40" s="117"/>
      <c r="F40" s="117"/>
      <c r="G40" s="117"/>
      <c r="H40" s="117"/>
      <c r="I40" s="117"/>
      <c r="J40" s="982" t="s">
        <v>763</v>
      </c>
      <c r="K40" s="1183"/>
      <c r="L40" s="1187" t="s">
        <v>764</v>
      </c>
      <c r="M40" s="117"/>
      <c r="N40" s="117" t="s">
        <v>765</v>
      </c>
      <c r="O40" s="1184"/>
    </row>
    <row r="41" spans="1:15" ht="15.75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85"/>
      <c r="K41" s="1185"/>
      <c r="L41" s="1186"/>
      <c r="M41" s="778"/>
      <c r="N41" s="778"/>
      <c r="O41" s="778"/>
    </row>
    <row r="42" spans="1:15">
      <c r="A42" s="1123"/>
      <c r="B42" s="119"/>
      <c r="C42" s="119"/>
      <c r="D42" s="1124"/>
      <c r="I42" s="119"/>
      <c r="J42" s="1175"/>
      <c r="K42" s="589"/>
      <c r="L42" s="1176"/>
    </row>
    <row r="43" spans="1:15">
      <c r="I43" s="119"/>
      <c r="J43" s="1175"/>
      <c r="K43" s="589"/>
      <c r="L43" s="1176"/>
    </row>
    <row r="44" spans="1:15">
      <c r="I44" s="119"/>
      <c r="J44" s="8"/>
      <c r="K44" s="8"/>
      <c r="L44" s="1176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41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MON</v>
      </c>
      <c r="G1" s="1237">
        <f>Weather_Input!A5</f>
        <v>37060</v>
      </c>
      <c r="H1" s="584" t="s">
        <v>244</v>
      </c>
      <c r="I1" s="588"/>
    </row>
    <row r="2" spans="1:9" ht="20.25">
      <c r="A2" s="634" t="s">
        <v>9</v>
      </c>
      <c r="B2" s="782" t="s">
        <v>531</v>
      </c>
      <c r="C2" s="937" t="s">
        <v>9</v>
      </c>
      <c r="D2" s="784" t="s">
        <v>532</v>
      </c>
      <c r="E2" s="783"/>
      <c r="F2" s="784" t="s">
        <v>533</v>
      </c>
      <c r="G2" s="783"/>
      <c r="H2" s="785" t="s">
        <v>475</v>
      </c>
      <c r="I2" s="637"/>
    </row>
    <row r="3" spans="1:9" ht="20.25">
      <c r="A3" s="1033" t="s">
        <v>476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91</v>
      </c>
      <c r="C4" s="750">
        <f>Weather_Input!C5</f>
        <v>73</v>
      </c>
      <c r="D4" s="644"/>
      <c r="E4" s="645"/>
      <c r="F4" s="644"/>
      <c r="G4" s="645"/>
      <c r="H4" s="646"/>
      <c r="I4" s="647"/>
    </row>
    <row r="5" spans="1:9" ht="24" thickBot="1">
      <c r="A5" s="648" t="s">
        <v>134</v>
      </c>
      <c r="B5" s="649"/>
      <c r="C5" s="650">
        <f>NSG_Deliveries!C5/1000</f>
        <v>36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4" thickBot="1">
      <c r="A7" s="658" t="s">
        <v>84</v>
      </c>
      <c r="B7" s="649"/>
      <c r="C7" s="755">
        <f>C5-C9-C11-C12</f>
        <v>0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7" t="s">
        <v>603</v>
      </c>
      <c r="B9" s="667"/>
      <c r="C9" s="1049">
        <f>B46</f>
        <v>9.8249999999999993</v>
      </c>
      <c r="D9" s="665"/>
      <c r="E9" s="666"/>
      <c r="F9" s="665"/>
      <c r="G9" s="665"/>
      <c r="H9" s="667"/>
      <c r="I9" s="668"/>
    </row>
    <row r="10" spans="1:9" ht="12" customHeight="1" thickBot="1">
      <c r="A10" s="813"/>
      <c r="B10" s="660"/>
      <c r="C10" s="655"/>
      <c r="D10" s="814"/>
      <c r="E10" s="661"/>
      <c r="F10" s="814"/>
      <c r="G10" s="814"/>
      <c r="H10" s="660"/>
      <c r="I10" s="815"/>
    </row>
    <row r="11" spans="1:9" ht="23.25">
      <c r="A11" s="662" t="s">
        <v>477</v>
      </c>
      <c r="B11" s="663"/>
      <c r="C11" s="664">
        <f>B38</f>
        <v>0</v>
      </c>
      <c r="D11" s="665"/>
      <c r="E11" s="666"/>
      <c r="F11" s="665"/>
      <c r="G11" s="665" t="s">
        <v>9</v>
      </c>
      <c r="H11" s="667"/>
      <c r="I11" s="668"/>
    </row>
    <row r="12" spans="1:9" ht="23.25">
      <c r="A12" s="669" t="s">
        <v>478</v>
      </c>
      <c r="B12" s="670"/>
      <c r="C12" s="671">
        <f>+C5-C9</f>
        <v>26.175000000000001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4" thickBot="1">
      <c r="A15" s="682" t="s">
        <v>479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4" thickBot="1">
      <c r="A17" s="688" t="s">
        <v>480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" thickBot="1">
      <c r="A18" s="694" t="s">
        <v>481</v>
      </c>
      <c r="B18" s="654"/>
      <c r="C18" s="655" t="s">
        <v>9</v>
      </c>
      <c r="D18" s="656"/>
      <c r="E18" s="655"/>
      <c r="F18" s="656"/>
      <c r="G18" s="502" t="s">
        <v>607</v>
      </c>
      <c r="H18" s="654"/>
      <c r="I18" s="818"/>
    </row>
    <row r="19" spans="1:9" ht="24" thickBot="1">
      <c r="A19" s="695" t="s">
        <v>408</v>
      </c>
      <c r="B19" s="696"/>
      <c r="C19" s="697">
        <f>C7+C12</f>
        <v>26.175000000000001</v>
      </c>
      <c r="D19" s="698"/>
      <c r="E19" s="699"/>
      <c r="F19" s="698"/>
      <c r="G19" s="698" t="s">
        <v>9</v>
      </c>
      <c r="H19" s="696"/>
      <c r="I19" s="700"/>
    </row>
    <row r="20" spans="1:9" ht="20.25">
      <c r="A20" s="701" t="s">
        <v>410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25">
      <c r="A21" s="705" t="s">
        <v>413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25">
      <c r="A22" s="705" t="s">
        <v>482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25">
      <c r="A23" s="701" t="s">
        <v>414</v>
      </c>
      <c r="B23" s="709"/>
      <c r="C23" s="781" t="e">
        <f>-(PGL_Requirements!#REF!+PGL_Requirements!$Y$7+PGL_Requirements!$Z$7+PGL_Requirements!$AA$7)/1000+(NSG_Requirements!$Y$7+NSG_Requirements!$Z$7+NSG_Requirements!$AA$7)/1000</f>
        <v>#REF!</v>
      </c>
      <c r="D23" s="635"/>
      <c r="E23" s="781" t="e">
        <f>-(PGL_Requirements!#REF!+PGL_Requirements!$Y$7+PGL_Requirements!$Z$7+PGL_Requirements!$AA$7)/1000+(NSG_Requirements!$Y$7+NSG_Requirements!$Z$7+NSG_Requirements!$AA$7)/1000</f>
        <v>#REF!</v>
      </c>
      <c r="F23" s="635"/>
      <c r="G23" s="781" t="e">
        <f>-(PGL_Requirements!#REF!+PGL_Requirements!$Y$7+PGL_Requirements!$Z$7+PGL_Requirements!$AA$7)/1000+(NSG_Requirements!$Y$7+NSG_Requirements!$Z$7+NSG_Requirements!$AA$7)/1000</f>
        <v>#REF!</v>
      </c>
      <c r="H23" s="706"/>
      <c r="I23" s="780" t="e">
        <f>-(PGL_Requirements!#REF!+PGL_Requirements!$Y$7+PGL_Requirements!$Z$7+PGL_Requirements!$AA$7)/1000+(NSG_Requirements!$Y$7+NSG_Requirements!$Z$7+NSG_Requirements!$AA$7)/1000</f>
        <v>#REF!</v>
      </c>
    </row>
    <row r="24" spans="1:9" ht="20.25">
      <c r="A24" s="701" t="s">
        <v>416</v>
      </c>
      <c r="B24" s="709"/>
      <c r="C24" s="703">
        <f>NSG_Requirements!H7/1000</f>
        <v>2.3969999999999998</v>
      </c>
      <c r="D24" s="710"/>
      <c r="E24" s="703" t="s">
        <v>9</v>
      </c>
      <c r="F24" s="710"/>
      <c r="G24" s="703" t="s">
        <v>9</v>
      </c>
      <c r="H24" s="709"/>
      <c r="I24" s="703" t="s">
        <v>9</v>
      </c>
    </row>
    <row r="25" spans="1:9" ht="20.25">
      <c r="A25" s="701" t="s">
        <v>417</v>
      </c>
      <c r="B25" s="706"/>
      <c r="C25" s="703">
        <f>-NSG_Supplies!F7/1000</f>
        <v>0</v>
      </c>
      <c r="D25" s="707"/>
      <c r="E25" s="703" t="s">
        <v>9</v>
      </c>
      <c r="F25" s="707"/>
      <c r="G25" s="703" t="s">
        <v>9</v>
      </c>
      <c r="H25" s="706"/>
      <c r="I25" s="703" t="s">
        <v>9</v>
      </c>
    </row>
    <row r="26" spans="1:9" ht="20.25">
      <c r="A26" s="701" t="s">
        <v>183</v>
      </c>
      <c r="B26" s="709"/>
      <c r="C26" s="703">
        <f>-NSG_Supplies!Q7/1000</f>
        <v>-28.599</v>
      </c>
      <c r="D26" s="710"/>
      <c r="E26" s="703">
        <f>-NSG_Supplies!Q7/1000</f>
        <v>-28.599</v>
      </c>
      <c r="F26" s="710"/>
      <c r="G26" s="703">
        <f>-NSG_Supplies!Q7/1000</f>
        <v>-28.599</v>
      </c>
      <c r="H26" s="709"/>
      <c r="I26" s="766">
        <f>-NSG_Supplies!Q7/1000</f>
        <v>-28.599</v>
      </c>
    </row>
    <row r="27" spans="1:9" ht="20.25">
      <c r="A27" s="701" t="s">
        <v>415</v>
      </c>
      <c r="B27" s="709"/>
      <c r="C27" s="703">
        <v>0</v>
      </c>
      <c r="D27" s="710"/>
      <c r="E27" s="703">
        <v>0</v>
      </c>
      <c r="F27" s="710"/>
      <c r="G27" s="703">
        <v>0</v>
      </c>
      <c r="H27" s="709"/>
      <c r="I27" s="766">
        <v>0</v>
      </c>
    </row>
    <row r="28" spans="1:9" ht="21" thickBot="1">
      <c r="A28" s="756" t="s">
        <v>508</v>
      </c>
      <c r="B28" s="712"/>
      <c r="C28" s="703">
        <f>-NSG_Supplies!G7/1000+NSG_Requirements!L7/1000</f>
        <v>0</v>
      </c>
      <c r="D28" s="707"/>
      <c r="E28" s="703">
        <f>-NSG_Supplies!G7/1000+NSG_Requirements!L7/1000</f>
        <v>0</v>
      </c>
      <c r="F28" s="707"/>
      <c r="G28" s="703">
        <f>-NSG_Supplies!G7/1000+NSG_Requirements!L7/1000</f>
        <v>0</v>
      </c>
      <c r="H28" s="712"/>
      <c r="I28" s="775">
        <f>-NSG_Supplies!G7/1000+NSG_Requirements!L7/1000</f>
        <v>0</v>
      </c>
    </row>
    <row r="29" spans="1:9" ht="24" thickBot="1">
      <c r="A29" s="714"/>
      <c r="B29" s="715"/>
      <c r="C29" s="716" t="s">
        <v>477</v>
      </c>
      <c r="D29" s="715"/>
      <c r="E29" s="717"/>
      <c r="F29" s="715"/>
      <c r="G29" s="718" t="s">
        <v>9</v>
      </c>
      <c r="H29" s="715"/>
      <c r="I29" s="719"/>
    </row>
    <row r="30" spans="1:9" ht="20.25">
      <c r="A30" s="773" t="s">
        <v>420</v>
      </c>
      <c r="B30" s="752">
        <f>NSG_Requirements!O7/1000</f>
        <v>0</v>
      </c>
      <c r="C30" s="721" t="s">
        <v>9</v>
      </c>
      <c r="D30" s="722"/>
      <c r="E30" s="723"/>
      <c r="F30" s="724" t="s">
        <v>269</v>
      </c>
      <c r="G30" s="725"/>
      <c r="H30" s="725"/>
      <c r="I30" s="726"/>
    </row>
    <row r="31" spans="1:9" ht="20.25">
      <c r="A31" s="774" t="s">
        <v>509</v>
      </c>
      <c r="B31" s="751">
        <f>NSG_Supplies!K7/1000+PGL_Requirements!V7/1000</f>
        <v>0</v>
      </c>
      <c r="C31" s="710"/>
      <c r="D31" s="728"/>
      <c r="E31" s="711"/>
      <c r="F31" s="635"/>
      <c r="G31" s="707"/>
      <c r="H31" s="707"/>
      <c r="I31" s="726"/>
    </row>
    <row r="32" spans="1:9" ht="20.25">
      <c r="A32" s="774" t="s">
        <v>510</v>
      </c>
      <c r="B32" s="751">
        <f>NSG_Supplies!L7/1000</f>
        <v>0</v>
      </c>
      <c r="C32" s="707"/>
      <c r="D32" s="729"/>
      <c r="E32" s="708"/>
      <c r="F32" s="635"/>
      <c r="G32" s="707"/>
      <c r="H32" s="707"/>
      <c r="I32" s="726"/>
    </row>
    <row r="33" spans="1:9" ht="20.25">
      <c r="A33" s="773" t="s">
        <v>483</v>
      </c>
      <c r="B33" s="753">
        <f>(NSG_Requirements!S7+NSG_Requirements!T7+NSG_Requirements!U7)/1000</f>
        <v>0</v>
      </c>
      <c r="C33" s="710"/>
      <c r="D33" s="728"/>
      <c r="E33" s="711"/>
      <c r="F33" s="635"/>
      <c r="G33" s="707"/>
      <c r="H33" s="707"/>
      <c r="I33" s="726"/>
    </row>
    <row r="34" spans="1:9" ht="20.25">
      <c r="A34" s="773" t="s">
        <v>86</v>
      </c>
      <c r="B34" s="751">
        <f>NSG_Requirements!D7/1000</f>
        <v>0</v>
      </c>
      <c r="C34" s="710"/>
      <c r="D34" s="728"/>
      <c r="E34" s="711"/>
      <c r="F34" s="635"/>
      <c r="G34" s="707"/>
      <c r="H34" s="707"/>
      <c r="I34" s="726"/>
    </row>
    <row r="35" spans="1:9" ht="20.25">
      <c r="A35" s="774" t="s">
        <v>495</v>
      </c>
      <c r="B35" s="753">
        <f>NSG_Requirements!B7/1000</f>
        <v>0</v>
      </c>
      <c r="C35" s="710"/>
      <c r="D35" s="728"/>
      <c r="E35" s="711"/>
      <c r="F35" s="635"/>
      <c r="G35" s="707"/>
      <c r="H35" s="707"/>
      <c r="I35" s="726"/>
    </row>
    <row r="36" spans="1:9" ht="20.25">
      <c r="A36" s="774" t="s">
        <v>496</v>
      </c>
      <c r="B36" s="753">
        <f>NSG_Supplies!B7/1000</f>
        <v>0</v>
      </c>
      <c r="C36" s="710"/>
      <c r="D36" s="728"/>
      <c r="E36" s="711"/>
      <c r="F36" s="635"/>
      <c r="G36" s="707"/>
      <c r="H36" s="707"/>
      <c r="I36" s="726"/>
    </row>
    <row r="37" spans="1:9" ht="21" thickBot="1">
      <c r="A37" s="773" t="s">
        <v>104</v>
      </c>
      <c r="B37" s="751">
        <f>NSG_Supplies!O7/1000</f>
        <v>0</v>
      </c>
      <c r="C37" s="731"/>
      <c r="D37" s="732"/>
      <c r="E37" s="713"/>
      <c r="F37" s="635"/>
      <c r="G37" s="707"/>
      <c r="H37" s="707"/>
      <c r="I37" s="726"/>
    </row>
    <row r="38" spans="1:9" ht="21" thickBot="1">
      <c r="A38" s="733" t="s">
        <v>484</v>
      </c>
      <c r="B38" s="754">
        <f>-B30+B31+B32-B33-B34-B35+B36+B37</f>
        <v>0</v>
      </c>
      <c r="C38" s="635"/>
      <c r="D38" s="734"/>
      <c r="E38" s="735"/>
      <c r="F38" s="635"/>
      <c r="G38" s="707"/>
      <c r="H38" s="707"/>
      <c r="I38" s="726"/>
    </row>
    <row r="39" spans="1:9" ht="24" thickBot="1">
      <c r="A39" s="714"/>
      <c r="B39" s="715"/>
      <c r="C39" s="819" t="s">
        <v>608</v>
      </c>
      <c r="D39" s="715"/>
      <c r="E39" s="717"/>
      <c r="F39" s="635"/>
      <c r="G39" s="707"/>
      <c r="H39" s="707"/>
      <c r="I39" s="726"/>
    </row>
    <row r="40" spans="1:9" ht="20.25">
      <c r="A40" s="701" t="s">
        <v>485</v>
      </c>
      <c r="B40" s="809">
        <v>0</v>
      </c>
      <c r="C40" s="635"/>
      <c r="D40" s="736"/>
      <c r="E40" s="737"/>
      <c r="F40" s="635"/>
      <c r="G40" s="707"/>
      <c r="H40" s="707"/>
      <c r="I40" s="726"/>
    </row>
    <row r="41" spans="1:9" ht="20.25">
      <c r="A41" s="701" t="s">
        <v>486</v>
      </c>
      <c r="B41" s="810">
        <f>NSG_Requirements!J7/1000</f>
        <v>5.39</v>
      </c>
      <c r="C41" s="710"/>
      <c r="D41" s="728"/>
      <c r="E41" s="711"/>
      <c r="F41" s="635"/>
      <c r="G41" s="707"/>
      <c r="H41" s="707"/>
      <c r="I41" s="726"/>
    </row>
    <row r="42" spans="1:9" ht="20.25">
      <c r="A42" s="701" t="s">
        <v>487</v>
      </c>
      <c r="B42" s="811">
        <f>NSG_Supplies!E7/1000</f>
        <v>0</v>
      </c>
      <c r="C42" s="635"/>
      <c r="D42" s="738"/>
      <c r="E42" s="739"/>
      <c r="F42" s="635"/>
      <c r="G42" s="707"/>
      <c r="H42" s="707"/>
      <c r="I42" s="726"/>
    </row>
    <row r="43" spans="1:9" ht="20.25">
      <c r="A43" s="701" t="s">
        <v>488</v>
      </c>
      <c r="B43" s="810">
        <v>0</v>
      </c>
      <c r="C43" s="710"/>
      <c r="D43" s="728"/>
      <c r="E43" s="711"/>
      <c r="F43" s="635"/>
      <c r="G43" s="707"/>
      <c r="H43" s="707"/>
      <c r="I43" s="726"/>
    </row>
    <row r="44" spans="1:9" ht="20.25">
      <c r="A44" s="701" t="s">
        <v>489</v>
      </c>
      <c r="B44" s="810">
        <v>0</v>
      </c>
      <c r="C44" s="710"/>
      <c r="D44" s="728"/>
      <c r="E44" s="711"/>
      <c r="F44" s="635"/>
      <c r="G44" s="707"/>
      <c r="H44" s="707"/>
      <c r="I44" s="726"/>
    </row>
    <row r="45" spans="1:9" ht="21" thickBot="1">
      <c r="A45" s="630" t="s">
        <v>604</v>
      </c>
      <c r="B45" s="811">
        <f>NSG_Supplies!P7/1000</f>
        <v>15.215</v>
      </c>
      <c r="C45" s="635"/>
      <c r="D45" s="738"/>
      <c r="E45" s="739"/>
      <c r="F45" s="635"/>
      <c r="G45" s="707"/>
      <c r="H45" s="707"/>
      <c r="I45" s="726"/>
    </row>
    <row r="46" spans="1:9" ht="21" thickBot="1">
      <c r="A46" s="733" t="s">
        <v>484</v>
      </c>
      <c r="B46" s="812">
        <f>B45+B42-B41</f>
        <v>9.8249999999999993</v>
      </c>
      <c r="C46" s="741"/>
      <c r="D46" s="740"/>
      <c r="E46" s="742"/>
      <c r="F46" s="635"/>
      <c r="G46" s="707"/>
      <c r="H46" s="707"/>
      <c r="I46" s="726"/>
    </row>
    <row r="47" spans="1:9" ht="24" thickBot="1">
      <c r="A47" s="714"/>
      <c r="B47" s="715"/>
      <c r="C47" s="716" t="s">
        <v>67</v>
      </c>
      <c r="D47" s="715"/>
      <c r="E47" s="717"/>
      <c r="F47" s="635"/>
      <c r="G47" s="707"/>
      <c r="H47" s="707"/>
      <c r="I47" s="726"/>
    </row>
    <row r="48" spans="1:9" ht="20.25">
      <c r="A48" s="701" t="s">
        <v>490</v>
      </c>
      <c r="B48" s="720">
        <f>(NSG_Requirements!V7+NSG_Requirements!W7+NSG_Requirements!X7)/1000</f>
        <v>0</v>
      </c>
      <c r="C48" s="743"/>
      <c r="D48" s="728"/>
      <c r="E48" s="711"/>
      <c r="F48" s="635"/>
      <c r="G48" s="707"/>
      <c r="H48" s="707"/>
      <c r="I48" s="726"/>
    </row>
    <row r="49" spans="1:9" ht="20.25">
      <c r="A49" s="701" t="s">
        <v>491</v>
      </c>
      <c r="B49" s="727">
        <f>NSG_Requirements!M7/1000</f>
        <v>0</v>
      </c>
      <c r="C49" s="747"/>
      <c r="D49" s="747"/>
      <c r="E49" s="636"/>
      <c r="F49" s="635"/>
      <c r="G49" s="707"/>
      <c r="H49" s="707"/>
      <c r="I49" s="726"/>
    </row>
    <row r="50" spans="1:9" ht="20.25">
      <c r="A50" s="701" t="s">
        <v>86</v>
      </c>
      <c r="B50" s="727">
        <f>NSG_Requirements!E7/1000</f>
        <v>0</v>
      </c>
      <c r="C50" s="744"/>
      <c r="D50" s="738"/>
      <c r="E50" s="739"/>
      <c r="F50" s="635"/>
      <c r="G50" s="707"/>
      <c r="H50" s="707"/>
      <c r="I50" s="726"/>
    </row>
    <row r="51" spans="1:9" ht="21" thickBot="1">
      <c r="A51" s="701" t="s">
        <v>104</v>
      </c>
      <c r="B51" s="730">
        <f>NSG_Supplies!N7/1000</f>
        <v>0</v>
      </c>
      <c r="C51" s="743"/>
      <c r="D51" s="728"/>
      <c r="E51" s="711"/>
      <c r="F51" s="635"/>
      <c r="G51" s="707"/>
      <c r="H51" s="707"/>
      <c r="I51" s="726"/>
    </row>
    <row r="52" spans="1:9" ht="24" thickBot="1">
      <c r="A52" s="714"/>
      <c r="B52" s="715"/>
      <c r="C52" s="716" t="s">
        <v>492</v>
      </c>
      <c r="D52" s="715"/>
      <c r="E52" s="717"/>
      <c r="F52" s="635"/>
      <c r="G52" s="707"/>
      <c r="H52" s="707"/>
      <c r="I52" s="726"/>
    </row>
    <row r="53" spans="1:9" ht="20.25">
      <c r="A53" s="745" t="s">
        <v>493</v>
      </c>
      <c r="B53" s="746"/>
      <c r="C53" s="635"/>
      <c r="D53" s="736"/>
      <c r="E53" s="737"/>
      <c r="F53" s="635"/>
      <c r="G53" s="707"/>
      <c r="H53" s="707"/>
      <c r="I53" s="726"/>
    </row>
    <row r="54" spans="1:9" ht="21" thickBot="1">
      <c r="A54" s="748" t="s">
        <v>494</v>
      </c>
      <c r="B54" s="757"/>
      <c r="C54" s="758"/>
      <c r="D54" s="759"/>
      <c r="E54" s="760"/>
      <c r="F54" s="749"/>
      <c r="G54" s="761"/>
      <c r="H54" s="1035"/>
      <c r="I54" s="1034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topLeftCell="A53" workbookViewId="0">
      <selection activeCell="B57" sqref="B57"/>
    </sheetView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37060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512</v>
      </c>
      <c r="C3" s="448">
        <v>44</v>
      </c>
      <c r="D3" s="254"/>
      <c r="E3" s="254"/>
      <c r="F3" s="448" t="s">
        <v>376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91</v>
      </c>
      <c r="C5" s="261">
        <f>Weather_Input!C5</f>
        <v>73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213</v>
      </c>
      <c r="C8" s="269">
        <f>NSG_Deliveries!C5/1000</f>
        <v>36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133.16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6.3230000000000004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-25.819999999999993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0.83599999999999997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0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26.071999999999999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379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36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1.9382999999999999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36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0.59</v>
      </c>
      <c r="C27" s="305">
        <f>NSG_Requirements!P7/1000</f>
        <v>0</v>
      </c>
      <c r="D27" s="305">
        <f>PGL_Requirements!Q7/1000</f>
        <v>0.59</v>
      </c>
      <c r="E27" s="305">
        <f>NSG_Requirements!P7/1000</f>
        <v>0</v>
      </c>
      <c r="F27" s="305">
        <f>PGL_Requirements!Q7/1000</f>
        <v>0.59</v>
      </c>
      <c r="G27" s="305">
        <f>NSG_Requirements!P7/1000</f>
        <v>0</v>
      </c>
      <c r="H27" s="306">
        <f>+B27</f>
        <v>0.59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385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-20.155000000000001</v>
      </c>
      <c r="C32" s="310">
        <f>-NSG_Supplies!Q7/1000</f>
        <v>-28.599</v>
      </c>
      <c r="D32" s="310">
        <f>B32</f>
        <v>-20.155000000000001</v>
      </c>
      <c r="E32" s="310">
        <f>C32</f>
        <v>-28.599</v>
      </c>
      <c r="F32" s="310">
        <f>B32</f>
        <v>-20.155000000000001</v>
      </c>
      <c r="G32" s="310">
        <f>C32</f>
        <v>-28.599</v>
      </c>
      <c r="H32" s="315">
        <f>B32</f>
        <v>-20.155000000000001</v>
      </c>
      <c r="I32" s="316">
        <f>C32</f>
        <v>-28.599</v>
      </c>
    </row>
    <row r="33" spans="1:9" ht="17.100000000000001" customHeight="1">
      <c r="A33" s="314" t="s">
        <v>373</v>
      </c>
      <c r="B33" s="310">
        <f>-PGL_Supplies!W7/1000</f>
        <v>0</v>
      </c>
      <c r="C33" s="310">
        <f>-NSG_Supplies!R7/1000</f>
        <v>-16.725000000000001</v>
      </c>
      <c r="D33" s="310">
        <f>B33</f>
        <v>0</v>
      </c>
      <c r="E33" s="310">
        <f>C33</f>
        <v>-16.725000000000001</v>
      </c>
      <c r="F33" s="310">
        <f>B33</f>
        <v>0</v>
      </c>
      <c r="G33" s="310">
        <f>C33</f>
        <v>-16.725000000000001</v>
      </c>
      <c r="H33" s="315">
        <f>B33</f>
        <v>0</v>
      </c>
      <c r="I33" s="316">
        <f>C33</f>
        <v>-16.725000000000001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0</v>
      </c>
      <c r="C35" s="305">
        <f>NSG_Requirements!H7/1000</f>
        <v>2.3969999999999998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-4.4999999999999998E-2</v>
      </c>
      <c r="C36" s="310">
        <f>-NSG_Supplies!F7/1000</f>
        <v>0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386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393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129.22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0.83599999999999997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1.9382999999999999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1.9382999999999999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0.83599999999999997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390</v>
      </c>
      <c r="B50" s="319">
        <f>PGL_Supplies!U7/1000+PGL_Supplies!C7/1000</f>
        <v>133.16</v>
      </c>
      <c r="C50" s="308"/>
      <c r="D50" s="308"/>
      <c r="E50" s="308"/>
      <c r="F50" s="314" t="s">
        <v>382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133.16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373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474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395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392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373</v>
      </c>
      <c r="B64" s="319">
        <f>PGL_Supplies!X7/1000</f>
        <v>103.4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473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378</v>
      </c>
      <c r="I69" s="377"/>
    </row>
    <row r="70" spans="1:10" ht="17.100000000000001" customHeight="1">
      <c r="A70" s="327" t="s">
        <v>232</v>
      </c>
      <c r="B70" s="383">
        <f>PGL_Requirements!O7/1000</f>
        <v>129.22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4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-25.819999999999993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MON</v>
      </c>
      <c r="H73" s="401">
        <f>Weather_Input!A5</f>
        <v>37060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2" t="s">
        <v>400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75">
      <c r="A91" s="253"/>
      <c r="B91" s="604" t="s">
        <v>397</v>
      </c>
      <c r="C91" s="264" t="s">
        <v>9</v>
      </c>
      <c r="D91" s="596" t="s">
        <v>468</v>
      </c>
      <c r="E91" s="603"/>
      <c r="F91" s="601" t="s">
        <v>469</v>
      </c>
      <c r="G91" s="602"/>
      <c r="H91" s="600" t="s">
        <v>160</v>
      </c>
      <c r="I91" s="255"/>
    </row>
    <row r="92" spans="1:9" ht="15">
      <c r="A92" s="488" t="s">
        <v>398</v>
      </c>
      <c r="B92" s="595" t="s">
        <v>389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75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5" thickBot="1">
      <c r="A94" s="253" t="s">
        <v>399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5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0.83599999999999997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133.16</v>
      </c>
      <c r="D99" s="615"/>
      <c r="E99" s="264"/>
      <c r="F99" s="597"/>
      <c r="G99" s="264"/>
      <c r="H99" s="597"/>
      <c r="I99" s="262"/>
    </row>
    <row r="100" spans="1:9" ht="15">
      <c r="A100" s="488" t="s">
        <v>401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402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103.4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0</v>
      </c>
      <c r="D103" s="615"/>
      <c r="E103" s="264"/>
      <c r="F103" s="597"/>
      <c r="G103" s="264"/>
      <c r="H103" s="597"/>
      <c r="I103" s="262"/>
    </row>
    <row r="104" spans="1:9" ht="15.75" thickBot="1">
      <c r="A104" s="287" t="s">
        <v>105</v>
      </c>
      <c r="B104" s="610" t="s">
        <v>9</v>
      </c>
      <c r="C104" s="618">
        <f>PGL_Supplies!B7/1000</f>
        <v>26.071999999999999</v>
      </c>
      <c r="D104" s="596"/>
      <c r="E104" s="264"/>
      <c r="F104" s="597"/>
      <c r="G104" s="264"/>
      <c r="H104" s="597"/>
      <c r="I104" s="262"/>
    </row>
    <row r="105" spans="1:9" ht="16.5" thickBot="1">
      <c r="A105" s="611" t="s">
        <v>403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5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404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405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406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75">
      <c r="A110" s="507" t="s">
        <v>407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5" thickBot="1">
      <c r="A111" s="508" t="s">
        <v>408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409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75">
      <c r="A113" s="420" t="s">
        <v>410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75">
      <c r="A114" s="327" t="s">
        <v>411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412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413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414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75">
      <c r="A118" s="420" t="s">
        <v>416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417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75">
      <c r="A121" s="420" t="s">
        <v>415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75">
      <c r="A122" s="420" t="s">
        <v>418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419</v>
      </c>
      <c r="B123" s="310">
        <f>-PGL_Supplies!W7/1000</f>
        <v>0</v>
      </c>
      <c r="C123" s="310">
        <f>-NSG_Supplies!R7/1000</f>
        <v>-16.725000000000001</v>
      </c>
      <c r="D123" s="308"/>
      <c r="E123" s="308"/>
      <c r="F123" s="308"/>
      <c r="G123" s="308"/>
      <c r="H123" s="312"/>
      <c r="I123" s="313"/>
    </row>
    <row r="124" spans="1:9" ht="16.5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420</v>
      </c>
      <c r="B125" s="310">
        <f>PGL_Requirements!T7/1000</f>
        <v>0</v>
      </c>
      <c r="F125" s="537" t="s">
        <v>9</v>
      </c>
      <c r="G125" s="538"/>
      <c r="H125" s="605"/>
      <c r="I125" s="331"/>
    </row>
    <row r="126" spans="1:9" ht="15">
      <c r="A126" s="420" t="s">
        <v>377</v>
      </c>
      <c r="B126" s="319">
        <f>PGL_Supplies!Q7/1000</f>
        <v>0</v>
      </c>
      <c r="C126" s="310" t="s">
        <v>9</v>
      </c>
      <c r="D126" s="308"/>
      <c r="E126" s="328"/>
      <c r="F126" s="420" t="s">
        <v>440</v>
      </c>
      <c r="G126" s="539"/>
      <c r="H126" s="544"/>
      <c r="I126" s="331"/>
    </row>
    <row r="127" spans="1:9" ht="15">
      <c r="A127" s="420" t="s">
        <v>470</v>
      </c>
      <c r="B127" s="310">
        <f>PGL_Requirements!N7/1000</f>
        <v>0</v>
      </c>
      <c r="C127" s="310" t="s">
        <v>9</v>
      </c>
      <c r="D127" s="308"/>
      <c r="E127" s="328"/>
      <c r="F127" s="420" t="s">
        <v>441</v>
      </c>
      <c r="G127" s="539"/>
      <c r="H127" s="312"/>
      <c r="I127" s="331"/>
    </row>
    <row r="128" spans="1:9" ht="15">
      <c r="A128" s="420" t="s">
        <v>410</v>
      </c>
      <c r="B128" s="310">
        <f>PGL_Requirements!H7/1000</f>
        <v>0</v>
      </c>
      <c r="C128" s="310" t="s">
        <v>9</v>
      </c>
      <c r="D128" s="308"/>
      <c r="E128" s="328"/>
      <c r="F128" s="420" t="s">
        <v>442</v>
      </c>
      <c r="G128" s="539"/>
      <c r="H128" s="312"/>
      <c r="I128" s="331"/>
    </row>
    <row r="129" spans="1:9" ht="15">
      <c r="A129" s="420" t="s">
        <v>421</v>
      </c>
      <c r="B129" s="310" t="e">
        <f>PGL_Requirements!#REF!/1000</f>
        <v>#REF!</v>
      </c>
      <c r="C129" s="308"/>
      <c r="D129" s="308"/>
      <c r="E129" s="328"/>
      <c r="F129" s="420" t="s">
        <v>443</v>
      </c>
      <c r="G129" s="539"/>
      <c r="H129" s="312"/>
      <c r="I129" s="331"/>
    </row>
    <row r="130" spans="1:9" ht="15">
      <c r="A130" s="420" t="s">
        <v>422</v>
      </c>
      <c r="B130" s="310">
        <f>PGL_Requirements!Z7/1000</f>
        <v>0</v>
      </c>
      <c r="C130" s="589"/>
      <c r="D130" s="308"/>
      <c r="E130" s="328"/>
      <c r="F130" s="420" t="s">
        <v>444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445</v>
      </c>
      <c r="G131" s="539"/>
      <c r="H131" s="312"/>
      <c r="I131" s="331"/>
    </row>
    <row r="132" spans="1:9" ht="15.75" thickBot="1">
      <c r="A132" s="420" t="s">
        <v>373</v>
      </c>
      <c r="B132" s="319">
        <f>PGL_Supplies!T7/1000</f>
        <v>0</v>
      </c>
      <c r="C132" s="344"/>
      <c r="D132" s="344"/>
      <c r="E132" s="549"/>
      <c r="F132" s="420" t="s">
        <v>446</v>
      </c>
      <c r="G132" s="539"/>
      <c r="H132" s="312"/>
      <c r="I132" s="331"/>
    </row>
    <row r="133" spans="1:9" ht="16.5" thickBot="1">
      <c r="A133" s="554" t="s">
        <v>423</v>
      </c>
      <c r="B133" s="561" t="e">
        <f>B126+B127+B130+B131+B132-B125-B128-B129</f>
        <v>#REF!</v>
      </c>
      <c r="C133" s="526"/>
      <c r="D133" s="526"/>
      <c r="E133" s="516"/>
      <c r="F133" s="420" t="s">
        <v>447</v>
      </c>
      <c r="G133" s="539"/>
      <c r="H133" s="312"/>
      <c r="I133" s="331"/>
    </row>
    <row r="134" spans="1:9" ht="15.75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448</v>
      </c>
      <c r="G134" s="540"/>
      <c r="H134" s="312"/>
      <c r="I134" s="331"/>
    </row>
    <row r="135" spans="1:9" ht="15">
      <c r="A135" s="420" t="s">
        <v>410</v>
      </c>
      <c r="B135" s="132">
        <f>PGL_Requirements!I7</f>
        <v>0</v>
      </c>
      <c r="C135" s="8"/>
      <c r="D135" s="8"/>
      <c r="E135" s="8"/>
      <c r="F135" s="542" t="s">
        <v>449</v>
      </c>
      <c r="G135" s="540"/>
      <c r="H135" s="345"/>
      <c r="I135" s="331"/>
    </row>
    <row r="136" spans="1:9" ht="15">
      <c r="A136" s="420" t="s">
        <v>424</v>
      </c>
      <c r="B136" s="319">
        <f>NSG_Supplies!N7/1011</f>
        <v>0</v>
      </c>
      <c r="C136" s="308"/>
      <c r="D136" s="308"/>
      <c r="E136" s="308"/>
      <c r="F136" s="420" t="s">
        <v>450</v>
      </c>
      <c r="G136" s="539"/>
      <c r="H136" s="347"/>
      <c r="I136" s="331"/>
    </row>
    <row r="137" spans="1:9" ht="15">
      <c r="A137" s="420" t="s">
        <v>425</v>
      </c>
      <c r="B137" s="319">
        <f>PGL_Supplies!Z7/1000</f>
        <v>0</v>
      </c>
      <c r="C137" s="589"/>
      <c r="D137" s="308"/>
      <c r="E137" s="308"/>
      <c r="F137" s="420" t="s">
        <v>451</v>
      </c>
      <c r="G137" s="539"/>
      <c r="H137" s="312"/>
      <c r="I137" s="331"/>
    </row>
    <row r="138" spans="1:9" ht="15">
      <c r="A138" s="420" t="s">
        <v>426</v>
      </c>
      <c r="B138" s="132">
        <f>PGL_Requirements!C7</f>
        <v>0</v>
      </c>
      <c r="C138" s="308"/>
      <c r="D138" s="308"/>
      <c r="E138" s="308"/>
      <c r="F138" s="420" t="s">
        <v>383</v>
      </c>
      <c r="G138" s="539"/>
      <c r="H138" s="347"/>
      <c r="I138" s="331"/>
    </row>
    <row r="139" spans="1:9" ht="15">
      <c r="A139" s="420" t="s">
        <v>427</v>
      </c>
      <c r="B139" s="319">
        <f>PGL_Supplies!C7/1000</f>
        <v>0</v>
      </c>
      <c r="C139" s="308"/>
      <c r="D139" s="308"/>
      <c r="E139" s="308"/>
      <c r="F139" s="365" t="s">
        <v>452</v>
      </c>
      <c r="G139" s="543"/>
      <c r="H139" s="534"/>
      <c r="I139" s="331"/>
    </row>
    <row r="140" spans="1:9" ht="15.75" thickBot="1">
      <c r="A140" s="420" t="s">
        <v>373</v>
      </c>
      <c r="B140" s="319">
        <f>PGL_Supplies!U7/1000</f>
        <v>133.16</v>
      </c>
      <c r="C140" s="344"/>
      <c r="D140" s="344"/>
      <c r="E140" s="344"/>
      <c r="F140" s="365" t="s">
        <v>453</v>
      </c>
      <c r="G140" s="543"/>
      <c r="H140" s="545"/>
      <c r="I140" s="331"/>
    </row>
    <row r="141" spans="1:9" ht="16.5" thickBot="1">
      <c r="A141" s="554" t="s">
        <v>423</v>
      </c>
      <c r="B141" s="556">
        <f>-B135+B136+B137-B138+B139+B140</f>
        <v>133.16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5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454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129.22</v>
      </c>
      <c r="C143" s="308"/>
      <c r="D143" s="308"/>
      <c r="E143" s="308"/>
      <c r="F143" s="563" t="s">
        <v>406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428</v>
      </c>
      <c r="B144" s="319">
        <f>PGL_Supplies!L7/1000</f>
        <v>0</v>
      </c>
      <c r="C144" s="308"/>
      <c r="D144" s="308"/>
      <c r="E144" s="308"/>
      <c r="F144" s="356" t="s">
        <v>455</v>
      </c>
      <c r="G144" s="308"/>
      <c r="H144" s="383" t="s">
        <v>9</v>
      </c>
      <c r="I144" s="361">
        <f>NSG_Supplies!N7/1000</f>
        <v>0</v>
      </c>
    </row>
    <row r="145" spans="1:9" ht="15.75" thickBot="1">
      <c r="A145" s="420" t="s">
        <v>429</v>
      </c>
      <c r="B145" s="319">
        <f>PGL_Requirements!B7/1000</f>
        <v>0</v>
      </c>
      <c r="C145" s="308"/>
      <c r="D145" s="308"/>
      <c r="E145" s="308"/>
      <c r="F145" s="532" t="s">
        <v>456</v>
      </c>
      <c r="G145" s="350"/>
      <c r="H145" s="521" t="s">
        <v>9</v>
      </c>
      <c r="I145" s="402"/>
    </row>
    <row r="146" spans="1:9" ht="15.75" thickBot="1">
      <c r="A146" s="420" t="s">
        <v>430</v>
      </c>
      <c r="B146" s="319">
        <f>PGL_Supplies!G7/1000</f>
        <v>0.83599999999999997</v>
      </c>
      <c r="C146" s="308"/>
      <c r="D146" s="308"/>
      <c r="E146" s="308"/>
      <c r="F146" s="560" t="s">
        <v>432</v>
      </c>
      <c r="G146" s="526"/>
      <c r="H146" s="561" t="s">
        <v>9</v>
      </c>
      <c r="I146" s="562" t="e">
        <f>PGL_Requirements!#REF!/1000</f>
        <v>#REF!</v>
      </c>
    </row>
    <row r="147" spans="1:9" ht="16.5" thickBot="1">
      <c r="A147" s="365" t="s">
        <v>407</v>
      </c>
      <c r="B147" s="319" t="s">
        <v>9</v>
      </c>
      <c r="C147" s="308"/>
      <c r="D147" s="308"/>
      <c r="E147" s="308"/>
      <c r="F147" s="353" t="s">
        <v>457</v>
      </c>
      <c r="G147" s="354"/>
      <c r="H147" s="354"/>
      <c r="I147" s="355"/>
    </row>
    <row r="148" spans="1:9" ht="15.75" thickBot="1">
      <c r="A148" s="420" t="s">
        <v>431</v>
      </c>
      <c r="B148" s="319">
        <f>PGL_Requirements!P7/1000</f>
        <v>1.9382999999999999</v>
      </c>
      <c r="C148" s="344"/>
      <c r="D148" s="344"/>
      <c r="E148" s="344"/>
      <c r="F148" s="537" t="s">
        <v>458</v>
      </c>
      <c r="G148" s="538"/>
      <c r="H148" s="564" t="s">
        <v>9</v>
      </c>
      <c r="I148" s="565">
        <f>+NSG_Supplies!Y7/1000</f>
        <v>0</v>
      </c>
    </row>
    <row r="149" spans="1:9" ht="16.5" thickBot="1">
      <c r="A149" s="513" t="s">
        <v>432</v>
      </c>
      <c r="B149" s="514">
        <f>B144+B146</f>
        <v>0.83599999999999997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75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432</v>
      </c>
      <c r="G150" s="526"/>
      <c r="H150" s="561" t="s">
        <v>9</v>
      </c>
      <c r="I150" s="562" t="e">
        <f>PGL_Requirements!#REF!/1000</f>
        <v>#REF!</v>
      </c>
    </row>
    <row r="151" spans="1:9" ht="16.5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401</v>
      </c>
      <c r="G151" s="354"/>
      <c r="H151" s="354"/>
      <c r="I151" s="355"/>
    </row>
    <row r="152" spans="1:9" ht="15.75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459</v>
      </c>
      <c r="G152" s="538"/>
      <c r="H152" s="569"/>
      <c r="I152" s="383">
        <f>PGL_Requirements!S7/1000</f>
        <v>0</v>
      </c>
    </row>
    <row r="153" spans="1:9" ht="15">
      <c r="A153" s="420" t="s">
        <v>433</v>
      </c>
      <c r="B153" s="383">
        <f>PGL_Requirements!M7/1000</f>
        <v>0</v>
      </c>
      <c r="C153" s="308"/>
      <c r="D153" s="308"/>
      <c r="E153" s="375"/>
      <c r="F153" s="533" t="s">
        <v>460</v>
      </c>
      <c r="G153" s="540"/>
      <c r="H153" s="535"/>
      <c r="I153" s="383">
        <f>PGL_Requirements!S7/1000</f>
        <v>0</v>
      </c>
    </row>
    <row r="154" spans="1:9" ht="15">
      <c r="A154" s="420" t="s">
        <v>434</v>
      </c>
      <c r="B154" s="319">
        <f>PGL_Supplies!AD7/1000</f>
        <v>0</v>
      </c>
      <c r="C154" s="376" t="s">
        <v>9</v>
      </c>
      <c r="D154" s="308"/>
      <c r="E154" s="377"/>
      <c r="F154" s="532" t="s">
        <v>461</v>
      </c>
      <c r="G154" s="539"/>
      <c r="H154" s="535"/>
      <c r="I154" s="319">
        <f>PGL_Supplies!AK7/1000</f>
        <v>0</v>
      </c>
    </row>
    <row r="155" spans="1:9" ht="15">
      <c r="A155" s="420" t="s">
        <v>435</v>
      </c>
      <c r="B155" s="383">
        <f>PGL_Requirements!E7/1000</f>
        <v>4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75" thickBot="1">
      <c r="A156" s="420" t="s">
        <v>436</v>
      </c>
      <c r="B156" s="319">
        <f>PGL_Supplies!F7/1000</f>
        <v>0</v>
      </c>
      <c r="C156" s="384" t="s">
        <v>9</v>
      </c>
      <c r="D156" s="308"/>
      <c r="E156" s="377"/>
      <c r="F156" s="365" t="s">
        <v>373</v>
      </c>
      <c r="G156" s="568"/>
      <c r="H156" s="545"/>
      <c r="I156" s="319">
        <f>PGL_Supplies!AK9/1000</f>
        <v>0</v>
      </c>
    </row>
    <row r="157" spans="1:9" ht="15.75">
      <c r="A157" s="420" t="s">
        <v>437</v>
      </c>
      <c r="B157" s="383">
        <f>PGL_Requirements!S7/1000</f>
        <v>0</v>
      </c>
      <c r="C157" s="376" t="s">
        <v>9</v>
      </c>
      <c r="D157" s="308"/>
      <c r="E157" s="377"/>
      <c r="F157" s="570" t="s">
        <v>462</v>
      </c>
      <c r="G157" s="571"/>
      <c r="H157" s="569"/>
      <c r="I157" s="572">
        <v>0</v>
      </c>
    </row>
    <row r="158" spans="1:9" ht="15.75" thickBot="1">
      <c r="A158" s="420" t="s">
        <v>438</v>
      </c>
      <c r="B158" s="319">
        <f>PGL_Supplies!O7/1000</f>
        <v>0</v>
      </c>
      <c r="C158" s="384" t="s">
        <v>9</v>
      </c>
      <c r="D158" s="308"/>
      <c r="E158" s="486"/>
      <c r="F158" s="573" t="s">
        <v>463</v>
      </c>
      <c r="G158" s="387"/>
      <c r="H158" s="574"/>
      <c r="I158" s="575">
        <v>0</v>
      </c>
    </row>
    <row r="159" spans="1:9" ht="16.5" thickBot="1">
      <c r="A159" s="420" t="s">
        <v>104</v>
      </c>
      <c r="B159" s="319">
        <f>PGL_Supplies!AC7/1000</f>
        <v>4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75" thickBot="1">
      <c r="A160" s="420" t="s">
        <v>373</v>
      </c>
      <c r="B160" s="606">
        <f>PGL_Supplies!X7/1000</f>
        <v>103.4</v>
      </c>
      <c r="C160" s="522" t="s">
        <v>9</v>
      </c>
      <c r="D160" s="344"/>
      <c r="E160" s="520"/>
      <c r="F160" s="576" t="s">
        <v>464</v>
      </c>
      <c r="G160" s="536" t="s">
        <v>9</v>
      </c>
      <c r="H160" s="518"/>
      <c r="I160" s="581"/>
    </row>
    <row r="161" spans="1:9" ht="16.5" thickBot="1">
      <c r="A161" s="590" t="s">
        <v>439</v>
      </c>
      <c r="B161" s="608"/>
      <c r="C161" s="528" t="s">
        <v>9</v>
      </c>
      <c r="D161" s="529"/>
      <c r="E161" s="530"/>
      <c r="F161" s="559" t="s">
        <v>465</v>
      </c>
      <c r="G161" s="344"/>
      <c r="H161" s="579"/>
      <c r="I161" s="580" t="s">
        <v>9</v>
      </c>
    </row>
    <row r="162" spans="1:9" ht="16.5" thickBot="1">
      <c r="A162" s="394" t="s">
        <v>432</v>
      </c>
      <c r="B162" s="607">
        <f>B154+B156+B158+B159+B160-B153-B155-B157-B161</f>
        <v>103.4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.75" thickBot="1">
      <c r="A163" s="591"/>
      <c r="B163" s="592" t="s">
        <v>466</v>
      </c>
      <c r="C163" s="592"/>
      <c r="D163" s="592" t="s">
        <v>467</v>
      </c>
      <c r="E163" s="592"/>
      <c r="F163" s="592"/>
      <c r="G163" s="592"/>
      <c r="H163" s="593" t="s">
        <v>244</v>
      </c>
      <c r="I163" s="594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4" t="s">
        <v>246</v>
      </c>
      <c r="D5" s="122" t="s">
        <v>362</v>
      </c>
      <c r="F5" s="194" t="s">
        <v>247</v>
      </c>
      <c r="G5" s="122" t="s">
        <v>363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364</v>
      </c>
    </row>
    <row r="9" spans="1:10">
      <c r="D9" s="122" t="s">
        <v>366</v>
      </c>
      <c r="G9" s="122" t="s">
        <v>365</v>
      </c>
    </row>
    <row r="10" spans="1:10">
      <c r="D10" s="122" t="s">
        <v>367</v>
      </c>
    </row>
    <row r="11" spans="1:10" ht="15.75">
      <c r="D11" s="194" t="s">
        <v>250</v>
      </c>
    </row>
    <row r="12" spans="1:10" ht="15.75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75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1" t="s">
        <v>371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37061.463087731485</v>
      </c>
      <c r="F22" s="161" t="s">
        <v>257</v>
      </c>
      <c r="G22" s="188">
        <f ca="1">NOW()</f>
        <v>37061.463087731485</v>
      </c>
    </row>
    <row r="24" spans="2:9">
      <c r="B24" s="161" t="s">
        <v>258</v>
      </c>
      <c r="D24" s="225" t="s">
        <v>387</v>
      </c>
      <c r="E24" t="s">
        <v>9</v>
      </c>
      <c r="F24" s="161" t="s">
        <v>259</v>
      </c>
      <c r="G24" s="162" t="s">
        <v>260</v>
      </c>
    </row>
    <row r="25" spans="2:9" ht="15.75" thickBot="1"/>
    <row r="26" spans="2:9" ht="15.75" thickBot="1">
      <c r="B26" s="206" t="s">
        <v>9</v>
      </c>
      <c r="C26" s="161" t="s">
        <v>261</v>
      </c>
    </row>
    <row r="27" spans="2:9" ht="15.75" thickBot="1">
      <c r="B27" s="206" t="s">
        <v>9</v>
      </c>
      <c r="C27" s="161" t="s">
        <v>262</v>
      </c>
    </row>
    <row r="28" spans="2:9" ht="15.75" thickBot="1">
      <c r="B28" s="206" t="s">
        <v>388</v>
      </c>
      <c r="C28" s="122" t="s">
        <v>368</v>
      </c>
    </row>
    <row r="29" spans="2:9">
      <c r="B29" t="s">
        <v>9</v>
      </c>
      <c r="C29" s="161" t="s">
        <v>369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75">
      <c r="B34" s="161" t="s">
        <v>264</v>
      </c>
      <c r="E34" s="187">
        <v>0</v>
      </c>
      <c r="F34" t="s">
        <v>265</v>
      </c>
    </row>
    <row r="36" spans="2:8" ht="15.75">
      <c r="B36" s="161" t="s">
        <v>266</v>
      </c>
      <c r="E36" s="187">
        <v>0</v>
      </c>
      <c r="F36" t="s">
        <v>265</v>
      </c>
    </row>
    <row r="38" spans="2:8" ht="15.75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75">
      <c r="E39" s="163">
        <f>+E38+1</f>
        <v>35917</v>
      </c>
      <c r="F39" s="187">
        <v>0</v>
      </c>
      <c r="G39" t="s">
        <v>265</v>
      </c>
    </row>
    <row r="40" spans="2:8" ht="15.75">
      <c r="E40" s="163">
        <f>+E39+1</f>
        <v>35918</v>
      </c>
      <c r="F40" s="187">
        <v>0</v>
      </c>
      <c r="G40" t="s">
        <v>265</v>
      </c>
    </row>
    <row r="41" spans="2:8" ht="15.75">
      <c r="E41" s="163">
        <f>+E40+1</f>
        <v>35919</v>
      </c>
      <c r="F41" s="187">
        <v>0</v>
      </c>
      <c r="G41" t="s">
        <v>265</v>
      </c>
    </row>
    <row r="42" spans="2:8" ht="15.75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370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Monday</v>
      </c>
      <c r="B5" s="21">
        <f>Weather_Input!A5</f>
        <v>37060</v>
      </c>
      <c r="C5" s="15"/>
      <c r="D5" s="22" t="s">
        <v>275</v>
      </c>
      <c r="E5" s="23">
        <f>Weather_Input!B5</f>
        <v>91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-1</v>
      </c>
    </row>
    <row r="6" spans="1:109" ht="15">
      <c r="A6" s="18"/>
      <c r="B6" s="21"/>
      <c r="C6" s="15"/>
      <c r="D6" s="22" t="s">
        <v>162</v>
      </c>
      <c r="E6" s="23">
        <f>Weather_Input!C5</f>
        <v>73</v>
      </c>
      <c r="F6" s="24" t="s">
        <v>278</v>
      </c>
      <c r="G6" s="25">
        <f>Weather_Input!F5</f>
        <v>77</v>
      </c>
      <c r="H6" s="26" t="s">
        <v>279</v>
      </c>
      <c r="I6" s="27">
        <f ca="1">G6-(VLOOKUP(B5,DD_Normal_Data,CELL("Col",C7),FALSE))</f>
        <v>32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82.7</v>
      </c>
      <c r="F7" s="24" t="s">
        <v>281</v>
      </c>
      <c r="G7" s="25">
        <f>Weather_Input!G5</f>
        <v>6689</v>
      </c>
      <c r="H7" s="26" t="s">
        <v>281</v>
      </c>
      <c r="I7" s="120">
        <f ca="1">G7-(VLOOKUP(B5,DD_Normal_Data,CELL("Col",D4),FALSE))</f>
        <v>268</v>
      </c>
      <c r="J7" s="120"/>
    </row>
    <row r="8" spans="1:109" ht="15">
      <c r="A8" s="18"/>
      <c r="B8" s="20"/>
      <c r="C8" s="15"/>
      <c r="D8" s="32" t="str">
        <f>IF(Weather_Input!I5=""," ",Weather_Input!I5)</f>
        <v>OVERNIGHT…PARTLY CLOUDY/WINDY. S.W. 15 TO 25.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Tuesday</v>
      </c>
      <c r="B10" s="21">
        <f>Weather_Input!A6</f>
        <v>37061</v>
      </c>
      <c r="C10" s="15"/>
      <c r="D10" s="150" t="s">
        <v>275</v>
      </c>
      <c r="E10" s="23">
        <f>Weather_Input!B6</f>
        <v>86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-1</v>
      </c>
    </row>
    <row r="11" spans="1:109" ht="15">
      <c r="A11" s="18"/>
      <c r="B11" s="21"/>
      <c r="C11" s="15"/>
      <c r="D11" s="22" t="s">
        <v>162</v>
      </c>
      <c r="E11" s="23">
        <f>Weather_Input!C6</f>
        <v>59</v>
      </c>
      <c r="F11" s="24" t="s">
        <v>278</v>
      </c>
      <c r="G11" s="25">
        <f>IF(DAY(B10)=1,G10,G6+G10)</f>
        <v>77</v>
      </c>
      <c r="H11" s="30" t="s">
        <v>279</v>
      </c>
      <c r="I11" s="27">
        <f ca="1">G11-(VLOOKUP(B10,DD_Normal_Data,CELL("Col",C12),FALSE))</f>
        <v>31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72.5</v>
      </c>
      <c r="F12" s="24" t="s">
        <v>281</v>
      </c>
      <c r="G12" s="25">
        <f>IF(AND(DAY(B10)=1,MONTH(B10)=8),G10,G7+G10)</f>
        <v>6689</v>
      </c>
      <c r="H12" s="26" t="s">
        <v>281</v>
      </c>
      <c r="I12" s="27">
        <f ca="1">G12-(VLOOKUP(B10,DD_Normal_Data,CELL("Col",D9),FALSE))</f>
        <v>267</v>
      </c>
    </row>
    <row r="13" spans="1:109" ht="15">
      <c r="A13" s="18"/>
      <c r="B13" s="21"/>
      <c r="C13" s="15"/>
      <c r="D13" s="32" t="str">
        <f>IF(Weather_Input!I6=""," ",Weather_Input!I6)</f>
        <v>PARTLY SUNNY. A 30% CHANCE OF P.M. T'STORMS. S.W. WINDS 15 TO 25 MPH BECO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MING NORTH 10 TO 15 MPH. OVERNIGHT…MOSTLY CLOUDY. A 40% CHANCE OF RAIN.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Wednesday</v>
      </c>
      <c r="B15" s="21">
        <f>Weather_Input!A7</f>
        <v>37062</v>
      </c>
      <c r="C15" s="15"/>
      <c r="D15" s="22" t="s">
        <v>275</v>
      </c>
      <c r="E15" s="23">
        <f>Weather_Input!B7</f>
        <v>76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54</v>
      </c>
      <c r="F16" s="24" t="s">
        <v>278</v>
      </c>
      <c r="G16" s="25">
        <f>IF(DAY(B15)=1,G15,G11+G15)</f>
        <v>77</v>
      </c>
      <c r="H16" s="30" t="s">
        <v>279</v>
      </c>
      <c r="I16" s="27">
        <f ca="1">G16-(VLOOKUP(B15,DD_Normal_Data,CELL("Col",C17),FALSE))</f>
        <v>31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65</v>
      </c>
      <c r="F17" s="24" t="s">
        <v>281</v>
      </c>
      <c r="G17" s="25">
        <f>IF(AND(DAY(B15)=1,MONTH(B15)=8),G15,G12+G15)</f>
        <v>6689</v>
      </c>
      <c r="H17" s="26" t="s">
        <v>281</v>
      </c>
      <c r="I17" s="27">
        <f ca="1">G17-(VLOOKUP(B15,DD_Normal_Data,CELL("Col",D14),FALSE))</f>
        <v>267</v>
      </c>
    </row>
    <row r="18" spans="1:109" ht="15">
      <c r="A18" s="18"/>
      <c r="B18" s="20"/>
      <c r="C18" s="15"/>
      <c r="D18" s="32" t="str">
        <f>IF(Weather_Input!I7=""," ",Weather_Input!I7)</f>
        <v>MOSTLY CLOUDY IN THE MORNING WITH A 30% CHANCE OF RAIN…BECOMING PART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>LY CLOUDY BY P.M. OVERNIGHT…PARTLY CLOUDY.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Thursday</v>
      </c>
      <c r="B20" s="21">
        <f>Weather_Input!A8</f>
        <v>37063</v>
      </c>
      <c r="C20" s="15"/>
      <c r="D20" s="22" t="s">
        <v>275</v>
      </c>
      <c r="E20" s="23">
        <f>Weather_Input!B8</f>
        <v>70</v>
      </c>
      <c r="F20" s="24" t="s">
        <v>276</v>
      </c>
      <c r="G20" s="25">
        <f>IF(E22&lt;65,65-(Weather_Input!B8+Weather_Input!C8)/2,0)</f>
        <v>4</v>
      </c>
      <c r="H20" s="26" t="s">
        <v>277</v>
      </c>
      <c r="I20" s="27">
        <f ca="1">G20-(VLOOKUP(B20,DD_Normal_Data,CELL("Col",B21),FALSE))</f>
        <v>4</v>
      </c>
    </row>
    <row r="21" spans="1:109" ht="15">
      <c r="A21" s="18"/>
      <c r="B21" s="21"/>
      <c r="C21" s="15"/>
      <c r="D21" s="22" t="s">
        <v>162</v>
      </c>
      <c r="E21" s="23">
        <f>Weather_Input!C8</f>
        <v>52</v>
      </c>
      <c r="F21" s="24" t="s">
        <v>278</v>
      </c>
      <c r="G21" s="25">
        <f>IF(DAY(B20)=1,G20,G16+G20)</f>
        <v>81</v>
      </c>
      <c r="H21" s="30" t="s">
        <v>279</v>
      </c>
      <c r="I21" s="27">
        <f ca="1">G21-(VLOOKUP(B20,DD_Normal_Data,CELL("Col",C22),FALSE))</f>
        <v>35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61</v>
      </c>
      <c r="F22" s="24" t="s">
        <v>281</v>
      </c>
      <c r="G22" s="25">
        <f>IF(AND(DAY(B20)=1,MONTH(B20)=8),G20,G17+G20)</f>
        <v>6693</v>
      </c>
      <c r="H22" s="26" t="s">
        <v>281</v>
      </c>
      <c r="I22" s="27">
        <f ca="1">G22-(VLOOKUP(B20,DD_Normal_Data,CELL("Col",D19),FALSE))</f>
        <v>271</v>
      </c>
    </row>
    <row r="23" spans="1:109" ht="15">
      <c r="A23" s="18"/>
      <c r="B23" s="21"/>
      <c r="C23" s="15"/>
      <c r="D23" s="32" t="str">
        <f>IF(Weather_Input!I8=""," ",Weather_Input!I8)</f>
        <v xml:space="preserve">PARTLY CLOUDY. CHANCE OF SHOWERS.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Friday</v>
      </c>
      <c r="B25" s="21">
        <f>Weather_Input!A9</f>
        <v>37064</v>
      </c>
      <c r="C25" s="15"/>
      <c r="D25" s="22" t="s">
        <v>275</v>
      </c>
      <c r="E25" s="23">
        <f>Weather_Input!B9</f>
        <v>74</v>
      </c>
      <c r="F25" s="24" t="s">
        <v>276</v>
      </c>
      <c r="G25" s="25">
        <f>IF(E27&lt;65,65-(Weather_Input!B9+Weather_Input!C9)/2,0)</f>
        <v>2.5</v>
      </c>
      <c r="H25" s="26" t="s">
        <v>277</v>
      </c>
      <c r="I25" s="27">
        <f ca="1">G25-(VLOOKUP(B25,DD_Normal_Data,CELL("Col",B26),FALSE))</f>
        <v>2.5</v>
      </c>
    </row>
    <row r="26" spans="1:109" ht="15">
      <c r="A26" s="18"/>
      <c r="B26" s="21"/>
      <c r="C26" s="15"/>
      <c r="D26" s="22" t="s">
        <v>162</v>
      </c>
      <c r="E26" s="23">
        <f>Weather_Input!C9</f>
        <v>51</v>
      </c>
      <c r="F26" s="24" t="s">
        <v>278</v>
      </c>
      <c r="G26" s="25">
        <f>IF(DAY(B25)=1,G25,G21+G25)</f>
        <v>83.5</v>
      </c>
      <c r="H26" s="30" t="s">
        <v>279</v>
      </c>
      <c r="I26" s="27">
        <f ca="1">G26-(VLOOKUP(B25,DD_Normal_Data,CELL("Col",C27),FALSE))</f>
        <v>37.5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62.5</v>
      </c>
      <c r="F27" s="24" t="s">
        <v>281</v>
      </c>
      <c r="G27" s="25">
        <f>IF(AND(DAY(B25)=1,MONTH(B25)=8),G25,G22+G25)</f>
        <v>6695.5</v>
      </c>
      <c r="H27" s="26" t="s">
        <v>281</v>
      </c>
      <c r="I27" s="27">
        <f ca="1">G27-(VLOOKUP(B25,DD_Normal_Data,CELL("Col",D24),FALSE))</f>
        <v>273.5</v>
      </c>
    </row>
    <row r="28" spans="1:109" ht="15">
      <c r="A28" s="18"/>
      <c r="B28" s="20"/>
      <c r="C28" s="15"/>
      <c r="D28" s="32" t="str">
        <f>IF(Weather_Input!I9=""," ",Weather_Input!I9)</f>
        <v>SUNNY.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Saturday</v>
      </c>
      <c r="B30" s="21">
        <f>Weather_Input!A10</f>
        <v>37065</v>
      </c>
      <c r="C30" s="15"/>
      <c r="D30" s="22" t="s">
        <v>275</v>
      </c>
      <c r="E30" s="23">
        <f>Weather_Input!B10</f>
        <v>80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58</v>
      </c>
      <c r="F31" s="24" t="s">
        <v>278</v>
      </c>
      <c r="G31" s="25">
        <f>IF(DAY(B30)=1,G30,G26+G30)</f>
        <v>83.5</v>
      </c>
      <c r="H31" s="30" t="s">
        <v>279</v>
      </c>
      <c r="I31" s="27">
        <f ca="1">G31-(VLOOKUP(B30,DD_Normal_Data,CELL("Col",C32),FALSE))</f>
        <v>37.5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69</v>
      </c>
      <c r="F32" s="24" t="s">
        <v>281</v>
      </c>
      <c r="G32" s="25">
        <f>IF(AND(DAY(B30)=1,MONTH(B30)=8),G30,G27+G30)</f>
        <v>6695.5</v>
      </c>
      <c r="H32" s="26" t="s">
        <v>281</v>
      </c>
      <c r="I32" s="27">
        <f ca="1">G32-(VLOOKUP(B30,DD_Normal_Data,CELL("Col",D29),FALSE))</f>
        <v>273.5</v>
      </c>
    </row>
    <row r="33" spans="1:9" ht="15">
      <c r="A33" s="15"/>
      <c r="B33" s="34"/>
      <c r="C33" s="15"/>
      <c r="D33" s="32" t="str">
        <f>IF(Weather_Input!I10=""," ",Weather_Input!I10)</f>
        <v>MOSTLY SUNNY.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37060</v>
      </c>
      <c r="C36" s="89">
        <f>B10</f>
        <v>37061</v>
      </c>
      <c r="D36" s="89">
        <f>B15</f>
        <v>37062</v>
      </c>
      <c r="E36" s="89">
        <f xml:space="preserve">       B20</f>
        <v>37063</v>
      </c>
      <c r="F36" s="89">
        <f>B25</f>
        <v>37064</v>
      </c>
      <c r="G36" s="89">
        <f>B30</f>
        <v>37065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213</v>
      </c>
      <c r="C37" s="41">
        <f ca="1">(VLOOKUP(C36,PGL_Sendouts,(CELL("COL",PGL_Deliveries!C7))))/1000</f>
        <v>215</v>
      </c>
      <c r="D37" s="41">
        <f ca="1">(VLOOKUP(D36,PGL_Sendouts,(CELL("COL",PGL_Deliveries!C8))))/1000</f>
        <v>225</v>
      </c>
      <c r="E37" s="41">
        <f ca="1">(VLOOKUP(E36,PGL_Sendouts,(CELL("COL",PGL_Deliveries!C9))))/1000</f>
        <v>230</v>
      </c>
      <c r="F37" s="41">
        <f ca="1">(VLOOKUP(F36,PGL_Sendouts,(CELL("COL",PGL_Deliveries!C10))))/1000</f>
        <v>210</v>
      </c>
      <c r="G37" s="41">
        <f ca="1">(VLOOKUP(G36,PGL_Sendouts,(CELL("COL",PGL_Deliveries!C10))))/1000</f>
        <v>185</v>
      </c>
      <c r="H37" s="14"/>
      <c r="I37" s="15"/>
    </row>
    <row r="38" spans="1:9" ht="15">
      <c r="A38" s="15" t="s">
        <v>286</v>
      </c>
      <c r="B38" s="41">
        <f>PGL_6_Day_Report!D25</f>
        <v>376.82380000000001</v>
      </c>
      <c r="C38" s="41">
        <f>PGL_6_Day_Report!E25</f>
        <v>365.73749999999995</v>
      </c>
      <c r="D38" s="41">
        <f>PGL_6_Day_Report!F25</f>
        <v>366.52499999999998</v>
      </c>
      <c r="E38" s="41">
        <f>PGL_6_Day_Report!G25</f>
        <v>371.52499999999998</v>
      </c>
      <c r="F38" s="41">
        <f>PGL_6_Day_Report!H25</f>
        <v>351.52499999999998</v>
      </c>
      <c r="G38" s="41">
        <f>PGL_6_Day_Report!I25</f>
        <v>326.52499999999998</v>
      </c>
      <c r="H38" s="14"/>
      <c r="I38" s="15"/>
    </row>
    <row r="39" spans="1:9" ht="15">
      <c r="A39" s="42" t="s">
        <v>104</v>
      </c>
      <c r="B39" s="41">
        <f>SUM(PGL_Supplies!Y7:AD7)/1000</f>
        <v>235.922</v>
      </c>
      <c r="C39" s="41">
        <f>SUM(PGL_Supplies!Y8:AD8)/1000</f>
        <v>203.02699999999999</v>
      </c>
      <c r="D39" s="41">
        <f>SUM(PGL_Supplies!Y9:AD9)/1000</f>
        <v>203.02699999999999</v>
      </c>
      <c r="E39" s="41">
        <f>SUM(PGL_Supplies!Y10:AD10)/1000</f>
        <v>203.02699999999999</v>
      </c>
      <c r="F39" s="41">
        <f>SUM(PGL_Supplies!Y11:AD11)/1000</f>
        <v>203.02699999999999</v>
      </c>
      <c r="G39" s="41">
        <f>SUM(PGL_Supplies!Y12:AD12)/1000</f>
        <v>203.02699999999999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0.59</v>
      </c>
      <c r="C41" s="41">
        <f>SUM(PGL_Requirements!Q7:T7)/1000</f>
        <v>0.59</v>
      </c>
      <c r="D41" s="41">
        <f>SUM(PGL_Requirements!Q7:T7)/1000</f>
        <v>0.59</v>
      </c>
      <c r="E41" s="41">
        <f>SUM(PGL_Requirements!Q7:T7)/1000</f>
        <v>0.59</v>
      </c>
      <c r="F41" s="41">
        <f>SUM(PGL_Requirements!Q7:T7)/1000</f>
        <v>0.59</v>
      </c>
      <c r="G41" s="41">
        <f>SUM(PGL_Requirements!Q7:T7)/1000</f>
        <v>0.59</v>
      </c>
      <c r="H41" s="14"/>
      <c r="I41" s="15"/>
    </row>
    <row r="42" spans="1:9" ht="15">
      <c r="A42" s="15" t="s">
        <v>127</v>
      </c>
      <c r="B42" s="41">
        <f>PGL_Supplies!U7/1000</f>
        <v>133.16</v>
      </c>
      <c r="C42" s="41">
        <f>PGL_Supplies!U8/1000</f>
        <v>122.53</v>
      </c>
      <c r="D42" s="41">
        <f>PGL_Supplies!U9/1000</f>
        <v>122.53</v>
      </c>
      <c r="E42" s="41">
        <f>PGL_Supplies!U10/1000</f>
        <v>122.53</v>
      </c>
      <c r="F42" s="41">
        <f>PGL_Supplies!U11/1000</f>
        <v>122.53</v>
      </c>
      <c r="G42" s="41">
        <f>PGL_Supplies!U12/1000</f>
        <v>122.53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37060</v>
      </c>
      <c r="C44" s="89">
        <f t="shared" si="0"/>
        <v>37061</v>
      </c>
      <c r="D44" s="89">
        <f t="shared" si="0"/>
        <v>37062</v>
      </c>
      <c r="E44" s="89">
        <f t="shared" si="0"/>
        <v>37063</v>
      </c>
      <c r="F44" s="89">
        <f t="shared" si="0"/>
        <v>37064</v>
      </c>
      <c r="G44" s="89">
        <f t="shared" si="0"/>
        <v>37065</v>
      </c>
      <c r="H44" s="14"/>
      <c r="I44" s="15"/>
    </row>
    <row r="45" spans="1:9" ht="15">
      <c r="A45" s="15" t="s">
        <v>54</v>
      </c>
      <c r="B45" s="41">
        <f ca="1">NSG_6_Day_Report!D6</f>
        <v>36</v>
      </c>
      <c r="C45" s="41">
        <f ca="1">NSG_6_Day_Report!E6</f>
        <v>37</v>
      </c>
      <c r="D45" s="41">
        <f ca="1">NSG_6_Day_Report!F6</f>
        <v>38</v>
      </c>
      <c r="E45" s="41">
        <f ca="1">NSG_6_Day_Report!G6</f>
        <v>39</v>
      </c>
      <c r="F45" s="41">
        <f ca="1">NSG_6_Day_Report!H6</f>
        <v>36</v>
      </c>
      <c r="G45" s="41">
        <f ca="1">NSG_6_Day_Report!I6</f>
        <v>33</v>
      </c>
      <c r="H45" s="14"/>
      <c r="I45" s="15"/>
    </row>
    <row r="46" spans="1:9" ht="15">
      <c r="A46" s="42" t="s">
        <v>286</v>
      </c>
      <c r="B46" s="41">
        <f ca="1">NSG_6_Day_Report!D11</f>
        <v>43.786999999999999</v>
      </c>
      <c r="C46" s="41">
        <f ca="1">NSG_6_Day_Report!E11</f>
        <v>43.11</v>
      </c>
      <c r="D46" s="41">
        <f ca="1">NSG_6_Day_Report!F11</f>
        <v>40</v>
      </c>
      <c r="E46" s="41">
        <f ca="1">NSG_6_Day_Report!G11</f>
        <v>41</v>
      </c>
      <c r="F46" s="41">
        <f ca="1">NSG_6_Day_Report!H11</f>
        <v>38</v>
      </c>
      <c r="G46" s="41">
        <f ca="1">NSG_6_Day_Report!I11</f>
        <v>35</v>
      </c>
      <c r="H46" s="14"/>
      <c r="I46" s="15"/>
    </row>
    <row r="47" spans="1:9" ht="15">
      <c r="A47" s="42" t="s">
        <v>104</v>
      </c>
      <c r="B47" s="41">
        <f>SUM(NSG_Supplies!O7:Q7)/1000</f>
        <v>43.814</v>
      </c>
      <c r="C47" s="41">
        <f>SUM(NSG_Supplies!O8:Q8)/1000</f>
        <v>43.113999999999997</v>
      </c>
      <c r="D47" s="41">
        <f>SUM(NSG_Supplies!O9:Q9)/1000</f>
        <v>43.113999999999997</v>
      </c>
      <c r="E47" s="41">
        <f>SUM(NSG_Supplies!O10:Q10)/1000</f>
        <v>43.113999999999997</v>
      </c>
      <c r="F47" s="41">
        <f>SUM(NSG_Supplies!O11:Q11)/1000</f>
        <v>43.113999999999997</v>
      </c>
      <c r="G47" s="41">
        <f>SUM(NSG_Supplies!O12:Q12)/1000</f>
        <v>43.113999999999997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16.725000000000001</v>
      </c>
      <c r="C50" s="41">
        <f>NSG_Supplies!R8/1000</f>
        <v>16.024999999999999</v>
      </c>
      <c r="D50" s="41">
        <f>NSG_Supplies!R9/1000</f>
        <v>16.024999999999999</v>
      </c>
      <c r="E50" s="41">
        <f>NSG_Supplies!R10/1000</f>
        <v>16.024999999999999</v>
      </c>
      <c r="F50" s="41">
        <f>NSG_Supplies!R11/1000</f>
        <v>16.024999999999999</v>
      </c>
      <c r="G50" s="41">
        <f>NSG_Supplies!R12/1000</f>
        <v>16.024999999999999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37060</v>
      </c>
      <c r="C52" s="89">
        <f t="shared" si="1"/>
        <v>37061</v>
      </c>
      <c r="D52" s="89">
        <f t="shared" si="1"/>
        <v>37062</v>
      </c>
      <c r="E52" s="89">
        <f t="shared" si="1"/>
        <v>37063</v>
      </c>
      <c r="F52" s="89">
        <f t="shared" si="1"/>
        <v>37064</v>
      </c>
      <c r="G52" s="89">
        <f t="shared" si="1"/>
        <v>37065</v>
      </c>
      <c r="H52" s="14"/>
      <c r="I52" s="15"/>
    </row>
    <row r="53" spans="1:9" ht="15">
      <c r="A53" s="92" t="s">
        <v>290</v>
      </c>
      <c r="B53" s="41">
        <f>PGL_Requirements!O7/1000</f>
        <v>129.22</v>
      </c>
      <c r="C53" s="41">
        <f>PGL_Requirements!O8/1000</f>
        <v>135</v>
      </c>
      <c r="D53" s="41">
        <f>PGL_Requirements!O9/1000</f>
        <v>135</v>
      </c>
      <c r="E53" s="41">
        <f>PGL_Requirements!O10/1000</f>
        <v>135</v>
      </c>
      <c r="F53" s="41">
        <f>PGL_Requirements!O11/1000</f>
        <v>135</v>
      </c>
      <c r="G53" s="41">
        <f>PGL_Requirements!O12/1000</f>
        <v>135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45" t="s">
        <v>691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5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72"/>
    </row>
    <row r="3" spans="1:8" ht="15.75" thickBot="1">
      <c r="A3" s="96" t="s">
        <v>296</v>
      </c>
    </row>
    <row r="4" spans="1:8">
      <c r="A4" s="97"/>
      <c r="B4" s="1073" t="str">
        <f>Six_Day_Summary!A10</f>
        <v>Tuesday</v>
      </c>
      <c r="C4" s="1074" t="str">
        <f>Six_Day_Summary!A15</f>
        <v>Wednesday</v>
      </c>
      <c r="D4" s="1074" t="str">
        <f>Six_Day_Summary!A20</f>
        <v>Thursday</v>
      </c>
      <c r="E4" s="1074" t="str">
        <f>Six_Day_Summary!A25</f>
        <v>Friday</v>
      </c>
      <c r="F4" s="1075" t="str">
        <f>Six_Day_Summary!A30</f>
        <v>Saturday</v>
      </c>
      <c r="G4" s="98"/>
    </row>
    <row r="5" spans="1:8">
      <c r="A5" s="101" t="s">
        <v>297</v>
      </c>
      <c r="B5" s="1076">
        <f>Weather_Input!A6</f>
        <v>37061</v>
      </c>
      <c r="C5" s="1077">
        <f>Weather_Input!A7</f>
        <v>37062</v>
      </c>
      <c r="D5" s="1077">
        <f>Weather_Input!A8</f>
        <v>37063</v>
      </c>
      <c r="E5" s="1077">
        <f>Weather_Input!A9</f>
        <v>37064</v>
      </c>
      <c r="F5" s="1078">
        <f>Weather_Input!A10</f>
        <v>37065</v>
      </c>
      <c r="G5" s="98"/>
    </row>
    <row r="6" spans="1:8">
      <c r="A6" s="98" t="s">
        <v>298</v>
      </c>
      <c r="B6" s="1079">
        <f>PGL_Supplies!AB8/1000+PGL_Supplies!K8/1000-PGL_Requirements!N8/1000-PGL_Requirements!S8/1000+B8</f>
        <v>51.695999999999998</v>
      </c>
      <c r="C6" s="1079">
        <f>PGL_Supplies!AB9/1000+PGL_Supplies!K9/1000-PGL_Requirements!N9/1000+C15-PGL_Requirements!S9/1000</f>
        <v>31.556000000000001</v>
      </c>
      <c r="D6" s="1079">
        <f>PGL_Supplies!AB10/1000+PGL_Supplies!K10/1000-PGL_Requirements!N10/1000+D15-PGL_Requirements!S10/1000</f>
        <v>31.556000000000001</v>
      </c>
      <c r="E6" s="1079">
        <f>PGL_Supplies!AB11/1000+PGL_Supplies!K11/1000-PGL_Requirements!N11/1000+E15-PGL_Requirements!S11/1000</f>
        <v>31.556000000000001</v>
      </c>
      <c r="F6" s="1080">
        <f>PGL_Supplies!AB12/1000+PGL_Supplies!K12/1000-PGL_Requirements!N12/1000+F15-PGL_Requirements!S12/1000</f>
        <v>31.556000000000001</v>
      </c>
      <c r="G6" s="98"/>
      <c r="H6" t="s">
        <v>9</v>
      </c>
    </row>
    <row r="7" spans="1:8">
      <c r="A7" s="98" t="s">
        <v>299</v>
      </c>
      <c r="B7" s="1079">
        <f>PGL_Supplies!M8/1000</f>
        <v>0</v>
      </c>
      <c r="C7" s="1079">
        <f>PGL_Supplies!M9/1000</f>
        <v>0</v>
      </c>
      <c r="D7" s="1079">
        <f>PGL_Supplies!M10/1000</f>
        <v>0</v>
      </c>
      <c r="E7" s="1079">
        <f>PGL_Supplies!M11/1000</f>
        <v>0</v>
      </c>
      <c r="F7" s="1081">
        <f>PGL_Supplies!M12/1000</f>
        <v>0</v>
      </c>
      <c r="G7" s="98"/>
    </row>
    <row r="8" spans="1:8">
      <c r="A8" s="98" t="s">
        <v>300</v>
      </c>
      <c r="B8" s="1079">
        <f>PGL_Supplies!N8/1000</f>
        <v>0</v>
      </c>
      <c r="C8" s="1079">
        <f>PGL_Supplies!N9/1000</f>
        <v>0</v>
      </c>
      <c r="D8" s="1079">
        <f>PGL_Supplies!N10/1000</f>
        <v>0</v>
      </c>
      <c r="E8" s="1079">
        <f>PGL_Supplies!N11/1000</f>
        <v>0</v>
      </c>
      <c r="F8" s="1081">
        <f>PGL_Supplies!N12/1000</f>
        <v>0</v>
      </c>
      <c r="G8" s="98"/>
    </row>
    <row r="9" spans="1:8">
      <c r="A9" s="98" t="s">
        <v>301</v>
      </c>
      <c r="B9" s="1079">
        <v>0</v>
      </c>
      <c r="C9" s="1079">
        <v>0</v>
      </c>
      <c r="D9" s="1079">
        <v>0</v>
      </c>
      <c r="E9" s="1079">
        <v>0</v>
      </c>
      <c r="F9" s="1081">
        <v>0</v>
      </c>
      <c r="G9" s="98"/>
    </row>
    <row r="10" spans="1:8">
      <c r="A10" s="99"/>
      <c r="B10" s="1082"/>
      <c r="C10" s="1082"/>
      <c r="D10" s="1082"/>
      <c r="E10" s="1082"/>
      <c r="F10" s="1083"/>
      <c r="G10" s="98"/>
    </row>
    <row r="11" spans="1:8">
      <c r="A11" s="98" t="s">
        <v>302</v>
      </c>
      <c r="B11" s="1079">
        <v>0</v>
      </c>
      <c r="C11" s="1079">
        <v>0</v>
      </c>
      <c r="D11" s="1079">
        <v>0</v>
      </c>
      <c r="E11" s="1079">
        <v>0</v>
      </c>
      <c r="F11" s="1081">
        <v>0</v>
      </c>
      <c r="G11" s="98"/>
      <c r="H11" s="119" t="s">
        <v>9</v>
      </c>
    </row>
    <row r="12" spans="1:8">
      <c r="A12" s="98" t="s">
        <v>303</v>
      </c>
      <c r="B12" s="1079">
        <f>PGL_Requirements!R8/1000</f>
        <v>0</v>
      </c>
      <c r="C12" s="1079">
        <f>PGL_Requirements!R9/1000</f>
        <v>0</v>
      </c>
      <c r="D12" s="1079">
        <f>PGL_Requirements!R10/1000</f>
        <v>0</v>
      </c>
      <c r="E12" s="1079">
        <f>PGL_Requirements!R11/1000</f>
        <v>0</v>
      </c>
      <c r="F12" s="1081">
        <f>PGL_Requirements!R12/1000</f>
        <v>0</v>
      </c>
      <c r="G12" s="98"/>
    </row>
    <row r="13" spans="1:8">
      <c r="A13" s="98" t="s">
        <v>304</v>
      </c>
      <c r="B13" s="1079">
        <v>0</v>
      </c>
      <c r="C13" s="1079">
        <v>0</v>
      </c>
      <c r="D13" s="1079">
        <v>0</v>
      </c>
      <c r="E13" s="1079">
        <v>0</v>
      </c>
      <c r="F13" s="1081">
        <v>0</v>
      </c>
      <c r="G13" s="98"/>
    </row>
    <row r="14" spans="1:8">
      <c r="A14" s="98" t="s">
        <v>175</v>
      </c>
      <c r="B14" s="1079">
        <v>0</v>
      </c>
      <c r="C14" s="1085"/>
      <c r="D14" s="1085"/>
      <c r="E14" s="1085"/>
      <c r="F14" s="1081"/>
      <c r="G14" s="98"/>
    </row>
    <row r="15" spans="1:8">
      <c r="A15" s="98" t="s">
        <v>677</v>
      </c>
      <c r="B15" s="1084">
        <v>0</v>
      </c>
      <c r="C15" s="1084">
        <v>0</v>
      </c>
      <c r="D15" s="1084">
        <v>0</v>
      </c>
      <c r="E15" s="1084">
        <v>0</v>
      </c>
      <c r="F15" s="1115">
        <v>0</v>
      </c>
      <c r="G15" s="119"/>
    </row>
    <row r="16" spans="1:8">
      <c r="A16" s="98" t="s">
        <v>305</v>
      </c>
      <c r="B16" s="1084">
        <v>0</v>
      </c>
      <c r="C16" s="1085"/>
      <c r="D16" s="1085"/>
      <c r="E16" s="1085"/>
      <c r="F16" s="1081"/>
      <c r="G16" s="98"/>
    </row>
    <row r="17" spans="1:7" ht="15.75" thickBot="1">
      <c r="A17" s="100" t="s">
        <v>734</v>
      </c>
      <c r="B17" s="1086">
        <v>0</v>
      </c>
      <c r="C17" s="1087"/>
      <c r="D17" s="1087"/>
      <c r="E17" s="1087"/>
      <c r="F17" s="1088"/>
      <c r="G17" s="98"/>
    </row>
    <row r="20" spans="1:7" ht="15.75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9" t="str">
        <f t="shared" ref="B21:F22" si="0">B4</f>
        <v>Tuesday</v>
      </c>
      <c r="C21" s="1089" t="str">
        <f t="shared" si="0"/>
        <v>Wednesday</v>
      </c>
      <c r="D21" s="1089" t="str">
        <f t="shared" si="0"/>
        <v>Thursday</v>
      </c>
      <c r="E21" s="1089" t="str">
        <f t="shared" si="0"/>
        <v>Friday</v>
      </c>
      <c r="F21" s="1090" t="str">
        <f t="shared" si="0"/>
        <v>Saturday</v>
      </c>
      <c r="G21" s="98"/>
    </row>
    <row r="22" spans="1:7">
      <c r="A22" s="105" t="s">
        <v>297</v>
      </c>
      <c r="B22" s="1091">
        <f t="shared" si="0"/>
        <v>37061</v>
      </c>
      <c r="C22" s="1091">
        <f t="shared" si="0"/>
        <v>37062</v>
      </c>
      <c r="D22" s="1091">
        <f t="shared" si="0"/>
        <v>37063</v>
      </c>
      <c r="E22" s="1091">
        <f t="shared" si="0"/>
        <v>37064</v>
      </c>
      <c r="F22" s="1092">
        <f t="shared" si="0"/>
        <v>37065</v>
      </c>
      <c r="G22" s="98"/>
    </row>
    <row r="23" spans="1:7">
      <c r="A23" s="98" t="s">
        <v>298</v>
      </c>
      <c r="B23" s="1085">
        <f>NSG_Supplies!Q8/1000+NSG_Supplies!F8/1000-NSG_Requirements!H8/1000</f>
        <v>25.899000000000001</v>
      </c>
      <c r="C23" s="1085">
        <f>NSG_Supplies!Q9/1000+NSG_Supplies!F9/1000-NSG_Requirements!H9/1000</f>
        <v>25.899000000000001</v>
      </c>
      <c r="D23" s="1085">
        <f>NSG_Supplies!Q10/1000+NSG_Supplies!F10/1000-NSG_Requirements!H10/1000</f>
        <v>25.899000000000001</v>
      </c>
      <c r="E23" s="1085">
        <f>NSG_Supplies!Q12/1000+NSG_Supplies!F11/1000-NSG_Requirements!H11/1000</f>
        <v>25.899000000000001</v>
      </c>
      <c r="F23" s="1080">
        <f>NSG_Supplies!Q12/1000+NSG_Supplies!F12/1000-NSG_Requirements!H12/1000</f>
        <v>25.899000000000001</v>
      </c>
      <c r="G23" s="98"/>
    </row>
    <row r="24" spans="1:7">
      <c r="A24" s="98" t="s">
        <v>307</v>
      </c>
      <c r="B24" s="1085">
        <f>NSG_Supplies!G8/1000</f>
        <v>0</v>
      </c>
      <c r="C24" s="1085">
        <f>NSG_Supplies!G9/1000</f>
        <v>0</v>
      </c>
      <c r="D24" s="1085">
        <f>NSG_Supplies!G10/1000</f>
        <v>0</v>
      </c>
      <c r="E24" s="1085">
        <f>NSG_Supplies!G11/1000</f>
        <v>0</v>
      </c>
      <c r="F24" s="1081">
        <f>NSG_Supplies!G12/1000</f>
        <v>0</v>
      </c>
      <c r="G24" s="98"/>
    </row>
    <row r="25" spans="1:7">
      <c r="A25" s="98" t="s">
        <v>299</v>
      </c>
      <c r="B25" s="1085">
        <f>NSG_Supplies!H8/1000</f>
        <v>0</v>
      </c>
      <c r="C25" s="1085">
        <f>NSG_Supplies!H9/1000</f>
        <v>0</v>
      </c>
      <c r="D25" s="1085">
        <f>NSG_Supplies!H10/1000</f>
        <v>0</v>
      </c>
      <c r="E25" s="1085">
        <f>NSG_Supplies!H11/1000</f>
        <v>0</v>
      </c>
      <c r="F25" s="1081">
        <f>NSG_Supplies!H12/1000</f>
        <v>0</v>
      </c>
      <c r="G25" s="98"/>
    </row>
    <row r="26" spans="1:7">
      <c r="A26" s="102" t="s">
        <v>300</v>
      </c>
      <c r="B26" s="1085">
        <f>NSG_Supplies!I8/1000</f>
        <v>0</v>
      </c>
      <c r="C26" s="1085">
        <f>NSG_Supplies!I9/1000</f>
        <v>0</v>
      </c>
      <c r="D26" s="1085">
        <f>NSG_Supplies!I10/1000</f>
        <v>0</v>
      </c>
      <c r="E26" s="1085">
        <f>NSG_Supplies!I11/1000</f>
        <v>0</v>
      </c>
      <c r="F26" s="1081">
        <f>NSG_Supplies!I12/1000</f>
        <v>0</v>
      </c>
      <c r="G26" s="98"/>
    </row>
    <row r="27" spans="1:7">
      <c r="A27" s="98" t="s">
        <v>301</v>
      </c>
      <c r="B27" s="1085">
        <f>NSG_Supplies!J8/1000</f>
        <v>0</v>
      </c>
      <c r="C27" s="1085">
        <f>NSG_Supplies!J9/1000</f>
        <v>0</v>
      </c>
      <c r="D27" s="1085">
        <f>NSG_Supplies!J10/1000</f>
        <v>0</v>
      </c>
      <c r="E27" s="1085">
        <f>NSG_Supplies!J11/1000</f>
        <v>0</v>
      </c>
      <c r="F27" s="1081">
        <f>NSG_Supplies!J12/1000</f>
        <v>0</v>
      </c>
      <c r="G27" s="98"/>
    </row>
    <row r="28" spans="1:7">
      <c r="A28" s="98" t="s">
        <v>308</v>
      </c>
      <c r="B28" s="1085" t="s">
        <v>9</v>
      </c>
      <c r="C28" s="1085"/>
      <c r="D28" s="1085"/>
      <c r="E28" s="1085"/>
      <c r="F28" s="1081"/>
      <c r="G28" s="98"/>
    </row>
    <row r="29" spans="1:7">
      <c r="A29" s="99"/>
      <c r="B29" s="1082"/>
      <c r="C29" s="1082"/>
      <c r="D29" s="1082"/>
      <c r="E29" s="1082"/>
      <c r="F29" s="1083"/>
      <c r="G29" s="98"/>
    </row>
    <row r="30" spans="1:7">
      <c r="A30" s="98" t="s">
        <v>302</v>
      </c>
      <c r="B30" s="1085">
        <f>NSG_Requirements!P8/1000</f>
        <v>0</v>
      </c>
      <c r="C30" s="1085">
        <f>NSG_Requirements!P9/1000</f>
        <v>0</v>
      </c>
      <c r="D30" s="1085">
        <f>NSG_Requirements!P10/1000</f>
        <v>0</v>
      </c>
      <c r="E30" s="1085">
        <f>NSG_Requirements!P11/1000</f>
        <v>0</v>
      </c>
      <c r="F30" s="1081">
        <f>NSG_Supplies!J12/1000</f>
        <v>0</v>
      </c>
      <c r="G30" s="98"/>
    </row>
    <row r="31" spans="1:7">
      <c r="A31" s="98" t="s">
        <v>303</v>
      </c>
      <c r="B31" s="1085">
        <f>NSG_Requirements!R8/1000</f>
        <v>0</v>
      </c>
      <c r="C31" s="1085">
        <f>NSG_Requirements!R9/1000</f>
        <v>0</v>
      </c>
      <c r="D31" s="1085">
        <f>NSG_Requirements!R10/1000</f>
        <v>0</v>
      </c>
      <c r="E31" s="1085">
        <f>NSG_Requirements!R11/1000</f>
        <v>0</v>
      </c>
      <c r="F31" s="1081">
        <f>NSG_Supplies!L12/1000</f>
        <v>0</v>
      </c>
      <c r="G31" s="98"/>
    </row>
    <row r="32" spans="1:7">
      <c r="A32" s="98" t="s">
        <v>304</v>
      </c>
      <c r="B32" s="1085">
        <f>NSG_Requirements!Q8/1000</f>
        <v>0</v>
      </c>
      <c r="C32" s="1085">
        <f>NSG_Requirements!Q9/1000</f>
        <v>0</v>
      </c>
      <c r="D32" s="1085">
        <f>NSG_Requirements!Q10/1000</f>
        <v>0</v>
      </c>
      <c r="E32" s="1085">
        <f>NSG_Requirements!Q11/1000</f>
        <v>0</v>
      </c>
      <c r="F32" s="1081">
        <f>NSG_Requirements!Q12/1000</f>
        <v>0</v>
      </c>
      <c r="G32" s="98"/>
    </row>
    <row r="33" spans="1:7" ht="15.75" thickBot="1">
      <c r="A33" s="100" t="s">
        <v>309</v>
      </c>
      <c r="B33" s="1087">
        <f>NSG_Requirements!L8/1000</f>
        <v>0</v>
      </c>
      <c r="C33" s="1087">
        <f>NSG_Requirements!L9/1000</f>
        <v>0</v>
      </c>
      <c r="D33" s="1087">
        <f>NSG_Requirements!L10/1000</f>
        <v>0</v>
      </c>
      <c r="E33" s="1087">
        <f>NSG_Requirements!L11/1000</f>
        <v>0</v>
      </c>
      <c r="F33" s="1088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0"/>
      <c r="B1" s="798" t="s">
        <v>361</v>
      </c>
      <c r="C1" s="894">
        <f>Weather_Input!A6</f>
        <v>37061</v>
      </c>
      <c r="D1" s="895" t="s">
        <v>352</v>
      </c>
      <c r="E1" s="799"/>
      <c r="F1" s="1022"/>
      <c r="G1" s="425"/>
      <c r="H1" s="425"/>
      <c r="I1" s="1023"/>
    </row>
    <row r="2" spans="1:11" ht="15.75" customHeight="1" thickBot="1">
      <c r="A2" s="428"/>
      <c r="B2" s="1020" t="s">
        <v>609</v>
      </c>
      <c r="E2" s="158"/>
      <c r="I2" s="158"/>
    </row>
    <row r="3" spans="1:11" ht="15.75" customHeight="1" thickTop="1">
      <c r="B3" s="169" t="s">
        <v>104</v>
      </c>
      <c r="C3" s="889">
        <f>NSG_Supplies!P8/1000</f>
        <v>15.215</v>
      </c>
      <c r="E3" s="158"/>
      <c r="F3" s="779" t="s">
        <v>155</v>
      </c>
      <c r="G3" s="778"/>
      <c r="H3" s="793" t="s">
        <v>543</v>
      </c>
      <c r="I3" s="792" t="s">
        <v>542</v>
      </c>
    </row>
    <row r="4" spans="1:11" ht="15.75" customHeight="1" thickBot="1">
      <c r="A4" t="s">
        <v>9</v>
      </c>
      <c r="B4" s="98" t="s">
        <v>610</v>
      </c>
      <c r="C4" s="1070">
        <f>NSG_Supplies!E8/1000</f>
        <v>0</v>
      </c>
      <c r="D4" s="132">
        <f>NSG_Requirements!J8/1000</f>
        <v>4.1100000000000003</v>
      </c>
      <c r="E4" s="791"/>
      <c r="F4" s="169" t="s">
        <v>522</v>
      </c>
      <c r="G4" s="60"/>
      <c r="H4" s="151">
        <f>PGL_Requirements!O8/1000</f>
        <v>135</v>
      </c>
      <c r="I4" s="173">
        <f>AVERAGE(H4/1.025)</f>
        <v>131.70731707317074</v>
      </c>
      <c r="J4" t="s">
        <v>9</v>
      </c>
    </row>
    <row r="5" spans="1:11" ht="15.75" customHeight="1" thickTop="1" thickBot="1">
      <c r="B5" s="432" t="s">
        <v>611</v>
      </c>
      <c r="C5" s="443">
        <f>C3+C4-D4</f>
        <v>11.105</v>
      </c>
      <c r="D5" s="433"/>
      <c r="E5" s="435">
        <f>AVERAGE(C5/24)</f>
        <v>0.46270833333333333</v>
      </c>
      <c r="F5" s="167" t="s">
        <v>428</v>
      </c>
      <c r="G5" s="207">
        <f>PGL_Supplies!L8/1000</f>
        <v>0</v>
      </c>
      <c r="H5" s="165"/>
      <c r="I5" s="981">
        <f>AVERAGE(G5/1.025)</f>
        <v>0</v>
      </c>
      <c r="K5" t="s">
        <v>9</v>
      </c>
    </row>
    <row r="6" spans="1:11" ht="15.75" customHeight="1" thickTop="1" thickBot="1">
      <c r="B6" s="892" t="s">
        <v>372</v>
      </c>
      <c r="C6" s="893"/>
      <c r="D6" s="119"/>
      <c r="E6" s="790"/>
      <c r="F6" t="s">
        <v>729</v>
      </c>
      <c r="G6" s="893">
        <f>AVERAGE(H4/24)</f>
        <v>5.625</v>
      </c>
      <c r="H6" s="425"/>
      <c r="I6" s="1023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20" t="s">
        <v>591</v>
      </c>
      <c r="G7" s="1021"/>
      <c r="H7" s="60"/>
      <c r="I7" s="158"/>
    </row>
    <row r="8" spans="1:11" ht="15.75" customHeight="1">
      <c r="B8" s="169" t="s">
        <v>503</v>
      </c>
      <c r="C8" s="151">
        <f>PGL_Requirements!V8/1000</f>
        <v>0</v>
      </c>
      <c r="D8" s="60"/>
      <c r="E8" s="445"/>
      <c r="F8" s="169" t="s">
        <v>590</v>
      </c>
      <c r="G8" s="151">
        <f>PGL_Supplies!S8/1000</f>
        <v>34.334000000000003</v>
      </c>
      <c r="H8" s="60"/>
      <c r="I8" s="158"/>
    </row>
    <row r="9" spans="1:11" ht="15.75" customHeight="1" thickBot="1">
      <c r="B9" s="169" t="s">
        <v>720</v>
      </c>
      <c r="C9" s="151">
        <f>NSG_Requirements!B8/1000</f>
        <v>0</v>
      </c>
      <c r="D9" s="60"/>
      <c r="E9" s="445"/>
      <c r="F9" s="1" t="s">
        <v>674</v>
      </c>
      <c r="G9" s="151">
        <f>PGL_Supplies!T8/1000</f>
        <v>0</v>
      </c>
      <c r="I9" s="158"/>
    </row>
    <row r="10" spans="1:11" ht="15.75" customHeight="1" thickTop="1" thickBot="1">
      <c r="B10" s="432" t="s">
        <v>527</v>
      </c>
      <c r="C10" s="443">
        <f>C7+C8-C9</f>
        <v>0</v>
      </c>
      <c r="D10" s="433"/>
      <c r="E10" s="435">
        <f>AVERAGE(C10/24)</f>
        <v>0</v>
      </c>
      <c r="F10" s="169" t="s">
        <v>425</v>
      </c>
      <c r="G10" s="151">
        <f>PGL_Supplies!AA8/1000</f>
        <v>167.27099999999999</v>
      </c>
      <c r="H10" s="151" t="s">
        <v>9</v>
      </c>
      <c r="I10" s="158"/>
    </row>
    <row r="11" spans="1:11" ht="15.75" customHeight="1" thickTop="1">
      <c r="A11" t="s">
        <v>9</v>
      </c>
      <c r="B11" s="1062" t="s">
        <v>704</v>
      </c>
      <c r="C11" s="151">
        <f>PGL_Supplies!X8/1000</f>
        <v>89.602999999999994</v>
      </c>
      <c r="D11" s="778"/>
      <c r="E11" s="1063"/>
      <c r="F11" s="430" t="s">
        <v>358</v>
      </c>
      <c r="G11" s="442">
        <f>G8+G10</f>
        <v>201.60499999999999</v>
      </c>
      <c r="H11" s="429"/>
      <c r="I11" s="431"/>
    </row>
    <row r="12" spans="1:11" ht="15.75" customHeight="1">
      <c r="B12" s="244" t="s">
        <v>733</v>
      </c>
      <c r="C12" s="151">
        <v>0</v>
      </c>
      <c r="D12" s="119"/>
      <c r="E12" s="158"/>
      <c r="F12" s="170" t="s">
        <v>506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705</v>
      </c>
      <c r="C13" s="119"/>
      <c r="D13" s="151">
        <f>PGL_Requirements!I8/1000</f>
        <v>0</v>
      </c>
      <c r="E13" s="158"/>
      <c r="F13" s="170" t="s">
        <v>507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64" t="s">
        <v>712</v>
      </c>
      <c r="C14" s="443">
        <f>C11-C12</f>
        <v>89.602999999999994</v>
      </c>
      <c r="D14" s="433"/>
      <c r="E14" s="435">
        <f>AVERAGE(C14/24)</f>
        <v>3.7334583333333331</v>
      </c>
      <c r="F14" s="772" t="s">
        <v>525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710</v>
      </c>
      <c r="C15" s="151">
        <f>PGL_Supplies!Y8/1000</f>
        <v>0.2</v>
      </c>
      <c r="D15" s="60"/>
      <c r="E15" s="158"/>
      <c r="F15" s="772" t="s">
        <v>534</v>
      </c>
      <c r="G15" s="442">
        <f>SUM(G11)-G16-G17</f>
        <v>183.17999999999998</v>
      </c>
      <c r="H15" s="433" t="s">
        <v>9</v>
      </c>
      <c r="I15" s="435">
        <f>AVERAGE(G15/24)</f>
        <v>7.6324999999999994</v>
      </c>
    </row>
    <row r="16" spans="1:11" ht="15.75" customHeight="1" thickTop="1" thickBot="1">
      <c r="B16" s="169" t="s">
        <v>670</v>
      </c>
      <c r="C16" s="151">
        <f>PGL_Supplies!Q8/1000</f>
        <v>0</v>
      </c>
      <c r="D16" s="151">
        <f>PGL_Requirements!T8/1000</f>
        <v>0</v>
      </c>
      <c r="E16" s="158"/>
      <c r="F16" s="772" t="s">
        <v>539</v>
      </c>
      <c r="G16" s="443">
        <f>PGL_Requirements!G8/1000</f>
        <v>18.425000000000001</v>
      </c>
      <c r="H16" s="443" t="s">
        <v>9</v>
      </c>
      <c r="I16" s="435">
        <f>AVERAGE(G16/24)</f>
        <v>0.76770833333333333</v>
      </c>
    </row>
    <row r="17" spans="1:9" ht="15.75" customHeight="1" thickTop="1" thickBot="1">
      <c r="B17" s="430" t="s">
        <v>358</v>
      </c>
      <c r="C17" s="442">
        <f>SUM(C15:C16)-SUM(D15:D16)</f>
        <v>0.2</v>
      </c>
      <c r="D17" s="429"/>
      <c r="E17" s="431"/>
      <c r="F17" s="1032" t="s">
        <v>675</v>
      </c>
      <c r="G17" s="1112">
        <v>0</v>
      </c>
      <c r="H17" s="1031"/>
      <c r="I17" s="1113">
        <f>AVERAGE(G17/24)</f>
        <v>0</v>
      </c>
    </row>
    <row r="18" spans="1:9" ht="15.75" customHeight="1">
      <c r="B18" s="169" t="s">
        <v>354</v>
      </c>
      <c r="C18" s="151" t="e">
        <f>PGL_Supplies!#REF!/1000</f>
        <v>#REF!</v>
      </c>
      <c r="D18" s="60"/>
      <c r="E18" s="158"/>
      <c r="F18" s="1030" t="s">
        <v>523</v>
      </c>
      <c r="G18" s="60" t="s">
        <v>9</v>
      </c>
      <c r="H18" s="60"/>
      <c r="I18" s="158"/>
    </row>
    <row r="19" spans="1:9" ht="15.75" customHeight="1" thickBot="1">
      <c r="B19" s="169" t="s">
        <v>355</v>
      </c>
      <c r="C19" s="60"/>
      <c r="D19" s="151" t="e">
        <f>PGL_Requirements!#REF!/1000</f>
        <v>#REF!</v>
      </c>
      <c r="E19" s="158"/>
      <c r="F19" s="167" t="s">
        <v>524</v>
      </c>
      <c r="G19" s="165"/>
      <c r="H19" s="207">
        <v>0</v>
      </c>
      <c r="I19" s="438"/>
    </row>
    <row r="20" spans="1:9" ht="15.75" customHeight="1" thickTop="1" thickBot="1">
      <c r="B20" s="432" t="s">
        <v>529</v>
      </c>
      <c r="C20" s="443" t="e">
        <f>C17+C18-D19</f>
        <v>#REF!</v>
      </c>
      <c r="D20" s="436" t="s">
        <v>9</v>
      </c>
      <c r="E20" s="435" t="e">
        <f>AVERAGE(C20/24)</f>
        <v>#REF!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711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4</v>
      </c>
      <c r="H21" s="151" t="s">
        <v>9</v>
      </c>
      <c r="I21" s="158"/>
    </row>
    <row r="22" spans="1:9" ht="15.75" customHeight="1">
      <c r="B22" s="430" t="s">
        <v>358</v>
      </c>
      <c r="C22" s="442">
        <f>SUM(C21:C21)-SUM(D21)</f>
        <v>0</v>
      </c>
      <c r="D22" s="429"/>
      <c r="E22" s="431"/>
      <c r="F22" s="430" t="s">
        <v>358</v>
      </c>
      <c r="G22" s="442">
        <f>G21</f>
        <v>4</v>
      </c>
      <c r="H22" s="429"/>
      <c r="I22" s="431"/>
    </row>
    <row r="23" spans="1:9" ht="15.75" customHeight="1">
      <c r="B23" s="169" t="s">
        <v>356</v>
      </c>
      <c r="C23" s="151">
        <f>PGL_Supplies!C8/1000</f>
        <v>0</v>
      </c>
      <c r="D23" s="60"/>
      <c r="E23" s="158"/>
      <c r="F23" s="169" t="s">
        <v>359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357</v>
      </c>
      <c r="C24" s="60">
        <v>0</v>
      </c>
      <c r="D24" s="151">
        <f>PGL_Requirements!C8/1000</f>
        <v>0</v>
      </c>
      <c r="E24" s="158"/>
      <c r="F24" s="169" t="s">
        <v>360</v>
      </c>
      <c r="G24" s="60"/>
      <c r="H24" s="151">
        <f>PGL_Requirements!E8/1000</f>
        <v>4</v>
      </c>
      <c r="I24" s="158"/>
    </row>
    <row r="25" spans="1:9" ht="15.75" customHeight="1" thickTop="1" thickBot="1">
      <c r="B25" s="432" t="s">
        <v>528</v>
      </c>
      <c r="C25" s="443">
        <f>C22+C23-D24</f>
        <v>0</v>
      </c>
      <c r="D25" s="433"/>
      <c r="E25" s="435">
        <f>AVERAGE(C25/24)</f>
        <v>0</v>
      </c>
      <c r="F25" s="546" t="s">
        <v>526</v>
      </c>
      <c r="G25" s="890">
        <f>G22+G23-H24+G20</f>
        <v>0</v>
      </c>
      <c r="H25" s="425"/>
      <c r="I25" s="891">
        <f>AVERAGE(G25/24)</f>
        <v>0</v>
      </c>
    </row>
    <row r="26" spans="1:9" ht="15.75" customHeight="1" thickTop="1">
      <c r="B26" t="s">
        <v>672</v>
      </c>
    </row>
    <row r="27" spans="1:9" ht="15.75" customHeight="1">
      <c r="B27" t="s">
        <v>671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612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88" customWidth="1"/>
    <col min="2" max="2" width="8.109375" style="988" customWidth="1"/>
    <col min="3" max="3" width="7.88671875" style="988" customWidth="1"/>
    <col min="4" max="4" width="5.88671875" style="988" customWidth="1"/>
    <col min="5" max="5" width="4.44140625" style="988" customWidth="1"/>
    <col min="6" max="6" width="5.21875" style="988" customWidth="1"/>
    <col min="7" max="7" width="9" style="988" customWidth="1"/>
    <col min="8" max="11" width="8.88671875" style="988"/>
    <col min="12" max="12" width="14.88671875" style="988" customWidth="1"/>
    <col min="13" max="13" width="5.6640625" style="988" customWidth="1"/>
    <col min="14" max="16384" width="8.88671875" style="988"/>
  </cols>
  <sheetData>
    <row r="1" spans="1:22" ht="22.5">
      <c r="A1" s="923"/>
      <c r="B1" s="919"/>
      <c r="C1" s="930" t="s">
        <v>616</v>
      </c>
      <c r="D1" s="927"/>
      <c r="E1" s="927" t="s">
        <v>617</v>
      </c>
      <c r="F1" s="927"/>
      <c r="G1" s="986" t="s">
        <v>310</v>
      </c>
      <c r="H1" s="987">
        <f>Weather_Input!A6</f>
        <v>37061</v>
      </c>
      <c r="I1" s="916"/>
      <c r="J1" s="918"/>
      <c r="K1" s="918"/>
    </row>
    <row r="2" spans="1:22" ht="16.5" customHeight="1">
      <c r="A2" s="936" t="s">
        <v>644</v>
      </c>
      <c r="C2" s="989">
        <v>385</v>
      </c>
      <c r="F2" s="990">
        <v>386</v>
      </c>
      <c r="H2" s="918"/>
      <c r="I2" s="916" t="s">
        <v>646</v>
      </c>
      <c r="J2" s="938">
        <f>NSG_Supplies!P8/1000</f>
        <v>15.215</v>
      </c>
    </row>
    <row r="3" spans="1:22" ht="16.5" customHeight="1">
      <c r="A3" s="991">
        <f>PGL_Supplies!I8/1000</f>
        <v>0</v>
      </c>
      <c r="C3" s="988" t="s">
        <v>9</v>
      </c>
      <c r="G3" s="916"/>
      <c r="H3" s="918"/>
    </row>
    <row r="4" spans="1:22" ht="16.5" customHeight="1">
      <c r="A4" s="926" t="s">
        <v>618</v>
      </c>
      <c r="G4" s="944"/>
      <c r="H4" s="918"/>
      <c r="I4" s="916"/>
      <c r="J4" s="916" t="s">
        <v>642</v>
      </c>
      <c r="K4" s="938">
        <f>Billy_Sheet!C5</f>
        <v>11.105</v>
      </c>
      <c r="N4" s="938"/>
    </row>
    <row r="5" spans="1:22" ht="16.5" customHeight="1">
      <c r="A5" s="992">
        <f>PGL_Supplies!J7/1000</f>
        <v>0</v>
      </c>
      <c r="B5" s="993"/>
      <c r="G5" s="919"/>
      <c r="H5" s="938"/>
      <c r="U5" s="918"/>
      <c r="V5" s="918"/>
    </row>
    <row r="6" spans="1:22" ht="16.5" customHeight="1">
      <c r="A6" s="925" t="s">
        <v>614</v>
      </c>
      <c r="G6" s="919"/>
      <c r="H6" s="938"/>
      <c r="U6" s="918"/>
      <c r="V6" s="938"/>
    </row>
    <row r="7" spans="1:22" ht="18.75" customHeight="1">
      <c r="A7" s="938">
        <f>Billy_Sheet!G14</f>
        <v>0</v>
      </c>
      <c r="G7" s="919"/>
      <c r="H7" s="917"/>
      <c r="U7" s="918"/>
      <c r="V7" s="917"/>
    </row>
    <row r="8" spans="1:22" ht="14.45" customHeight="1">
      <c r="A8" s="916" t="s">
        <v>72</v>
      </c>
      <c r="G8" s="919"/>
      <c r="H8" s="916" t="s">
        <v>164</v>
      </c>
      <c r="I8" s="916"/>
      <c r="K8" s="916"/>
      <c r="L8" s="916"/>
      <c r="N8" s="916"/>
      <c r="O8" s="916"/>
      <c r="U8" s="918"/>
      <c r="V8" s="938"/>
    </row>
    <row r="9" spans="1:22" ht="14.45" customHeight="1">
      <c r="A9" s="938">
        <f>PGL_Supplies!H8/1000</f>
        <v>15</v>
      </c>
      <c r="H9" s="938">
        <v>0</v>
      </c>
      <c r="I9" s="994"/>
      <c r="K9" s="916" t="s">
        <v>648</v>
      </c>
      <c r="L9" s="938">
        <f>NSG_Deliveries!C6/1000</f>
        <v>37</v>
      </c>
      <c r="N9" s="916"/>
      <c r="O9" s="938"/>
      <c r="U9" s="918"/>
      <c r="V9" s="938"/>
    </row>
    <row r="10" spans="1:22" ht="18" customHeight="1">
      <c r="A10" s="916" t="s">
        <v>66</v>
      </c>
      <c r="H10" s="945" t="s">
        <v>647</v>
      </c>
      <c r="U10" s="918"/>
      <c r="V10" s="938"/>
    </row>
    <row r="11" spans="1:22" ht="14.45" customHeight="1">
      <c r="A11" s="938" t="e">
        <f>Billy_Sheet!C20</f>
        <v>#REF!</v>
      </c>
      <c r="B11" s="994"/>
      <c r="H11" s="938">
        <f>NSG_Supplies!T8/1000</f>
        <v>0</v>
      </c>
      <c r="K11" s="919" t="s">
        <v>649</v>
      </c>
      <c r="L11" s="944">
        <f>SUM(K4+K17+K19+H11+H9-L9)</f>
        <v>4.0000000000048885E-3</v>
      </c>
      <c r="N11" s="919"/>
      <c r="O11" s="944"/>
      <c r="U11" s="918"/>
      <c r="V11" s="932"/>
    </row>
    <row r="12" spans="1:22" ht="14.45" customHeight="1">
      <c r="A12" s="916" t="s">
        <v>701</v>
      </c>
      <c r="H12" s="938"/>
      <c r="U12" s="918"/>
      <c r="V12" s="938"/>
    </row>
    <row r="13" spans="1:22" ht="14.45" customHeight="1">
      <c r="A13" s="992">
        <f>PGL_Supplies!X8/1000</f>
        <v>89.602999999999994</v>
      </c>
      <c r="H13" s="938"/>
      <c r="U13" s="918"/>
      <c r="V13" s="938"/>
    </row>
    <row r="14" spans="1:22" ht="14.45" customHeight="1">
      <c r="H14" s="938"/>
      <c r="U14" s="918"/>
      <c r="V14" s="938"/>
    </row>
    <row r="15" spans="1:22" ht="15.6" customHeight="1">
      <c r="B15" s="988" t="s">
        <v>9</v>
      </c>
      <c r="C15" s="995">
        <v>370</v>
      </c>
      <c r="F15" s="995">
        <v>370</v>
      </c>
      <c r="H15" s="944"/>
      <c r="U15" s="928"/>
      <c r="V15" s="944"/>
    </row>
    <row r="16" spans="1:22" ht="42.75" customHeight="1">
      <c r="A16" s="929"/>
      <c r="B16" s="944"/>
      <c r="C16" s="996"/>
      <c r="D16" s="997"/>
      <c r="E16" s="997"/>
      <c r="F16" s="996"/>
    </row>
    <row r="17" spans="1:17" ht="38.25" customHeight="1">
      <c r="B17" s="997"/>
      <c r="C17" s="997"/>
      <c r="D17" s="998"/>
      <c r="E17" s="997"/>
      <c r="F17" s="997"/>
      <c r="G17" s="997"/>
      <c r="J17" s="916" t="s">
        <v>311</v>
      </c>
      <c r="K17" s="938">
        <f>NSG_Supplies!K8/1000</f>
        <v>0</v>
      </c>
      <c r="N17" s="938"/>
    </row>
    <row r="18" spans="1:17" ht="15" customHeight="1">
      <c r="A18" s="924"/>
      <c r="C18" s="995">
        <v>668</v>
      </c>
      <c r="D18" s="997"/>
      <c r="E18" s="997"/>
      <c r="F18" s="990">
        <v>806</v>
      </c>
    </row>
    <row r="19" spans="1:17">
      <c r="A19" s="925" t="s">
        <v>615</v>
      </c>
      <c r="C19" s="988" t="s">
        <v>9</v>
      </c>
      <c r="J19" s="916" t="s">
        <v>643</v>
      </c>
      <c r="K19" s="938">
        <f>NSG_Supplies!Q8/1000+NSG_Supplies!F8/1000-NSG_Requirements!H8/1000</f>
        <v>25.899000000000001</v>
      </c>
      <c r="N19" s="1000"/>
    </row>
    <row r="20" spans="1:17" ht="17.25" customHeight="1">
      <c r="A20" s="938">
        <f>Billy_Sheet!G15</f>
        <v>183.17999999999998</v>
      </c>
      <c r="G20" s="428"/>
      <c r="J20" s="916"/>
    </row>
    <row r="21" spans="1:17" ht="11.25" customHeight="1">
      <c r="G21" s="917"/>
      <c r="H21" s="917"/>
      <c r="I21" s="919"/>
      <c r="J21" s="944"/>
    </row>
    <row r="22" spans="1:17">
      <c r="A22" s="918" t="s">
        <v>167</v>
      </c>
      <c r="G22" s="916"/>
      <c r="I22" s="919"/>
      <c r="J22" s="916"/>
      <c r="M22" s="919"/>
      <c r="N22" s="944"/>
    </row>
    <row r="23" spans="1:17">
      <c r="A23" s="938">
        <f>Billy_Sheet!C25</f>
        <v>0</v>
      </c>
      <c r="G23" s="916" t="s">
        <v>713</v>
      </c>
      <c r="H23" s="918"/>
      <c r="I23" s="919"/>
      <c r="J23" s="944"/>
      <c r="M23" s="916"/>
      <c r="N23" s="944"/>
      <c r="Q23" s="1001"/>
    </row>
    <row r="24" spans="1:17" ht="9" customHeight="1">
      <c r="G24" s="938">
        <f>PGL_Requirements!J7/1000</f>
        <v>0</v>
      </c>
      <c r="H24" s="919"/>
      <c r="I24" s="919"/>
      <c r="J24" s="919"/>
    </row>
    <row r="25" spans="1:17" ht="10.5" customHeight="1">
      <c r="A25" s="918" t="s">
        <v>169</v>
      </c>
      <c r="B25" s="918"/>
      <c r="C25" s="918"/>
      <c r="D25" s="918"/>
      <c r="F25" s="918"/>
      <c r="G25" s="916" t="s">
        <v>651</v>
      </c>
      <c r="H25" s="919"/>
      <c r="I25" s="919"/>
      <c r="J25" s="919"/>
    </row>
    <row r="26" spans="1:17" ht="14.25" customHeight="1">
      <c r="A26" s="938">
        <f>Billy_Sheet!G25</f>
        <v>0</v>
      </c>
      <c r="B26" s="918"/>
      <c r="C26" s="919"/>
      <c r="D26" s="919"/>
      <c r="F26" s="919"/>
      <c r="G26" s="999">
        <v>7.4</v>
      </c>
      <c r="H26" s="919"/>
      <c r="I26" s="919"/>
      <c r="J26" s="919" t="s">
        <v>544</v>
      </c>
      <c r="K26" s="1002">
        <f>PGL_Deliveries!C6/1000</f>
        <v>215</v>
      </c>
      <c r="L26" s="916" t="s">
        <v>648</v>
      </c>
      <c r="M26" s="938">
        <f>NSG_Deliveries!C6/1000</f>
        <v>37</v>
      </c>
      <c r="N26" s="938"/>
    </row>
    <row r="27" spans="1:17" ht="8.25" customHeight="1">
      <c r="A27" s="919"/>
      <c r="B27" s="940"/>
      <c r="C27" s="919"/>
      <c r="D27" s="919"/>
      <c r="F27" s="919"/>
      <c r="G27" s="919"/>
      <c r="H27" s="920"/>
      <c r="I27" s="919"/>
      <c r="J27" s="920"/>
    </row>
    <row r="28" spans="1:17" ht="12.75" customHeight="1">
      <c r="A28" s="927" t="s">
        <v>619</v>
      </c>
      <c r="B28" s="938"/>
      <c r="C28" s="918"/>
      <c r="D28" s="919"/>
      <c r="F28" s="916"/>
      <c r="G28" s="928" t="s">
        <v>624</v>
      </c>
      <c r="H28" s="428"/>
      <c r="J28" s="919" t="s">
        <v>650</v>
      </c>
      <c r="K28" s="944" t="e">
        <f>SUM(A42)</f>
        <v>#REF!</v>
      </c>
      <c r="L28" s="919" t="s">
        <v>693</v>
      </c>
      <c r="M28" s="944">
        <f>SUM(J2+K17+K19+H11+H9-M26)</f>
        <v>4.1140000000000043</v>
      </c>
      <c r="N28" s="944"/>
    </row>
    <row r="29" spans="1:17">
      <c r="A29" s="938">
        <f>PGL_Supplies!L8/1000</f>
        <v>0</v>
      </c>
      <c r="B29" s="938"/>
      <c r="C29" s="919"/>
      <c r="D29" s="1003"/>
      <c r="F29" s="1048">
        <f>PGL_Requirements!A7</f>
        <v>37060</v>
      </c>
      <c r="G29" s="938">
        <f>PGL_Requirements!G7/1000</f>
        <v>56.151000000000003</v>
      </c>
      <c r="H29" s="917"/>
      <c r="J29" s="919" t="s">
        <v>652</v>
      </c>
      <c r="K29" s="938">
        <f>PGL_Supplies!AB8/1000+PGL_Supplies!K8/1000-PGL_Requirements!N8/1000</f>
        <v>51.695999999999998</v>
      </c>
    </row>
    <row r="30" spans="1:17" ht="10.5" customHeight="1">
      <c r="A30" s="921"/>
      <c r="B30" s="938"/>
      <c r="C30" s="919"/>
      <c r="D30" s="938"/>
      <c r="F30" s="1048">
        <f>PGL_Requirements!A8</f>
        <v>37061</v>
      </c>
      <c r="G30" s="938">
        <f>PGL_Requirements!G8/1000</f>
        <v>18.425000000000001</v>
      </c>
    </row>
    <row r="31" spans="1:17" ht="17.25" customHeight="1">
      <c r="A31" s="927" t="s">
        <v>621</v>
      </c>
      <c r="B31" s="1004"/>
      <c r="C31" s="922"/>
      <c r="D31" s="944"/>
      <c r="G31" s="928" t="s">
        <v>622</v>
      </c>
      <c r="H31" s="944"/>
      <c r="J31" s="919" t="s">
        <v>649</v>
      </c>
      <c r="K31" s="944" t="e">
        <f>SUM(K28+K29-K26)</f>
        <v>#REF!</v>
      </c>
    </row>
    <row r="32" spans="1:17">
      <c r="A32" s="938">
        <f>PGL_Supplies!G8/1000</f>
        <v>1</v>
      </c>
      <c r="G32" s="938">
        <f>PGL_Requirements!O8/1000</f>
        <v>135</v>
      </c>
    </row>
    <row r="33" spans="1:11" ht="6.75" customHeight="1"/>
    <row r="34" spans="1:11">
      <c r="A34" s="916" t="s">
        <v>620</v>
      </c>
      <c r="G34" s="919" t="s">
        <v>623</v>
      </c>
    </row>
    <row r="35" spans="1:11">
      <c r="A35" s="999">
        <v>0</v>
      </c>
      <c r="G35" s="938">
        <f>PGL_Requirements!B8/1000</f>
        <v>0</v>
      </c>
    </row>
    <row r="36" spans="1:11">
      <c r="G36" s="938"/>
    </row>
    <row r="37" spans="1:11">
      <c r="C37" s="916" t="s">
        <v>626</v>
      </c>
      <c r="F37" s="916" t="s">
        <v>627</v>
      </c>
      <c r="G37" s="938"/>
    </row>
    <row r="38" spans="1:11">
      <c r="C38" s="995">
        <v>668</v>
      </c>
      <c r="F38" s="995">
        <v>754</v>
      </c>
    </row>
    <row r="39" spans="1:11">
      <c r="A39" s="936" t="s">
        <v>692</v>
      </c>
      <c r="E39" s="918" t="s">
        <v>625</v>
      </c>
      <c r="F39" s="918"/>
    </row>
    <row r="40" spans="1:11">
      <c r="A40" s="944" t="e">
        <f>SUM(A3:A35)</f>
        <v>#REF!</v>
      </c>
      <c r="B40" s="932"/>
      <c r="C40" s="931"/>
      <c r="D40" s="932"/>
      <c r="E40" s="932"/>
      <c r="F40" s="1005"/>
      <c r="G40" s="1005">
        <f>SUM(G30:G35)</f>
        <v>153.42500000000001</v>
      </c>
      <c r="H40" s="934"/>
      <c r="I40" s="933"/>
    </row>
    <row r="41" spans="1:11">
      <c r="A41" s="935" t="s">
        <v>641</v>
      </c>
      <c r="B41" s="938"/>
      <c r="C41" s="932"/>
      <c r="D41" s="932"/>
      <c r="E41" s="932"/>
      <c r="F41" s="932"/>
      <c r="G41" s="932"/>
      <c r="H41" s="932"/>
      <c r="I41" s="931"/>
    </row>
    <row r="42" spans="1:11">
      <c r="A42" s="938" t="e">
        <f>SUM(A40-G40)</f>
        <v>#REF!</v>
      </c>
      <c r="B42" s="938"/>
      <c r="C42" s="932"/>
      <c r="D42" s="932"/>
      <c r="E42" s="932"/>
      <c r="F42" s="941"/>
      <c r="G42" s="943" t="s">
        <v>645</v>
      </c>
      <c r="H42" s="1006"/>
      <c r="I42" s="1007"/>
      <c r="J42" s="1006"/>
      <c r="K42" s="997"/>
    </row>
    <row r="43" spans="1:11" ht="14.25" customHeight="1">
      <c r="A43" s="938"/>
      <c r="B43" s="938"/>
      <c r="C43" s="938"/>
      <c r="D43" s="938"/>
      <c r="E43" s="941"/>
      <c r="F43" s="940" t="s">
        <v>640</v>
      </c>
      <c r="G43" s="941" t="s">
        <v>639</v>
      </c>
      <c r="I43" s="938"/>
    </row>
    <row r="44" spans="1:11" ht="12.75" customHeight="1">
      <c r="A44" s="935" t="s">
        <v>628</v>
      </c>
      <c r="B44" s="938" t="s">
        <v>633</v>
      </c>
      <c r="C44" s="938" t="s">
        <v>634</v>
      </c>
      <c r="D44" s="938" t="s">
        <v>635</v>
      </c>
      <c r="E44" s="939"/>
      <c r="F44" s="939" t="s">
        <v>636</v>
      </c>
      <c r="G44" s="932" t="s">
        <v>638</v>
      </c>
      <c r="H44" s="918" t="s">
        <v>637</v>
      </c>
      <c r="I44" s="938"/>
      <c r="K44" s="918"/>
    </row>
    <row r="45" spans="1:11">
      <c r="A45" s="935" t="s">
        <v>632</v>
      </c>
      <c r="B45" s="1008">
        <v>250</v>
      </c>
      <c r="C45" s="1008">
        <v>410</v>
      </c>
      <c r="D45" s="1009">
        <f>SUM(F2+F15)/2</f>
        <v>378</v>
      </c>
      <c r="E45" s="1010"/>
      <c r="F45" s="1011">
        <v>6.7000000000000004E-2</v>
      </c>
      <c r="G45" s="1012">
        <f>(C45-D45)*F45</f>
        <v>2.1440000000000001</v>
      </c>
      <c r="H45" s="1012">
        <f>(D45-B45)*F45</f>
        <v>8.5760000000000005</v>
      </c>
      <c r="I45" s="938"/>
      <c r="J45" s="1013"/>
    </row>
    <row r="46" spans="1:11">
      <c r="A46" s="918" t="s">
        <v>629</v>
      </c>
      <c r="B46" s="1014">
        <v>797</v>
      </c>
      <c r="C46" s="1008">
        <v>797</v>
      </c>
      <c r="D46" s="1009">
        <v>797</v>
      </c>
      <c r="E46" s="1010"/>
      <c r="F46" s="1011">
        <v>0.13900000000000001</v>
      </c>
      <c r="G46" s="1012">
        <f>(C46-D46)*F46</f>
        <v>0</v>
      </c>
      <c r="H46" s="1012">
        <f>(D46-B46)*F46</f>
        <v>0</v>
      </c>
      <c r="I46" s="938"/>
    </row>
    <row r="47" spans="1:11">
      <c r="A47" s="918" t="s">
        <v>630</v>
      </c>
      <c r="B47" s="1014">
        <v>250</v>
      </c>
      <c r="C47" s="1008">
        <v>410</v>
      </c>
      <c r="D47" s="1009">
        <f>SUM(C2+C15)/2</f>
        <v>377.5</v>
      </c>
      <c r="E47" s="1010"/>
      <c r="F47" s="1011">
        <v>0.14099999999999999</v>
      </c>
      <c r="G47" s="1012">
        <f>(C47-D47)*F47</f>
        <v>4.5824999999999996</v>
      </c>
      <c r="H47" s="1012">
        <f>(D47-B47)*F47</f>
        <v>17.977499999999999</v>
      </c>
      <c r="I47" s="938"/>
    </row>
    <row r="48" spans="1:11">
      <c r="A48" s="918" t="s">
        <v>631</v>
      </c>
      <c r="B48" s="1014">
        <v>285</v>
      </c>
      <c r="C48" s="1008">
        <v>750</v>
      </c>
      <c r="D48" s="1009">
        <f>SUM(C18+C38)/2</f>
        <v>668</v>
      </c>
      <c r="E48" s="1010"/>
      <c r="F48" s="1011">
        <v>0.161</v>
      </c>
      <c r="G48" s="1012">
        <f>(C48-D48)*F48</f>
        <v>13.202</v>
      </c>
      <c r="H48" s="1012">
        <f>(D48-B48)*F48</f>
        <v>61.663000000000004</v>
      </c>
    </row>
    <row r="49" spans="1:8">
      <c r="B49" s="994"/>
      <c r="C49" s="994"/>
      <c r="D49" s="994"/>
      <c r="E49" s="994"/>
      <c r="F49" s="942" t="s">
        <v>339</v>
      </c>
      <c r="G49" s="1012">
        <f>SUM(G45:G48)</f>
        <v>19.9285</v>
      </c>
      <c r="H49" s="1012">
        <f>SUM(H45:H48)</f>
        <v>88.216499999999996</v>
      </c>
    </row>
    <row r="55" spans="1:8">
      <c r="A55" s="1015"/>
      <c r="G55" s="1015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E6" sqref="E6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37060</v>
      </c>
      <c r="B5" s="11">
        <v>91</v>
      </c>
      <c r="C5" s="49">
        <v>73</v>
      </c>
      <c r="D5" s="49">
        <v>15.9</v>
      </c>
      <c r="E5" s="11">
        <v>82.7</v>
      </c>
      <c r="F5" s="11">
        <v>77</v>
      </c>
      <c r="G5" s="11">
        <v>6689</v>
      </c>
      <c r="H5" s="11">
        <v>0</v>
      </c>
      <c r="I5" s="896" t="s">
        <v>804</v>
      </c>
      <c r="J5" s="896"/>
      <c r="K5" s="11">
        <v>3</v>
      </c>
      <c r="L5" s="11">
        <v>1</v>
      </c>
      <c r="N5" s="15" t="str">
        <f>I5&amp;" "&amp;I5</f>
        <v>OVERNIGHT…PARTLY CLOUDY/WINDY. S.W. 15 TO 25. OVERNIGHT…PARTLY CLOUDY/WINDY. S.W. 15 TO 25.</v>
      </c>
      <c r="AE5" s="15">
        <v>1</v>
      </c>
      <c r="AH5" s="15" t="s">
        <v>32</v>
      </c>
    </row>
    <row r="6" spans="1:34" ht="16.5" customHeight="1">
      <c r="A6" s="86">
        <f>A5+1</f>
        <v>37061</v>
      </c>
      <c r="B6" s="11">
        <v>86</v>
      </c>
      <c r="C6" s="49">
        <v>59</v>
      </c>
      <c r="D6" s="49">
        <v>10</v>
      </c>
      <c r="E6" s="11" t="s">
        <v>9</v>
      </c>
      <c r="F6" s="11" t="s">
        <v>9</v>
      </c>
      <c r="G6" s="11"/>
      <c r="H6" s="11" t="s">
        <v>9</v>
      </c>
      <c r="I6" s="896" t="s">
        <v>805</v>
      </c>
      <c r="J6" s="896" t="s">
        <v>806</v>
      </c>
      <c r="K6" s="11">
        <v>3</v>
      </c>
      <c r="L6" s="11" t="s">
        <v>592</v>
      </c>
      <c r="N6" s="15" t="str">
        <f>I6&amp;" "&amp;J6</f>
        <v>PARTLY SUNNY. A 30% CHANCE OF P.M. T'STORMS. S.W. WINDS 15 TO 25 MPH BECO MING NORTH 10 TO 15 MPH. OVERNIGHT…MOSTLY CLOUDY. A 40% CHANCE OF RAIN.</v>
      </c>
      <c r="AE6" s="15">
        <v>1</v>
      </c>
      <c r="AH6" s="15" t="s">
        <v>33</v>
      </c>
    </row>
    <row r="7" spans="1:34" ht="16.5" customHeight="1">
      <c r="A7" s="86">
        <f>A6+1</f>
        <v>37062</v>
      </c>
      <c r="B7" s="11">
        <v>76</v>
      </c>
      <c r="C7" s="49">
        <v>54</v>
      </c>
      <c r="D7" s="49">
        <v>10</v>
      </c>
      <c r="E7" s="11" t="s">
        <v>9</v>
      </c>
      <c r="F7" s="11" t="s">
        <v>9</v>
      </c>
      <c r="G7" s="11"/>
      <c r="H7" s="11" t="s">
        <v>9</v>
      </c>
      <c r="I7" s="896" t="s">
        <v>807</v>
      </c>
      <c r="J7" s="896" t="s">
        <v>808</v>
      </c>
      <c r="K7" s="11">
        <v>2</v>
      </c>
      <c r="L7" s="11" t="s">
        <v>20</v>
      </c>
      <c r="N7" s="15" t="str">
        <f>I7&amp;" "&amp;J7</f>
        <v>MOSTLY CLOUDY IN THE MORNING WITH A 30% CHANCE OF RAIN…BECOMING PART LY CLOUDY BY P.M. OVERNIGHT…PARTLY CLOUDY.</v>
      </c>
    </row>
    <row r="8" spans="1:34" ht="16.5" customHeight="1">
      <c r="A8" s="86">
        <f>A7+1</f>
        <v>37063</v>
      </c>
      <c r="B8" s="11">
        <v>70</v>
      </c>
      <c r="C8" s="49">
        <v>52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96" t="s">
        <v>809</v>
      </c>
      <c r="J8" s="896" t="s">
        <v>9</v>
      </c>
      <c r="K8" s="11">
        <v>3</v>
      </c>
      <c r="L8" s="11"/>
      <c r="N8" s="15" t="str">
        <f>I8&amp;" "&amp;J8</f>
        <v xml:space="preserve">PARTLY CLOUDY. CHANCE OF SHOWERS.   </v>
      </c>
    </row>
    <row r="9" spans="1:34" ht="16.5" customHeight="1">
      <c r="A9" s="86">
        <f>A8+1</f>
        <v>37064</v>
      </c>
      <c r="B9" s="11">
        <v>74</v>
      </c>
      <c r="C9" s="49">
        <v>51</v>
      </c>
      <c r="D9" s="49">
        <v>6</v>
      </c>
      <c r="E9" s="11" t="s">
        <v>9</v>
      </c>
      <c r="F9" s="11" t="s">
        <v>9</v>
      </c>
      <c r="G9" s="11"/>
      <c r="H9" s="11" t="s">
        <v>9</v>
      </c>
      <c r="I9" s="896" t="s">
        <v>796</v>
      </c>
      <c r="J9" s="896" t="s">
        <v>9</v>
      </c>
      <c r="K9" s="11">
        <v>1</v>
      </c>
      <c r="L9" s="11">
        <v>0</v>
      </c>
      <c r="M9" s="87"/>
      <c r="N9" s="15" t="str">
        <f>I9&amp;" "&amp;J9</f>
        <v xml:space="preserve">SUNNY.  </v>
      </c>
    </row>
    <row r="10" spans="1:34" ht="16.5" customHeight="1">
      <c r="A10" s="86">
        <f>A9+1</f>
        <v>37065</v>
      </c>
      <c r="B10" s="11">
        <v>80</v>
      </c>
      <c r="C10" s="49">
        <v>58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896" t="s">
        <v>810</v>
      </c>
      <c r="J10" s="896" t="s">
        <v>9</v>
      </c>
      <c r="K10" s="11">
        <v>1</v>
      </c>
      <c r="L10" s="11" t="s">
        <v>394</v>
      </c>
      <c r="N10" s="15" t="str">
        <f>I10&amp;" "&amp;J10</f>
        <v xml:space="preserve">MOSTLY SUNNY.  </v>
      </c>
    </row>
    <row r="11" spans="1:34" ht="16.5" customHeight="1">
      <c r="G11"/>
    </row>
    <row r="12" spans="1:34" ht="15.75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544</v>
      </c>
      <c r="B2" s="183">
        <f>PGL_Deliveries!U5/1000</f>
        <v>216.11699999999999</v>
      </c>
      <c r="C2" s="60"/>
      <c r="D2" s="118" t="s">
        <v>310</v>
      </c>
      <c r="E2" s="421">
        <f>Weather_Input!A5</f>
        <v>37060</v>
      </c>
      <c r="F2" s="60"/>
      <c r="H2"/>
      <c r="I2"/>
      <c r="J2"/>
      <c r="K2"/>
      <c r="L2"/>
      <c r="M2"/>
    </row>
    <row r="3" spans="1:13" ht="15">
      <c r="A3" s="97" t="s">
        <v>545</v>
      </c>
      <c r="B3" s="627">
        <f>PGL_Supplies!I7/1000</f>
        <v>0</v>
      </c>
      <c r="C3" s="182"/>
      <c r="D3" s="1061" t="s">
        <v>721</v>
      </c>
      <c r="E3" s="796">
        <f>PGL_Deliveries!T5/1000</f>
        <v>0</v>
      </c>
      <c r="F3" s="181"/>
      <c r="H3"/>
      <c r="I3"/>
      <c r="J3"/>
      <c r="K3"/>
      <c r="L3"/>
      <c r="M3"/>
    </row>
    <row r="4" spans="1:13" ht="15.75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548</v>
      </c>
      <c r="B5" s="151">
        <f>PGL_Deliveries!D5/1000</f>
        <v>0</v>
      </c>
      <c r="C5" s="63"/>
      <c r="D5" s="59" t="s">
        <v>546</v>
      </c>
      <c r="E5" s="151">
        <f>PGL_Deliveries!O5/1000</f>
        <v>1E-3</v>
      </c>
      <c r="F5" s="168"/>
      <c r="H5"/>
      <c r="I5"/>
      <c r="J5"/>
      <c r="K5"/>
      <c r="L5"/>
      <c r="M5"/>
    </row>
    <row r="6" spans="1:13" ht="15.75" thickBot="1">
      <c r="A6" s="179" t="s">
        <v>240</v>
      </c>
      <c r="B6" s="151">
        <f>PGL_Deliveries!I5/1000</f>
        <v>197.86099999999999</v>
      </c>
      <c r="C6" s="166"/>
      <c r="D6" s="59" t="s">
        <v>547</v>
      </c>
      <c r="E6" s="151">
        <f>PGL_Deliveries!P5/1000</f>
        <v>0.80200000000000005</v>
      </c>
      <c r="F6" s="168"/>
      <c r="H6"/>
      <c r="I6"/>
      <c r="J6"/>
      <c r="K6"/>
      <c r="L6"/>
      <c r="M6"/>
    </row>
    <row r="7" spans="1:13" ht="16.5" thickBot="1">
      <c r="A7" s="178" t="s">
        <v>550</v>
      </c>
      <c r="B7" s="224">
        <f>SUM(B5:B6)</f>
        <v>197.86099999999999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701</v>
      </c>
      <c r="B8" s="151">
        <f>PGL_Deliveries!V5/1000</f>
        <v>103.40900000000001</v>
      </c>
      <c r="C8" s="626"/>
      <c r="D8" s="115" t="s">
        <v>549</v>
      </c>
      <c r="E8" s="151">
        <f>PGL_Deliveries!N5/1000</f>
        <v>0.88400000000000001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0.34399999999999997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4.8230000000000004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6.3230000000000004</v>
      </c>
      <c r="C11" s="63"/>
      <c r="D11" s="115" t="s">
        <v>551</v>
      </c>
      <c r="E11" s="151">
        <f>PGL_Deliveries!R5/1000</f>
        <v>1.5880000000000001</v>
      </c>
      <c r="F11" s="168"/>
      <c r="H11"/>
      <c r="I11"/>
      <c r="J11"/>
      <c r="K11"/>
      <c r="L11"/>
      <c r="M11"/>
    </row>
    <row r="12" spans="1:13" ht="15">
      <c r="A12" s="169" t="s">
        <v>552</v>
      </c>
      <c r="B12" s="151">
        <f>PGL_Supplies!J7/1000</f>
        <v>0</v>
      </c>
      <c r="C12" s="63"/>
      <c r="D12" s="115" t="s">
        <v>203</v>
      </c>
      <c r="E12" s="151">
        <f>PGL_Deliveries!G5/1000</f>
        <v>0.16</v>
      </c>
      <c r="F12" s="168"/>
      <c r="H12"/>
      <c r="I12"/>
      <c r="J12"/>
      <c r="K12"/>
      <c r="L12"/>
      <c r="M12"/>
    </row>
    <row r="13" spans="1:13" ht="15">
      <c r="A13" s="169" t="s">
        <v>553</v>
      </c>
      <c r="B13" s="151">
        <f>PGL_Deliveries!Y5/1000+PGL_Deliveries!Z5/1000+PGL_Deliveries!AA5/1000-PGL_Deliveries!BE5/1000-PGL_Deliveries!BF5/1000</f>
        <v>191.03100000000001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8.0950000000000006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-128.97399999999999</v>
      </c>
      <c r="C15" s="63"/>
      <c r="D15" s="59" t="s">
        <v>382</v>
      </c>
      <c r="E15" s="151">
        <f>PGL_Deliveries!K5/1000</f>
        <v>1.9E-2</v>
      </c>
      <c r="F15" s="168"/>
      <c r="H15"/>
      <c r="I15"/>
      <c r="J15"/>
      <c r="K15"/>
      <c r="L15"/>
      <c r="M15"/>
    </row>
    <row r="16" spans="1:13" ht="15">
      <c r="A16" s="169" t="s">
        <v>554</v>
      </c>
      <c r="B16" s="60"/>
      <c r="C16" s="222">
        <f>PGL_Deliveries!AO5/1000</f>
        <v>0</v>
      </c>
      <c r="D16" s="115" t="s">
        <v>209</v>
      </c>
      <c r="E16" s="151">
        <f>PGL_Deliveries!L5/1000</f>
        <v>5.0000000000000001E-3</v>
      </c>
      <c r="F16" s="168"/>
      <c r="H16"/>
      <c r="I16"/>
      <c r="J16"/>
      <c r="K16"/>
      <c r="L16"/>
      <c r="M16"/>
    </row>
    <row r="17" spans="1:13" ht="15.75" thickBot="1">
      <c r="A17" s="167" t="s">
        <v>172</v>
      </c>
      <c r="B17" s="151">
        <f>PGL_Deliveries!AP5/1000</f>
        <v>26.071999999999999</v>
      </c>
      <c r="C17" s="166" t="s">
        <v>9</v>
      </c>
      <c r="D17" s="1094" t="s">
        <v>208</v>
      </c>
      <c r="E17" s="207">
        <f>PGL_Deliveries!M5/1000</f>
        <v>1.5349999999999999</v>
      </c>
      <c r="F17" s="164"/>
      <c r="H17"/>
      <c r="I17"/>
      <c r="J17"/>
      <c r="K17"/>
      <c r="L17"/>
      <c r="M17"/>
    </row>
    <row r="18" spans="1:13" ht="16.5" thickBot="1">
      <c r="A18" s="177" t="s">
        <v>555</v>
      </c>
      <c r="B18" s="890">
        <f>SUM(B8:B17)-C16</f>
        <v>197.86100000000005</v>
      </c>
      <c r="C18" s="166"/>
      <c r="D18" s="176" t="s">
        <v>556</v>
      </c>
      <c r="E18" s="175">
        <f>SUM(E5:E17)</f>
        <v>18.256</v>
      </c>
      <c r="F18" s="164"/>
      <c r="H18"/>
      <c r="I18"/>
      <c r="J18"/>
      <c r="K18"/>
      <c r="L18"/>
      <c r="M18"/>
    </row>
    <row r="19" spans="1:13" ht="15">
      <c r="A19" s="439" t="s">
        <v>704</v>
      </c>
      <c r="B19" s="151">
        <f>PGL_Supplies!X7/1000</f>
        <v>103.4</v>
      </c>
      <c r="C19" s="626"/>
      <c r="D19" s="115" t="s">
        <v>305</v>
      </c>
      <c r="E19" s="151">
        <f>PGL_Deliveries!AI5/1000</f>
        <v>6.0000000000000001E-3</v>
      </c>
      <c r="F19" s="168"/>
      <c r="H19"/>
      <c r="I19"/>
      <c r="J19"/>
      <c r="K19"/>
      <c r="L19"/>
      <c r="M19"/>
    </row>
    <row r="20" spans="1:13" ht="15">
      <c r="A20" s="169" t="s">
        <v>702</v>
      </c>
      <c r="B20" s="151">
        <f>PGL_Supplies!W7/1000</f>
        <v>0</v>
      </c>
      <c r="C20" s="63"/>
      <c r="D20" s="115" t="s">
        <v>175</v>
      </c>
      <c r="E20" s="151">
        <f>PGL_Deliveries!AW5/1000+B40</f>
        <v>1.9382999999999999</v>
      </c>
      <c r="F20" s="168"/>
      <c r="H20"/>
      <c r="I20"/>
      <c r="J20"/>
      <c r="K20"/>
      <c r="L20"/>
      <c r="M20"/>
    </row>
    <row r="21" spans="1:13" ht="16.5" thickBot="1">
      <c r="A21" s="169" t="s">
        <v>705</v>
      </c>
      <c r="C21" s="173">
        <f>PGL_Requirements!I7/1000</f>
        <v>0</v>
      </c>
      <c r="D21" s="625" t="s">
        <v>557</v>
      </c>
      <c r="E21" s="208">
        <f>SUM(E18:E20)</f>
        <v>20.200299999999999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67">
        <f>+B19+B20-C21</f>
        <v>103.4</v>
      </c>
      <c r="C22" s="1060"/>
      <c r="D22" s="246" t="s">
        <v>558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559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715</v>
      </c>
      <c r="B24" s="628"/>
      <c r="C24" s="222">
        <f>PGL_Requirements!T7/1000</f>
        <v>0</v>
      </c>
      <c r="D24" s="60" t="s">
        <v>560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714</v>
      </c>
      <c r="B25" s="151">
        <f>PGL_Supplies!Q7/1000</f>
        <v>0</v>
      </c>
      <c r="C25" s="63"/>
      <c r="D25" s="246" t="s">
        <v>562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564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561</v>
      </c>
      <c r="B27" s="151">
        <f>PGL_Supplies!Z7/1000</f>
        <v>0</v>
      </c>
      <c r="C27" s="63"/>
      <c r="D27" s="246" t="s">
        <v>567</v>
      </c>
      <c r="E27" s="60" t="s">
        <v>9</v>
      </c>
      <c r="F27" s="173">
        <f>PGL_Requirements!N7/1000</f>
        <v>0</v>
      </c>
      <c r="H27"/>
      <c r="I27"/>
      <c r="J27"/>
      <c r="K27"/>
      <c r="L27"/>
      <c r="M27"/>
    </row>
    <row r="28" spans="1:13" ht="15">
      <c r="A28" s="169" t="s">
        <v>563</v>
      </c>
      <c r="B28" s="151">
        <v>0</v>
      </c>
      <c r="C28" s="63"/>
      <c r="D28" s="171" t="s">
        <v>568</v>
      </c>
      <c r="E28" s="151">
        <f>PGL_Deliveries!AR5/1000</f>
        <v>4.4999999999999998E-2</v>
      </c>
      <c r="F28" s="168"/>
      <c r="H28"/>
      <c r="I28"/>
      <c r="J28"/>
      <c r="K28"/>
      <c r="L28"/>
      <c r="M28"/>
    </row>
    <row r="29" spans="1:13" ht="15">
      <c r="A29" s="169" t="s">
        <v>565</v>
      </c>
      <c r="B29" s="1024">
        <f>PGL_Supplies!AC7/1000</f>
        <v>4</v>
      </c>
      <c r="C29" s="63"/>
      <c r="D29" s="246" t="s">
        <v>689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566</v>
      </c>
      <c r="B30" s="151">
        <f>PGL_Supplies!AD7/1000</f>
        <v>0</v>
      </c>
      <c r="C30" s="63"/>
      <c r="D30" s="60" t="s">
        <v>183</v>
      </c>
      <c r="E30" s="151">
        <f>PGL_Supplies!AB7/1000</f>
        <v>20.155000000000001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571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573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569</v>
      </c>
      <c r="B33" s="629">
        <f>(PGL_Deliveries!AB5+PGL_Deliveries!AC5+PGL_Deliveries!AD5)/1000</f>
        <v>0</v>
      </c>
      <c r="C33" s="63"/>
      <c r="D33" s="246" t="s">
        <v>575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570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572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574</v>
      </c>
      <c r="B36" s="151" t="s">
        <v>9</v>
      </c>
      <c r="C36" s="222">
        <f>PGL_Requirements!O7/1000</f>
        <v>129.22</v>
      </c>
      <c r="F36" s="168"/>
      <c r="H36"/>
      <c r="I36"/>
      <c r="J36"/>
      <c r="K36"/>
      <c r="L36"/>
      <c r="M36"/>
    </row>
    <row r="37" spans="1:13" ht="15">
      <c r="A37" s="170" t="s">
        <v>576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577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5" thickBot="1">
      <c r="A39" s="169" t="s">
        <v>195</v>
      </c>
      <c r="B39" s="151">
        <f>PGL_Deliveries!AT5/1000</f>
        <v>0.83599999999999997</v>
      </c>
      <c r="C39" s="63"/>
      <c r="D39" s="209" t="s">
        <v>210</v>
      </c>
      <c r="E39" s="208">
        <f>SUM(E22:E33)-SUM(F23:F38)-E29</f>
        <v>20.200000000000003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578</v>
      </c>
      <c r="E40" s="796"/>
      <c r="F40" s="173">
        <f>PGL_Requirements!J7/1000</f>
        <v>0</v>
      </c>
      <c r="H40"/>
      <c r="I40"/>
      <c r="J40"/>
      <c r="K40"/>
      <c r="L40"/>
      <c r="M40"/>
    </row>
    <row r="41" spans="1:13" ht="15">
      <c r="A41" s="170" t="s">
        <v>579</v>
      </c>
      <c r="B41" s="151">
        <f>PGL_Deliveries!AF5/1000</f>
        <v>0</v>
      </c>
      <c r="C41" s="63"/>
      <c r="D41" s="246" t="s">
        <v>500</v>
      </c>
      <c r="E41" s="797">
        <f>PGL_Supplies!AA7/1000</f>
        <v>211.56700000000001</v>
      </c>
      <c r="F41" s="168"/>
      <c r="H41"/>
      <c r="I41"/>
      <c r="J41"/>
      <c r="K41"/>
      <c r="L41"/>
      <c r="M41"/>
    </row>
    <row r="42" spans="1:13" ht="15">
      <c r="A42" s="169" t="s">
        <v>799</v>
      </c>
      <c r="B42" s="151">
        <f>PGL_Deliveries!BI5/1000</f>
        <v>0</v>
      </c>
      <c r="C42" s="222">
        <f>PGL_Deliveries!BH5/1000</f>
        <v>0</v>
      </c>
      <c r="D42" s="60" t="s">
        <v>373</v>
      </c>
      <c r="E42" s="797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580</v>
      </c>
      <c r="B43" s="151">
        <f>PGL_Deliveries!AW5/1000</f>
        <v>1.9382999999999999</v>
      </c>
      <c r="C43" s="63"/>
      <c r="D43" s="60" t="s">
        <v>503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75" thickBot="1">
      <c r="A44" s="169" t="s">
        <v>698</v>
      </c>
      <c r="B44" s="165"/>
      <c r="C44" s="222">
        <f>PGL_Requirements!Q7/1000</f>
        <v>0.59</v>
      </c>
      <c r="D44" s="60" t="s">
        <v>504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581</v>
      </c>
      <c r="B45" s="60">
        <f>Weather_Input!B5</f>
        <v>91</v>
      </c>
      <c r="C45" s="182"/>
      <c r="D45" s="60" t="s">
        <v>589</v>
      </c>
      <c r="E45" s="797">
        <f>PGL_Supplies!S7/1000</f>
        <v>20</v>
      </c>
      <c r="F45" s="168"/>
    </row>
    <row r="46" spans="1:13" ht="15">
      <c r="A46" s="169" t="s">
        <v>582</v>
      </c>
      <c r="B46" s="234">
        <f>Weather_Input!C5</f>
        <v>73</v>
      </c>
      <c r="C46" s="159"/>
      <c r="D46" s="72" t="s">
        <v>797</v>
      </c>
      <c r="E46" s="60"/>
      <c r="F46" s="173">
        <f>PGL_Deliveries!BE5/1000</f>
        <v>57.738</v>
      </c>
    </row>
    <row r="47" spans="1:13" ht="15">
      <c r="A47" s="170" t="s">
        <v>583</v>
      </c>
      <c r="B47" s="60">
        <f>Weather_Input!E5</f>
        <v>82.7</v>
      </c>
      <c r="C47" s="159"/>
      <c r="D47" s="769" t="s">
        <v>798</v>
      </c>
      <c r="E47" s="67"/>
      <c r="F47" s="1259">
        <f>PGL_Deliveries!BF5/1000</f>
        <v>0</v>
      </c>
    </row>
    <row r="48" spans="1:13" ht="15">
      <c r="A48" s="169" t="s">
        <v>584</v>
      </c>
      <c r="B48" s="223">
        <f>Weather_Input!D5</f>
        <v>15.9</v>
      </c>
      <c r="C48" s="159"/>
      <c r="D48" s="246" t="s">
        <v>231</v>
      </c>
      <c r="E48" s="151">
        <f>PGL_Deliveries!AI5/1000</f>
        <v>6.0000000000000001E-3</v>
      </c>
      <c r="F48" s="158"/>
    </row>
    <row r="49" spans="1:6" ht="15">
      <c r="A49" s="169" t="s">
        <v>585</v>
      </c>
      <c r="B49" s="151">
        <f>PGL_Deliveries!AM5/1000</f>
        <v>1.0289999999999999</v>
      </c>
      <c r="C49" s="159"/>
      <c r="D49" s="60" t="s">
        <v>731</v>
      </c>
      <c r="E49" s="151">
        <f>PGL_Deliveries!AJ5/1000</f>
        <v>6.3230000000000004</v>
      </c>
      <c r="F49" s="158"/>
    </row>
    <row r="50" spans="1:6" ht="15.75" outlineLevel="2" thickBot="1">
      <c r="A50" s="100" t="s">
        <v>586</v>
      </c>
      <c r="B50" s="160"/>
      <c r="C50" s="157"/>
      <c r="D50" s="165" t="s">
        <v>587</v>
      </c>
      <c r="E50" s="207">
        <f>PGL_Deliveries!AK5/1000</f>
        <v>0</v>
      </c>
      <c r="F50" s="438"/>
    </row>
    <row r="51" spans="1:6" ht="15" outlineLevel="2">
      <c r="A51" s="416" t="s">
        <v>588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68" t="s">
        <v>4</v>
      </c>
      <c r="B3" s="239">
        <f>NSG_Deliveries!H5/1000</f>
        <v>36.027000000000001</v>
      </c>
      <c r="C3" s="117"/>
      <c r="D3" s="226" t="s">
        <v>310</v>
      </c>
      <c r="E3" s="424">
        <f>Weather_Input!A5</f>
        <v>37060</v>
      </c>
      <c r="F3" s="117"/>
      <c r="G3"/>
      <c r="J3"/>
      <c r="K3"/>
    </row>
    <row r="4" spans="1:11" ht="15.75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1.381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24.821000000000002</v>
      </c>
      <c r="C7" s="807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26.202000000000002</v>
      </c>
      <c r="C8" s="158"/>
      <c r="D8" s="808" t="s">
        <v>605</v>
      </c>
      <c r="E8" s="802">
        <f>NSG_Deliveries!F5/1000</f>
        <v>9.8249999999999993</v>
      </c>
      <c r="F8" s="801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596</v>
      </c>
      <c r="E9" s="803" t="s">
        <v>9</v>
      </c>
      <c r="F9" s="983">
        <f>NSG_Deliveries!M5/1000</f>
        <v>5.39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85" t="s">
        <v>597</v>
      </c>
      <c r="E10" s="441">
        <f>NSG_Deliveries!N5/1000</f>
        <v>0</v>
      </c>
      <c r="F10" s="804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606</v>
      </c>
      <c r="E11" s="805">
        <f>NSG_Supplies!P7/1000</f>
        <v>15.215</v>
      </c>
      <c r="F11" s="806"/>
      <c r="G11"/>
    </row>
    <row r="12" spans="1:11" ht="15" customHeight="1">
      <c r="A12" s="125" t="s">
        <v>374</v>
      </c>
      <c r="B12" s="215">
        <v>0</v>
      </c>
      <c r="C12" s="129"/>
      <c r="D12" t="s">
        <v>314</v>
      </c>
      <c r="E12" s="237"/>
      <c r="F12" s="787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28.599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2.3969999999999998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0</v>
      </c>
      <c r="C16" s="984"/>
      <c r="D16" s="816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60" t="s">
        <v>9</v>
      </c>
      <c r="B19" s="441" t="s">
        <v>9</v>
      </c>
      <c r="C19" s="440"/>
      <c r="D19" s="228" t="s">
        <v>327</v>
      </c>
      <c r="E19" s="159"/>
      <c r="F19" s="126">
        <f>NSG_Requirements!S7/1000</f>
        <v>0</v>
      </c>
    </row>
    <row r="20" spans="1:8" ht="15" customHeight="1">
      <c r="A20" s="1260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60" t="s">
        <v>9</v>
      </c>
      <c r="B21" s="441" t="s">
        <v>9</v>
      </c>
      <c r="C21" s="440"/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/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/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/>
      <c r="D24" s="227" t="s">
        <v>331</v>
      </c>
      <c r="E24" s="220">
        <f>NSG_Supplies!O7/1000</f>
        <v>0</v>
      </c>
      <c r="F24" s="124"/>
    </row>
    <row r="25" spans="1:8" ht="15" customHeight="1">
      <c r="A25" s="1260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26.202000000000002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89" customWidth="1"/>
    <col min="3" max="3" width="20.6640625" customWidth="1"/>
  </cols>
  <sheetData>
    <row r="1" spans="2:7">
      <c r="E1" s="789" t="s">
        <v>9</v>
      </c>
    </row>
    <row r="2" spans="2:7">
      <c r="B2" s="913" t="s">
        <v>9</v>
      </c>
      <c r="C2" s="913" t="s">
        <v>9</v>
      </c>
      <c r="D2" s="913" t="s">
        <v>158</v>
      </c>
      <c r="E2" s="913" t="s">
        <v>9</v>
      </c>
      <c r="F2" s="913" t="s">
        <v>158</v>
      </c>
      <c r="G2" s="913" t="s">
        <v>9</v>
      </c>
    </row>
    <row r="4" spans="2:7">
      <c r="B4" s="914" t="s">
        <v>158</v>
      </c>
    </row>
    <row r="6" spans="2:7">
      <c r="B6" s="913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3"/>
    </row>
    <row r="8" spans="2:7">
      <c r="B8" s="913" t="s">
        <v>9</v>
      </c>
    </row>
    <row r="9" spans="2:7">
      <c r="B9" s="913"/>
    </row>
    <row r="10" spans="2:7">
      <c r="B10" s="913" t="s">
        <v>9</v>
      </c>
      <c r="C10" t="b">
        <f>TRUE()</f>
        <v>1</v>
      </c>
    </row>
    <row r="11" spans="2:7">
      <c r="B11" s="913" t="s">
        <v>9</v>
      </c>
    </row>
    <row r="12" spans="2:7">
      <c r="B12" s="913" t="s">
        <v>9</v>
      </c>
    </row>
    <row r="13" spans="2:7">
      <c r="B13" s="913"/>
    </row>
    <row r="14" spans="2:7">
      <c r="B14" s="913" t="s">
        <v>9</v>
      </c>
    </row>
    <row r="15" spans="2:7">
      <c r="B15" s="913"/>
    </row>
    <row r="16" spans="2:7">
      <c r="B16" s="913" t="s">
        <v>9</v>
      </c>
    </row>
    <row r="17" spans="2:5">
      <c r="B17" s="913"/>
    </row>
    <row r="18" spans="2:5">
      <c r="B18" s="913" t="s">
        <v>9</v>
      </c>
    </row>
    <row r="19" spans="2:5">
      <c r="B19" s="913"/>
    </row>
    <row r="20" spans="2:5">
      <c r="B20" s="913" t="s">
        <v>9</v>
      </c>
    </row>
    <row r="21" spans="2:5">
      <c r="B21" s="913"/>
    </row>
    <row r="22" spans="2:5">
      <c r="B22" s="913" t="s">
        <v>9</v>
      </c>
    </row>
    <row r="24" spans="2:5">
      <c r="B24" s="913" t="s">
        <v>9</v>
      </c>
    </row>
    <row r="25" spans="2:5">
      <c r="E25" s="913" t="s">
        <v>9</v>
      </c>
    </row>
    <row r="27" spans="2:5">
      <c r="B27" s="913" t="s">
        <v>9</v>
      </c>
    </row>
    <row r="29" spans="2:5">
      <c r="B29" s="913" t="s">
        <v>9</v>
      </c>
    </row>
    <row r="30" spans="2:5">
      <c r="B30" s="913"/>
    </row>
    <row r="31" spans="2:5">
      <c r="B31" s="913" t="s">
        <v>9</v>
      </c>
    </row>
    <row r="32" spans="2:5">
      <c r="B32" s="913"/>
    </row>
    <row r="33" spans="2:2">
      <c r="B33" s="913" t="s">
        <v>9</v>
      </c>
    </row>
    <row r="34" spans="2:2">
      <c r="B34" s="913"/>
    </row>
    <row r="35" spans="2:2">
      <c r="B35" s="913" t="s">
        <v>9</v>
      </c>
    </row>
    <row r="36" spans="2:2">
      <c r="B36" s="913"/>
    </row>
    <row r="37" spans="2:2">
      <c r="B37" s="913" t="s">
        <v>9</v>
      </c>
    </row>
    <row r="38" spans="2:2">
      <c r="B38" s="913"/>
    </row>
    <row r="39" spans="2:2">
      <c r="B39" s="913" t="s">
        <v>9</v>
      </c>
    </row>
    <row r="40" spans="2:2">
      <c r="B40" s="913"/>
    </row>
    <row r="41" spans="2:2">
      <c r="B41" s="913" t="s">
        <v>9</v>
      </c>
    </row>
    <row r="42" spans="2:2">
      <c r="B42" s="913"/>
    </row>
    <row r="43" spans="2:2">
      <c r="B43" s="913" t="s">
        <v>9</v>
      </c>
    </row>
    <row r="44" spans="2:2">
      <c r="B44" s="913"/>
    </row>
    <row r="45" spans="2:2">
      <c r="B45" s="913" t="s">
        <v>9</v>
      </c>
    </row>
    <row r="47" spans="2:2">
      <c r="B47" s="913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2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336</v>
      </c>
      <c r="B1" s="51">
        <f>Weather_Input!A5</f>
        <v>37060</v>
      </c>
      <c r="C1" s="4"/>
    </row>
    <row r="2" spans="1:19">
      <c r="A2" s="109" t="s">
        <v>337</v>
      </c>
      <c r="B2" s="4"/>
      <c r="C2" s="4"/>
    </row>
    <row r="3" spans="1:19" ht="15.75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37059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107400</v>
      </c>
      <c r="O6" s="201">
        <v>0</v>
      </c>
      <c r="P6" s="201">
        <v>51784086</v>
      </c>
      <c r="Q6" s="201">
        <v>15045098</v>
      </c>
      <c r="R6" s="201">
        <v>36738988</v>
      </c>
      <c r="S6" s="201">
        <v>0</v>
      </c>
    </row>
    <row r="7" spans="1:19">
      <c r="A7" s="4">
        <f>B1</f>
        <v>37060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107400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51891486</v>
      </c>
      <c r="Q7">
        <f>IF(O7&gt;0,Q6+O7,Q6)</f>
        <v>15045098</v>
      </c>
      <c r="R7">
        <f>IF(P7&gt;Q7,P7-Q7,0)</f>
        <v>36846388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W1" zoomScale="75" workbookViewId="0">
      <selection activeCell="BE5" sqref="BE5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  <col min="59" max="59" width="4.7773437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3" t="s">
        <v>687</v>
      </c>
      <c r="BE1" t="s">
        <v>688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684</v>
      </c>
      <c r="BC2" t="s">
        <v>685</v>
      </c>
      <c r="BE2" s="1036">
        <v>1</v>
      </c>
      <c r="BF2" s="195" t="s">
        <v>685</v>
      </c>
      <c r="BH2" t="s">
        <v>801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383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383</v>
      </c>
      <c r="U3" s="3" t="s">
        <v>13</v>
      </c>
      <c r="V3" s="3"/>
      <c r="W3" s="109"/>
      <c r="X3" s="1"/>
      <c r="Y3" s="1" t="s">
        <v>501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4" t="s">
        <v>667</v>
      </c>
      <c r="AP3" s="1017"/>
      <c r="AQ3" s="784" t="s">
        <v>668</v>
      </c>
      <c r="AR3" s="1017"/>
      <c r="AS3" s="784" t="s">
        <v>669</v>
      </c>
      <c r="AT3" s="1017"/>
      <c r="AU3" s="428" t="s">
        <v>170</v>
      </c>
      <c r="AV3" s="428" t="s">
        <v>170</v>
      </c>
      <c r="AW3" s="428"/>
      <c r="AX3" s="428" t="s">
        <v>170</v>
      </c>
      <c r="AZ3" s="119" t="s">
        <v>682</v>
      </c>
      <c r="BA3" s="119"/>
      <c r="BB3" s="159"/>
      <c r="BC3" s="119" t="s">
        <v>41</v>
      </c>
      <c r="BE3" s="1036" t="s">
        <v>502</v>
      </c>
      <c r="BH3" t="s">
        <v>800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384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380</v>
      </c>
      <c r="U4" s="3" t="s">
        <v>54</v>
      </c>
      <c r="V4" s="3" t="s">
        <v>699</v>
      </c>
      <c r="W4" s="3" t="s">
        <v>66</v>
      </c>
      <c r="X4" s="3" t="s">
        <v>67</v>
      </c>
      <c r="Y4" s="3" t="s">
        <v>540</v>
      </c>
      <c r="Z4" s="3" t="s">
        <v>541</v>
      </c>
      <c r="AA4" s="3" t="s">
        <v>728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16" t="s">
        <v>665</v>
      </c>
      <c r="AP4" s="3" t="s">
        <v>666</v>
      </c>
      <c r="AQ4" s="3" t="s">
        <v>665</v>
      </c>
      <c r="AR4" s="3" t="s">
        <v>666</v>
      </c>
      <c r="AS4" s="3" t="s">
        <v>665</v>
      </c>
      <c r="AT4" s="3" t="s">
        <v>666</v>
      </c>
      <c r="AU4" s="428" t="s">
        <v>189</v>
      </c>
      <c r="AV4" s="428" t="s">
        <v>697</v>
      </c>
      <c r="AW4" s="428" t="s">
        <v>198</v>
      </c>
      <c r="AX4" s="428" t="s">
        <v>664</v>
      </c>
      <c r="AY4" s="1"/>
      <c r="AZ4" s="1037" t="s">
        <v>40</v>
      </c>
      <c r="BA4" s="1038" t="s">
        <v>41</v>
      </c>
      <c r="BB4" s="1039" t="s">
        <v>681</v>
      </c>
      <c r="BC4" s="1039" t="s">
        <v>686</v>
      </c>
      <c r="BE4" s="195" t="s">
        <v>380</v>
      </c>
      <c r="BF4" s="195" t="s">
        <v>683</v>
      </c>
      <c r="BG4" s="1"/>
      <c r="BH4" s="1" t="s">
        <v>802</v>
      </c>
      <c r="BI4" s="1" t="s">
        <v>803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37060</v>
      </c>
      <c r="B5" s="1">
        <f>(Weather_Input!B5+Weather_Input!C5)/2</f>
        <v>82</v>
      </c>
      <c r="C5" s="897">
        <v>213000</v>
      </c>
      <c r="D5" s="898">
        <v>0</v>
      </c>
      <c r="E5" s="898">
        <v>0</v>
      </c>
      <c r="F5" s="898">
        <v>0</v>
      </c>
      <c r="G5" s="898">
        <v>160</v>
      </c>
      <c r="H5" s="898">
        <v>8095</v>
      </c>
      <c r="I5" s="898">
        <v>197861</v>
      </c>
      <c r="J5" s="898">
        <v>0</v>
      </c>
      <c r="K5" s="898">
        <v>19</v>
      </c>
      <c r="L5" s="898">
        <v>5</v>
      </c>
      <c r="M5" s="898">
        <v>1535</v>
      </c>
      <c r="N5" s="898">
        <v>884</v>
      </c>
      <c r="O5" s="898">
        <v>1</v>
      </c>
      <c r="P5" s="898">
        <v>802</v>
      </c>
      <c r="Q5" s="898">
        <v>344</v>
      </c>
      <c r="R5" s="898">
        <v>1588</v>
      </c>
      <c r="S5" s="903">
        <v>4823</v>
      </c>
      <c r="T5" s="1093">
        <v>0</v>
      </c>
      <c r="U5" s="897">
        <f>SUM(D5:S5)-T5</f>
        <v>216117</v>
      </c>
      <c r="V5" s="897">
        <v>103409</v>
      </c>
      <c r="W5" s="11">
        <v>0</v>
      </c>
      <c r="X5" s="11">
        <v>0</v>
      </c>
      <c r="Y5" s="11">
        <v>0</v>
      </c>
      <c r="Z5" s="11">
        <v>192618</v>
      </c>
      <c r="AA5" s="11">
        <v>56151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6</v>
      </c>
      <c r="AJ5" s="11">
        <v>6323</v>
      </c>
      <c r="AK5" s="11">
        <v>0</v>
      </c>
      <c r="AL5" s="11">
        <v>0</v>
      </c>
      <c r="AM5" s="1">
        <v>1029</v>
      </c>
      <c r="AN5" s="1"/>
      <c r="AO5" s="1">
        <v>0</v>
      </c>
      <c r="AP5" s="1">
        <v>26072</v>
      </c>
      <c r="AQ5" s="1">
        <v>0</v>
      </c>
      <c r="AR5" s="1">
        <v>45</v>
      </c>
      <c r="AS5" s="1">
        <v>0</v>
      </c>
      <c r="AT5" s="1">
        <v>836</v>
      </c>
      <c r="AU5" s="1">
        <v>129220</v>
      </c>
      <c r="AV5" s="1">
        <v>590</v>
      </c>
      <c r="AW5" s="622">
        <f>AU5*0.015</f>
        <v>1938.3</v>
      </c>
      <c r="AX5" s="1">
        <v>0</v>
      </c>
      <c r="AY5" s="1"/>
      <c r="AZ5" s="1">
        <v>88</v>
      </c>
      <c r="BA5" s="1">
        <v>8176</v>
      </c>
      <c r="BB5" s="1">
        <v>0</v>
      </c>
      <c r="BC5" s="1">
        <v>0</v>
      </c>
      <c r="BD5" s="1"/>
      <c r="BE5" s="1">
        <v>57738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37061</v>
      </c>
      <c r="B6" s="915">
        <f>(Weather_Input!B6+Weather_Input!C6)/2</f>
        <v>72.5</v>
      </c>
      <c r="C6" s="897">
        <v>215000</v>
      </c>
      <c r="D6" s="899" t="s">
        <v>9</v>
      </c>
      <c r="E6" s="900"/>
      <c r="F6" s="900"/>
      <c r="G6" s="900"/>
      <c r="H6" s="900"/>
      <c r="I6" s="900" t="s">
        <v>9</v>
      </c>
      <c r="J6" s="900"/>
      <c r="K6" s="900"/>
      <c r="L6" s="900" t="s">
        <v>9</v>
      </c>
      <c r="M6" s="900"/>
      <c r="N6" s="900"/>
      <c r="O6" s="900"/>
      <c r="P6" s="900"/>
      <c r="Q6" s="900"/>
      <c r="R6" s="900"/>
      <c r="S6" s="900"/>
      <c r="T6" s="900"/>
      <c r="U6" s="900"/>
      <c r="V6" s="900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663</v>
      </c>
      <c r="AX6" s="1"/>
      <c r="AY6" s="1"/>
      <c r="AZ6" s="1"/>
      <c r="BA6" s="1"/>
      <c r="BB6" s="1"/>
      <c r="BC6" s="1"/>
      <c r="BD6" s="1"/>
      <c r="BE6" s="1">
        <v>8</v>
      </c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37062</v>
      </c>
      <c r="B7" s="915">
        <f>(Weather_Input!B7+Weather_Input!C7)/2</f>
        <v>65</v>
      </c>
      <c r="C7" s="897">
        <v>225000</v>
      </c>
      <c r="D7" s="899" t="s">
        <v>9</v>
      </c>
      <c r="E7" s="900"/>
      <c r="F7" s="900"/>
      <c r="G7" s="900"/>
      <c r="H7" s="901" t="s">
        <v>75</v>
      </c>
      <c r="I7" s="900"/>
      <c r="J7" s="900"/>
      <c r="K7" s="900"/>
      <c r="L7" s="900"/>
      <c r="M7" s="900"/>
      <c r="N7" s="900"/>
      <c r="O7" s="900"/>
      <c r="P7" s="900"/>
      <c r="Q7" s="900"/>
      <c r="R7" s="900" t="s">
        <v>513</v>
      </c>
      <c r="S7" s="904">
        <v>0</v>
      </c>
      <c r="T7" s="904"/>
      <c r="U7" s="900"/>
      <c r="V7" s="900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37063</v>
      </c>
      <c r="B8" s="915">
        <f>(Weather_Input!B8+Weather_Input!C8)/2</f>
        <v>61</v>
      </c>
      <c r="C8" s="897">
        <v>230000</v>
      </c>
      <c r="D8" s="899" t="s">
        <v>9</v>
      </c>
      <c r="E8" s="900" t="s">
        <v>9</v>
      </c>
      <c r="F8" s="900"/>
      <c r="G8" s="900"/>
      <c r="H8" s="902" t="s">
        <v>76</v>
      </c>
      <c r="I8" s="900"/>
      <c r="J8" s="900"/>
      <c r="K8" s="900"/>
      <c r="L8" s="900"/>
      <c r="M8" s="900"/>
      <c r="N8" s="900"/>
      <c r="O8" s="900"/>
      <c r="P8" s="900"/>
      <c r="Q8" s="900"/>
      <c r="R8" s="900" t="s">
        <v>514</v>
      </c>
      <c r="S8" s="904">
        <v>0</v>
      </c>
      <c r="T8" s="904"/>
      <c r="U8" s="900"/>
      <c r="V8" s="900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37064</v>
      </c>
      <c r="B9" s="915">
        <f>(Weather_Input!B9+Weather_Input!C9)/2</f>
        <v>62.5</v>
      </c>
      <c r="C9" s="897">
        <v>210000</v>
      </c>
      <c r="D9" s="899" t="s">
        <v>9</v>
      </c>
      <c r="E9" s="900"/>
      <c r="F9" s="900"/>
      <c r="G9" s="900"/>
      <c r="H9" s="900" t="s">
        <v>77</v>
      </c>
      <c r="I9" s="900"/>
      <c r="J9" s="900"/>
      <c r="K9" s="900"/>
      <c r="L9" s="900"/>
      <c r="M9" s="900"/>
      <c r="N9" s="900"/>
      <c r="O9" s="900"/>
      <c r="P9" s="900"/>
      <c r="Q9" s="900"/>
      <c r="R9" s="900" t="s">
        <v>515</v>
      </c>
      <c r="S9" s="904">
        <v>0</v>
      </c>
      <c r="T9" s="904"/>
      <c r="U9" s="900"/>
      <c r="V9" s="900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37065</v>
      </c>
      <c r="B10" s="915">
        <f>(Weather_Input!B10+Weather_Input!C10)/2</f>
        <v>69</v>
      </c>
      <c r="C10" s="897">
        <v>185000</v>
      </c>
      <c r="D10" s="899" t="s">
        <v>9</v>
      </c>
      <c r="E10" s="900" t="s">
        <v>9</v>
      </c>
      <c r="F10" s="900"/>
      <c r="G10" s="900"/>
      <c r="H10" s="900" t="s">
        <v>78</v>
      </c>
      <c r="I10" s="900"/>
      <c r="J10" s="900"/>
      <c r="K10" s="900"/>
      <c r="L10" s="900"/>
      <c r="M10" s="900"/>
      <c r="N10" s="900"/>
      <c r="O10" s="900"/>
      <c r="P10" s="900"/>
      <c r="Q10" s="900"/>
      <c r="R10" s="900" t="s">
        <v>518</v>
      </c>
      <c r="S10" s="904">
        <v>0</v>
      </c>
      <c r="T10" s="904"/>
      <c r="U10" s="900"/>
      <c r="V10" s="900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516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517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519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520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521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20" t="s">
        <v>9</v>
      </c>
      <c r="T16" s="82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6"/>
      <c r="T29" s="786"/>
    </row>
    <row r="30" spans="3:92">
      <c r="S30" s="786"/>
      <c r="T30" s="786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A7" sqref="A7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661</v>
      </c>
      <c r="L2" t="s">
        <v>661</v>
      </c>
      <c r="M2" t="s">
        <v>661</v>
      </c>
      <c r="N2" t="s">
        <v>661</v>
      </c>
    </row>
    <row r="3" spans="1:14" ht="15">
      <c r="B3" s="11" t="s">
        <v>37</v>
      </c>
      <c r="C3" s="1" t="s">
        <v>54</v>
      </c>
      <c r="D3" s="3" t="s">
        <v>79</v>
      </c>
      <c r="F3" s="3" t="s">
        <v>600</v>
      </c>
      <c r="G3" s="153" t="s">
        <v>80</v>
      </c>
      <c r="H3" s="3" t="s">
        <v>13</v>
      </c>
      <c r="I3" s="153" t="s">
        <v>81</v>
      </c>
      <c r="K3" t="s">
        <v>662</v>
      </c>
      <c r="L3" t="s">
        <v>662</v>
      </c>
      <c r="M3" t="s">
        <v>662</v>
      </c>
      <c r="N3" t="s">
        <v>662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659</v>
      </c>
      <c r="L4" s="1" t="s">
        <v>660</v>
      </c>
      <c r="M4" s="1" t="s">
        <v>659</v>
      </c>
      <c r="N4" s="1" t="s">
        <v>660</v>
      </c>
    </row>
    <row r="5" spans="1:14">
      <c r="A5" s="12">
        <f>Weather_Input!A5</f>
        <v>37060</v>
      </c>
      <c r="B5" s="1">
        <f>(Weather_Input!B5+Weather_Input!C5)/2</f>
        <v>82</v>
      </c>
      <c r="C5" s="897">
        <v>36000</v>
      </c>
      <c r="D5" s="897">
        <v>0</v>
      </c>
      <c r="E5" s="897">
        <v>1381</v>
      </c>
      <c r="F5" s="897">
        <v>9825</v>
      </c>
      <c r="G5" s="897">
        <v>24821</v>
      </c>
      <c r="H5" s="905">
        <f>SUM(D5:G5)</f>
        <v>36027</v>
      </c>
      <c r="I5" s="1">
        <v>1007</v>
      </c>
      <c r="J5" s="1" t="s">
        <v>9</v>
      </c>
      <c r="K5" s="1">
        <v>2397</v>
      </c>
      <c r="L5" s="1">
        <v>0</v>
      </c>
      <c r="M5" s="1">
        <v>5390</v>
      </c>
      <c r="N5" s="1">
        <v>0</v>
      </c>
    </row>
    <row r="6" spans="1:14">
      <c r="A6" s="12">
        <f>A5+1</f>
        <v>37061</v>
      </c>
      <c r="B6" s="915">
        <f>(Weather_Input!B6+Weather_Input!C6)/2</f>
        <v>72.5</v>
      </c>
      <c r="C6" s="897">
        <v>37000</v>
      </c>
      <c r="D6" s="900" t="s">
        <v>9</v>
      </c>
      <c r="E6" s="900"/>
      <c r="F6" s="900"/>
      <c r="G6" s="900"/>
      <c r="H6" s="15"/>
      <c r="I6" s="1" t="s">
        <v>9</v>
      </c>
      <c r="M6" s="1" t="s">
        <v>9</v>
      </c>
    </row>
    <row r="7" spans="1:14">
      <c r="A7" s="12">
        <f>A6+1</f>
        <v>37062</v>
      </c>
      <c r="B7" s="915">
        <f>(Weather_Input!B7+Weather_Input!C7)/2</f>
        <v>65</v>
      </c>
      <c r="C7" s="897">
        <v>38000</v>
      </c>
      <c r="D7" s="900" t="s">
        <v>9</v>
      </c>
      <c r="E7" s="900" t="s">
        <v>9</v>
      </c>
      <c r="F7" s="900"/>
      <c r="G7" s="900"/>
      <c r="H7" s="15"/>
    </row>
    <row r="8" spans="1:14">
      <c r="A8" s="12">
        <f>A7+1</f>
        <v>37063</v>
      </c>
      <c r="B8" s="915">
        <f>(Weather_Input!B8+Weather_Input!C8)/2</f>
        <v>61</v>
      </c>
      <c r="C8" s="897">
        <v>39000</v>
      </c>
      <c r="D8" s="900" t="s">
        <v>9</v>
      </c>
      <c r="E8" s="900"/>
      <c r="F8" s="900"/>
      <c r="G8" s="900"/>
      <c r="H8" s="15"/>
    </row>
    <row r="9" spans="1:14">
      <c r="A9" s="12">
        <f>A8+1</f>
        <v>37064</v>
      </c>
      <c r="B9" s="915">
        <f>(Weather_Input!B9+Weather_Input!C9)/2</f>
        <v>62.5</v>
      </c>
      <c r="C9" s="897">
        <v>36000</v>
      </c>
      <c r="D9" s="900" t="s">
        <v>9</v>
      </c>
      <c r="E9" s="900"/>
      <c r="F9" s="900"/>
      <c r="G9" s="900"/>
      <c r="H9" s="15"/>
    </row>
    <row r="10" spans="1:14">
      <c r="A10" s="12">
        <f>A9+1</f>
        <v>37065</v>
      </c>
      <c r="B10" s="915">
        <f>(Weather_Input!B10+Weather_Input!C10)/2</f>
        <v>69</v>
      </c>
      <c r="C10" s="897">
        <v>33000</v>
      </c>
      <c r="D10" s="900" t="s">
        <v>9</v>
      </c>
      <c r="E10" s="900"/>
      <c r="F10" s="900"/>
      <c r="G10" s="900"/>
      <c r="H10" s="15"/>
    </row>
    <row r="11" spans="1:14">
      <c r="A11" s="1" t="s">
        <v>158</v>
      </c>
      <c r="C11" s="1117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topLeftCell="D1" zoomScale="75" workbookViewId="0">
      <selection activeCell="O7" sqref="O7"/>
    </sheetView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116">
        <v>1</v>
      </c>
      <c r="H4" s="3" t="s">
        <v>1</v>
      </c>
      <c r="I4" s="3" t="s">
        <v>707</v>
      </c>
      <c r="J4" s="3" t="s">
        <v>683</v>
      </c>
      <c r="L4" s="3" t="s">
        <v>790</v>
      </c>
      <c r="M4" s="3" t="s">
        <v>817</v>
      </c>
      <c r="N4" s="58"/>
      <c r="O4" s="65"/>
      <c r="P4" s="65"/>
      <c r="T4" s="1251" t="s">
        <v>811</v>
      </c>
      <c r="U4" s="1060"/>
      <c r="V4" s="1213" t="s">
        <v>767</v>
      </c>
      <c r="W4" s="1214"/>
      <c r="X4" s="1215"/>
      <c r="Y4" s="53"/>
      <c r="Z4" s="53"/>
      <c r="AA4" s="53"/>
      <c r="AB4" s="55" t="s">
        <v>89</v>
      </c>
      <c r="AC4" s="53"/>
      <c r="AD4" s="53"/>
      <c r="AE4" s="72"/>
      <c r="AF4" s="3" t="s">
        <v>396</v>
      </c>
    </row>
    <row r="5" spans="1:88" s="1" customFormat="1" ht="12.75">
      <c r="B5" s="66" t="s">
        <v>90</v>
      </c>
      <c r="E5" s="247"/>
      <c r="F5" s="66" t="s">
        <v>9</v>
      </c>
      <c r="G5" s="794" t="s">
        <v>788</v>
      </c>
      <c r="H5" s="107" t="s">
        <v>679</v>
      </c>
      <c r="I5" s="54" t="s">
        <v>699</v>
      </c>
      <c r="J5" s="3" t="s">
        <v>736</v>
      </c>
      <c r="L5" s="3" t="s">
        <v>791</v>
      </c>
      <c r="M5" s="56" t="s">
        <v>818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768</v>
      </c>
      <c r="W5" s="56" t="s">
        <v>771</v>
      </c>
      <c r="X5" s="3" t="s">
        <v>772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2.75">
      <c r="A6" s="67"/>
      <c r="B6" s="68" t="s">
        <v>94</v>
      </c>
      <c r="C6" s="54" t="s">
        <v>89</v>
      </c>
      <c r="D6" s="54" t="s">
        <v>396</v>
      </c>
      <c r="E6" s="248" t="s">
        <v>92</v>
      </c>
      <c r="F6" s="54" t="s">
        <v>95</v>
      </c>
      <c r="G6" s="795" t="s">
        <v>789</v>
      </c>
      <c r="H6" s="1018" t="s">
        <v>680</v>
      </c>
      <c r="I6" s="54" t="s">
        <v>706</v>
      </c>
      <c r="J6" s="54" t="s">
        <v>735</v>
      </c>
      <c r="K6" s="54" t="s">
        <v>783</v>
      </c>
      <c r="L6" s="54" t="s">
        <v>67</v>
      </c>
      <c r="M6" s="54" t="s">
        <v>816</v>
      </c>
      <c r="N6" s="81" t="s">
        <v>87</v>
      </c>
      <c r="O6" s="54" t="s">
        <v>58</v>
      </c>
      <c r="P6" s="54" t="s">
        <v>97</v>
      </c>
      <c r="Q6" s="54" t="s">
        <v>694</v>
      </c>
      <c r="R6" s="54" t="s">
        <v>99</v>
      </c>
      <c r="S6" s="54" t="s">
        <v>676</v>
      </c>
      <c r="T6" s="54" t="s">
        <v>785</v>
      </c>
      <c r="U6" s="68" t="s">
        <v>812</v>
      </c>
      <c r="V6" s="1216" t="s">
        <v>769</v>
      </c>
      <c r="W6" s="1216" t="s">
        <v>770</v>
      </c>
      <c r="X6" s="54">
        <v>9</v>
      </c>
      <c r="Y6" s="54" t="s">
        <v>66</v>
      </c>
      <c r="Z6" s="54" t="s">
        <v>89</v>
      </c>
      <c r="AA6" s="54" t="s">
        <v>396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396</v>
      </c>
    </row>
    <row r="7" spans="1:88" s="1" customFormat="1" ht="12.75">
      <c r="A7" s="821">
        <f>Weather_Input!A5</f>
        <v>37060</v>
      </c>
      <c r="B7" s="906">
        <v>0</v>
      </c>
      <c r="C7" s="620">
        <v>0</v>
      </c>
      <c r="D7" s="620">
        <v>0</v>
      </c>
      <c r="E7" s="906">
        <v>4000</v>
      </c>
      <c r="F7" s="906">
        <v>0</v>
      </c>
      <c r="G7" s="908">
        <v>56151</v>
      </c>
      <c r="H7" s="619">
        <v>0</v>
      </c>
      <c r="I7" s="619">
        <v>0</v>
      </c>
      <c r="J7" s="620">
        <v>0</v>
      </c>
      <c r="K7" s="619">
        <v>0</v>
      </c>
      <c r="L7" s="620">
        <v>0</v>
      </c>
      <c r="M7" s="620">
        <v>0</v>
      </c>
      <c r="N7" s="621">
        <v>0</v>
      </c>
      <c r="O7" s="620">
        <v>129220</v>
      </c>
      <c r="P7" s="622">
        <f t="shared" ref="P7:P12" si="0">O7*0.015</f>
        <v>1938.3</v>
      </c>
      <c r="Q7" s="620">
        <v>590</v>
      </c>
      <c r="R7" s="620">
        <v>0</v>
      </c>
      <c r="S7" s="620">
        <v>0</v>
      </c>
      <c r="T7" s="619">
        <v>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21">
        <f>Weather_Input!A5</f>
        <v>37060</v>
      </c>
    </row>
    <row r="8" spans="1:88" s="1" customFormat="1" ht="12.75">
      <c r="A8" s="821">
        <f>A7+1</f>
        <v>37061</v>
      </c>
      <c r="B8" s="906">
        <v>0</v>
      </c>
      <c r="C8" s="620">
        <v>0</v>
      </c>
      <c r="D8" s="620">
        <v>0</v>
      </c>
      <c r="E8" s="906">
        <v>4000</v>
      </c>
      <c r="F8" s="906">
        <v>0</v>
      </c>
      <c r="G8" s="908">
        <v>18425</v>
      </c>
      <c r="H8" s="619">
        <v>0</v>
      </c>
      <c r="I8" s="619">
        <v>0</v>
      </c>
      <c r="J8" s="620">
        <v>0</v>
      </c>
      <c r="K8" s="619">
        <v>0</v>
      </c>
      <c r="L8" s="620">
        <v>0</v>
      </c>
      <c r="M8" s="620">
        <v>0</v>
      </c>
      <c r="N8" s="621">
        <v>0</v>
      </c>
      <c r="O8" s="620">
        <v>135000</v>
      </c>
      <c r="P8" s="622">
        <f t="shared" si="0"/>
        <v>2025</v>
      </c>
      <c r="Q8" s="620">
        <v>500</v>
      </c>
      <c r="R8" s="620">
        <v>0</v>
      </c>
      <c r="S8" s="620">
        <v>0</v>
      </c>
      <c r="T8" s="619">
        <v>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21">
        <f>AI7+1</f>
        <v>37061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2.75">
      <c r="A9" s="821">
        <f>A8+1</f>
        <v>37062</v>
      </c>
      <c r="B9" s="906">
        <v>0</v>
      </c>
      <c r="C9" s="620">
        <v>0</v>
      </c>
      <c r="D9" s="620">
        <v>0</v>
      </c>
      <c r="E9" s="906">
        <v>4000</v>
      </c>
      <c r="F9" s="906">
        <v>0</v>
      </c>
      <c r="G9" s="908">
        <v>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135000</v>
      </c>
      <c r="P9" s="622">
        <f t="shared" si="0"/>
        <v>2025</v>
      </c>
      <c r="Q9" s="620">
        <v>500</v>
      </c>
      <c r="R9" s="620">
        <v>0</v>
      </c>
      <c r="S9" s="620">
        <v>0</v>
      </c>
      <c r="T9" s="619">
        <v>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21">
        <f>AI8+1</f>
        <v>37062</v>
      </c>
      <c r="AM9" s="619"/>
    </row>
    <row r="10" spans="1:88" s="1" customFormat="1" ht="12.75">
      <c r="A10" s="821">
        <f>A9+1</f>
        <v>37063</v>
      </c>
      <c r="B10" s="906">
        <v>0</v>
      </c>
      <c r="C10" s="620">
        <v>0</v>
      </c>
      <c r="D10" s="620">
        <v>0</v>
      </c>
      <c r="E10" s="906">
        <v>4000</v>
      </c>
      <c r="F10" s="906">
        <v>0</v>
      </c>
      <c r="G10" s="908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135000</v>
      </c>
      <c r="P10" s="622">
        <f t="shared" si="0"/>
        <v>2025</v>
      </c>
      <c r="Q10" s="620">
        <v>500</v>
      </c>
      <c r="R10" s="620">
        <v>0</v>
      </c>
      <c r="S10" s="620">
        <v>0</v>
      </c>
      <c r="T10" s="619">
        <v>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21">
        <f>AI9+1</f>
        <v>37063</v>
      </c>
    </row>
    <row r="11" spans="1:88" s="1" customFormat="1" ht="12.75">
      <c r="A11" s="821">
        <f>A10+1</f>
        <v>37064</v>
      </c>
      <c r="B11" s="906">
        <v>0</v>
      </c>
      <c r="C11" s="620">
        <v>0</v>
      </c>
      <c r="D11" s="620">
        <v>0</v>
      </c>
      <c r="E11" s="906">
        <v>4000</v>
      </c>
      <c r="F11" s="906">
        <v>0</v>
      </c>
      <c r="G11" s="908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135000</v>
      </c>
      <c r="P11" s="622">
        <f t="shared" si="0"/>
        <v>2025</v>
      </c>
      <c r="Q11" s="620">
        <v>500</v>
      </c>
      <c r="R11" s="620">
        <v>0</v>
      </c>
      <c r="S11" s="620">
        <v>0</v>
      </c>
      <c r="T11" s="619">
        <v>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21">
        <f>AI10+1</f>
        <v>37064</v>
      </c>
    </row>
    <row r="12" spans="1:88" s="1" customFormat="1" ht="12.75">
      <c r="A12" s="821">
        <f>A11+1</f>
        <v>37065</v>
      </c>
      <c r="B12" s="906">
        <v>0</v>
      </c>
      <c r="C12" s="620">
        <v>0</v>
      </c>
      <c r="D12" s="620">
        <v>0</v>
      </c>
      <c r="E12" s="906">
        <v>4000</v>
      </c>
      <c r="F12" s="906">
        <v>0</v>
      </c>
      <c r="G12" s="908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135000</v>
      </c>
      <c r="P12" s="622">
        <f t="shared" si="0"/>
        <v>2025</v>
      </c>
      <c r="Q12" s="620">
        <v>500</v>
      </c>
      <c r="R12" s="620">
        <v>0</v>
      </c>
      <c r="S12" s="620">
        <v>0</v>
      </c>
      <c r="T12" s="619">
        <v>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21">
        <f>AI11+1</f>
        <v>37065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topLeftCell="C1" zoomScale="75" workbookViewId="0">
      <selection activeCell="N7" sqref="N7"/>
    </sheetView>
  </sheetViews>
  <sheetFormatPr defaultColWidth="8.77734375" defaultRowHeight="12.75"/>
  <cols>
    <col min="1" max="15" width="8.77734375" style="1" customWidth="1"/>
    <col min="16" max="16" width="9.5546875" style="1" customWidth="1"/>
    <col min="17" max="18" width="8.77734375" style="1" customWidth="1"/>
    <col min="19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817</v>
      </c>
      <c r="Q4" s="1251" t="s">
        <v>787</v>
      </c>
      <c r="R4" s="1060"/>
      <c r="S4" s="794" t="s">
        <v>599</v>
      </c>
      <c r="U4" s="3" t="s">
        <v>718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815</v>
      </c>
      <c r="N5" s="3" t="s">
        <v>9</v>
      </c>
      <c r="O5" s="3" t="s">
        <v>9</v>
      </c>
      <c r="P5" s="3" t="s">
        <v>6</v>
      </c>
      <c r="Q5" s="107" t="s">
        <v>785</v>
      </c>
      <c r="R5" s="1252" t="s">
        <v>786</v>
      </c>
      <c r="S5" s="794" t="s">
        <v>380</v>
      </c>
      <c r="T5" s="107" t="s">
        <v>679</v>
      </c>
      <c r="U5" s="3" t="s">
        <v>716</v>
      </c>
      <c r="V5" s="3"/>
      <c r="W5" s="59" t="s">
        <v>699</v>
      </c>
      <c r="X5" s="63"/>
      <c r="Y5" s="3"/>
      <c r="Z5" s="3"/>
      <c r="AA5" s="3"/>
      <c r="AD5" s="66" t="s">
        <v>472</v>
      </c>
    </row>
    <row r="6" spans="1:36">
      <c r="B6" s="54" t="s">
        <v>105</v>
      </c>
      <c r="C6" s="54" t="s">
        <v>89</v>
      </c>
      <c r="D6" s="54" t="s">
        <v>396</v>
      </c>
      <c r="E6" s="54" t="s">
        <v>380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655</v>
      </c>
      <c r="L6" s="57" t="s">
        <v>58</v>
      </c>
      <c r="M6" s="54" t="s">
        <v>816</v>
      </c>
      <c r="N6" s="54" t="s">
        <v>9</v>
      </c>
      <c r="O6" s="54" t="s">
        <v>9</v>
      </c>
      <c r="P6" s="1071" t="s">
        <v>5</v>
      </c>
      <c r="Q6" s="1019" t="s">
        <v>87</v>
      </c>
      <c r="R6" s="1019" t="s">
        <v>87</v>
      </c>
      <c r="S6" s="795" t="s">
        <v>737</v>
      </c>
      <c r="T6" s="1019" t="s">
        <v>680</v>
      </c>
      <c r="U6" s="54" t="s">
        <v>717</v>
      </c>
      <c r="V6" s="54" t="s">
        <v>9</v>
      </c>
      <c r="W6" s="1059" t="s">
        <v>703</v>
      </c>
      <c r="X6" s="68" t="s">
        <v>699</v>
      </c>
      <c r="Y6" s="54" t="s">
        <v>66</v>
      </c>
      <c r="Z6" s="54" t="s">
        <v>89</v>
      </c>
      <c r="AA6" s="54" t="s">
        <v>396</v>
      </c>
      <c r="AB6" s="54" t="s">
        <v>36</v>
      </c>
      <c r="AC6" s="54" t="s">
        <v>92</v>
      </c>
      <c r="AD6" s="68" t="s">
        <v>471</v>
      </c>
    </row>
    <row r="7" spans="1:36">
      <c r="A7" s="821">
        <f>Weather_Input!A5</f>
        <v>37060</v>
      </c>
      <c r="B7" s="622">
        <v>26072</v>
      </c>
      <c r="C7" s="622">
        <v>0</v>
      </c>
      <c r="D7" s="622">
        <v>0</v>
      </c>
      <c r="E7" s="622">
        <v>0</v>
      </c>
      <c r="F7" s="906">
        <v>0</v>
      </c>
      <c r="G7" s="620">
        <v>836</v>
      </c>
      <c r="H7" s="620">
        <v>6323</v>
      </c>
      <c r="I7" s="620">
        <v>0</v>
      </c>
      <c r="J7" s="909">
        <v>0</v>
      </c>
      <c r="K7" s="621">
        <v>45</v>
      </c>
      <c r="L7" s="910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9">
        <v>0</v>
      </c>
      <c r="S7" s="1254">
        <v>20000</v>
      </c>
      <c r="T7" s="620">
        <v>0</v>
      </c>
      <c r="U7" s="621">
        <v>133160</v>
      </c>
      <c r="V7" s="621">
        <v>0</v>
      </c>
      <c r="W7" s="619">
        <v>0</v>
      </c>
      <c r="X7" s="909">
        <v>103400</v>
      </c>
      <c r="Y7" s="621">
        <v>200</v>
      </c>
      <c r="Z7" s="1">
        <v>0</v>
      </c>
      <c r="AA7" s="619">
        <v>211567</v>
      </c>
      <c r="AB7" s="619">
        <v>20155</v>
      </c>
      <c r="AC7" s="619">
        <v>4000</v>
      </c>
      <c r="AD7" s="909">
        <v>0</v>
      </c>
      <c r="AE7" s="51">
        <f>Weather_Input!A5</f>
        <v>37060</v>
      </c>
      <c r="AH7" s="619"/>
      <c r="AI7" s="619"/>
      <c r="AJ7" s="619"/>
    </row>
    <row r="8" spans="1:36">
      <c r="A8" s="821">
        <f>A7+1</f>
        <v>37061</v>
      </c>
      <c r="B8" s="622">
        <v>20000</v>
      </c>
      <c r="C8" s="622">
        <v>0</v>
      </c>
      <c r="D8" s="622">
        <v>0</v>
      </c>
      <c r="E8" s="622">
        <v>0</v>
      </c>
      <c r="F8" s="906">
        <v>0</v>
      </c>
      <c r="G8" s="620">
        <v>1000</v>
      </c>
      <c r="H8" s="620">
        <v>15000</v>
      </c>
      <c r="I8" s="620">
        <v>0</v>
      </c>
      <c r="J8" s="909">
        <v>0</v>
      </c>
      <c r="K8" s="621">
        <v>20140</v>
      </c>
      <c r="L8" s="910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9">
        <v>0</v>
      </c>
      <c r="S8" s="1254">
        <v>34334</v>
      </c>
      <c r="T8" s="620">
        <v>0</v>
      </c>
      <c r="U8" s="621">
        <v>122530</v>
      </c>
      <c r="V8" s="621">
        <v>0</v>
      </c>
      <c r="W8" s="619">
        <v>0</v>
      </c>
      <c r="X8" s="909">
        <v>89603</v>
      </c>
      <c r="Y8" s="621">
        <v>200</v>
      </c>
      <c r="Z8" s="1">
        <v>0</v>
      </c>
      <c r="AA8" s="619">
        <v>167271</v>
      </c>
      <c r="AB8" s="619">
        <v>31556</v>
      </c>
      <c r="AC8" s="619">
        <v>4000</v>
      </c>
      <c r="AD8" s="909">
        <v>0</v>
      </c>
      <c r="AE8" s="821">
        <f>AE7+1</f>
        <v>37061</v>
      </c>
      <c r="AH8" s="619"/>
      <c r="AI8" s="619"/>
      <c r="AJ8" s="619"/>
    </row>
    <row r="9" spans="1:36" s="619" customFormat="1">
      <c r="A9" s="821">
        <f>A8+1</f>
        <v>37062</v>
      </c>
      <c r="B9" s="622">
        <v>0</v>
      </c>
      <c r="C9" s="622">
        <v>0</v>
      </c>
      <c r="D9" s="622">
        <v>0</v>
      </c>
      <c r="E9" s="622">
        <v>0</v>
      </c>
      <c r="F9" s="906">
        <v>0</v>
      </c>
      <c r="G9" s="620">
        <v>1000</v>
      </c>
      <c r="H9" s="620">
        <v>15000</v>
      </c>
      <c r="I9" s="620">
        <v>0</v>
      </c>
      <c r="J9" s="909">
        <v>0</v>
      </c>
      <c r="K9" s="621">
        <v>0</v>
      </c>
      <c r="L9" s="910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9">
        <v>0</v>
      </c>
      <c r="S9" s="1254">
        <v>2000</v>
      </c>
      <c r="T9" s="620">
        <v>0</v>
      </c>
      <c r="U9" s="621">
        <v>122530</v>
      </c>
      <c r="V9" s="621">
        <v>0</v>
      </c>
      <c r="W9" s="619">
        <v>0</v>
      </c>
      <c r="X9" s="909">
        <v>89603</v>
      </c>
      <c r="Y9" s="621">
        <v>200</v>
      </c>
      <c r="Z9" s="1">
        <v>0</v>
      </c>
      <c r="AA9" s="619">
        <v>167271</v>
      </c>
      <c r="AB9" s="619">
        <v>31556</v>
      </c>
      <c r="AC9" s="619">
        <v>4000</v>
      </c>
      <c r="AD9" s="909">
        <v>0</v>
      </c>
      <c r="AE9" s="821">
        <f>AE8+1</f>
        <v>37062</v>
      </c>
    </row>
    <row r="10" spans="1:36">
      <c r="A10" s="821">
        <f>A9+1</f>
        <v>37063</v>
      </c>
      <c r="B10" s="622">
        <v>0</v>
      </c>
      <c r="C10" s="622">
        <v>0</v>
      </c>
      <c r="D10" s="622">
        <v>0</v>
      </c>
      <c r="E10" s="622">
        <v>0</v>
      </c>
      <c r="F10" s="906">
        <v>0</v>
      </c>
      <c r="G10" s="620">
        <v>1000</v>
      </c>
      <c r="H10" s="620">
        <v>15000</v>
      </c>
      <c r="I10" s="620">
        <v>0</v>
      </c>
      <c r="J10" s="909">
        <v>0</v>
      </c>
      <c r="K10" s="621">
        <v>0</v>
      </c>
      <c r="L10" s="910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9">
        <v>0</v>
      </c>
      <c r="S10" s="1254">
        <v>0</v>
      </c>
      <c r="T10" s="620">
        <v>0</v>
      </c>
      <c r="U10" s="621">
        <v>122530</v>
      </c>
      <c r="V10" s="621">
        <v>0</v>
      </c>
      <c r="W10" s="619">
        <v>0</v>
      </c>
      <c r="X10" s="909">
        <v>89603</v>
      </c>
      <c r="Y10" s="621">
        <v>200</v>
      </c>
      <c r="Z10" s="1">
        <v>0</v>
      </c>
      <c r="AA10" s="619">
        <v>167271</v>
      </c>
      <c r="AB10" s="619">
        <v>31556</v>
      </c>
      <c r="AC10" s="619">
        <v>4000</v>
      </c>
      <c r="AD10" s="909">
        <v>0</v>
      </c>
      <c r="AE10" s="821">
        <f>AE9+1</f>
        <v>37063</v>
      </c>
      <c r="AH10" s="619"/>
      <c r="AI10" s="619"/>
      <c r="AJ10" s="619"/>
    </row>
    <row r="11" spans="1:36">
      <c r="A11" s="821">
        <f>A10+1</f>
        <v>37064</v>
      </c>
      <c r="B11" s="622">
        <v>0</v>
      </c>
      <c r="C11" s="622">
        <v>0</v>
      </c>
      <c r="D11" s="622">
        <v>0</v>
      </c>
      <c r="E11" s="622">
        <v>0</v>
      </c>
      <c r="F11" s="906">
        <v>0</v>
      </c>
      <c r="G11" s="620">
        <v>1000</v>
      </c>
      <c r="H11" s="620">
        <v>15000</v>
      </c>
      <c r="I11" s="620">
        <v>0</v>
      </c>
      <c r="J11" s="909">
        <v>0</v>
      </c>
      <c r="K11" s="621">
        <v>0</v>
      </c>
      <c r="L11" s="910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9">
        <v>0</v>
      </c>
      <c r="S11" s="1254">
        <v>0</v>
      </c>
      <c r="T11" s="620">
        <v>0</v>
      </c>
      <c r="U11" s="621">
        <v>122530</v>
      </c>
      <c r="V11" s="621">
        <v>0</v>
      </c>
      <c r="W11" s="619">
        <v>0</v>
      </c>
      <c r="X11" s="909">
        <v>89603</v>
      </c>
      <c r="Y11" s="621">
        <v>200</v>
      </c>
      <c r="Z11" s="1">
        <v>0</v>
      </c>
      <c r="AA11" s="619">
        <v>167271</v>
      </c>
      <c r="AB11" s="619">
        <v>31556</v>
      </c>
      <c r="AC11" s="619">
        <v>4000</v>
      </c>
      <c r="AD11" s="909">
        <v>0</v>
      </c>
      <c r="AE11" s="821">
        <f>AE10+1</f>
        <v>37064</v>
      </c>
    </row>
    <row r="12" spans="1:36">
      <c r="A12" s="821">
        <f>A11+1</f>
        <v>37065</v>
      </c>
      <c r="B12" s="622">
        <v>0</v>
      </c>
      <c r="C12" s="622">
        <v>0</v>
      </c>
      <c r="D12" s="622">
        <v>0</v>
      </c>
      <c r="E12" s="622">
        <v>0</v>
      </c>
      <c r="F12" s="906">
        <v>0</v>
      </c>
      <c r="G12" s="620">
        <v>1000</v>
      </c>
      <c r="H12" s="620">
        <v>15000</v>
      </c>
      <c r="I12" s="620">
        <v>0</v>
      </c>
      <c r="J12" s="909">
        <v>0</v>
      </c>
      <c r="K12" s="621">
        <v>0</v>
      </c>
      <c r="L12" s="910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9">
        <v>0</v>
      </c>
      <c r="S12" s="1254">
        <v>0</v>
      </c>
      <c r="T12" s="620">
        <v>0</v>
      </c>
      <c r="U12" s="621">
        <v>122530</v>
      </c>
      <c r="V12" s="621">
        <v>0</v>
      </c>
      <c r="W12" s="619">
        <v>0</v>
      </c>
      <c r="X12" s="909">
        <v>89603</v>
      </c>
      <c r="Y12" s="621">
        <v>200</v>
      </c>
      <c r="Z12" s="1">
        <v>0</v>
      </c>
      <c r="AA12" s="619">
        <v>167271</v>
      </c>
      <c r="AB12" s="619">
        <v>31556</v>
      </c>
      <c r="AC12" s="619">
        <v>4000</v>
      </c>
      <c r="AD12" s="909">
        <v>0</v>
      </c>
      <c r="AE12" s="821">
        <f>AE11+1</f>
        <v>37065</v>
      </c>
    </row>
    <row r="13" spans="1:36">
      <c r="F13" s="1" t="s">
        <v>9</v>
      </c>
      <c r="H13" s="11"/>
      <c r="O13" s="1" t="s">
        <v>9</v>
      </c>
      <c r="S13" s="1253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H7" sqref="H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2.75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498</v>
      </c>
      <c r="AE5" s="53" t="s">
        <v>9</v>
      </c>
    </row>
    <row r="6" spans="1:128" s="1" customFormat="1" ht="12.75">
      <c r="A6" s="67"/>
      <c r="B6" s="68" t="s">
        <v>380</v>
      </c>
      <c r="C6" s="54" t="s">
        <v>36</v>
      </c>
      <c r="D6" s="54" t="s">
        <v>66</v>
      </c>
      <c r="E6" s="54" t="s">
        <v>89</v>
      </c>
      <c r="F6" s="54" t="s">
        <v>396</v>
      </c>
      <c r="G6" s="57" t="s">
        <v>117</v>
      </c>
      <c r="H6" s="54" t="s">
        <v>655</v>
      </c>
      <c r="I6" s="54" t="s">
        <v>96</v>
      </c>
      <c r="J6" s="54" t="s">
        <v>87</v>
      </c>
      <c r="K6" s="54" t="s">
        <v>530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497</v>
      </c>
    </row>
    <row r="7" spans="1:128" s="1" customFormat="1" ht="12.75">
      <c r="A7" s="822">
        <f>Weather_Input!A5</f>
        <v>37060</v>
      </c>
      <c r="B7" s="906">
        <v>0</v>
      </c>
      <c r="C7" s="620">
        <v>0</v>
      </c>
      <c r="D7" s="620">
        <v>0</v>
      </c>
      <c r="E7" s="620">
        <v>0</v>
      </c>
      <c r="F7" s="620">
        <v>0</v>
      </c>
      <c r="G7" s="910">
        <v>0</v>
      </c>
      <c r="H7" s="620">
        <v>2397</v>
      </c>
      <c r="I7" s="907">
        <v>7197</v>
      </c>
      <c r="J7" s="907">
        <v>5390</v>
      </c>
      <c r="K7" s="623">
        <v>0</v>
      </c>
      <c r="L7" s="911">
        <v>0</v>
      </c>
      <c r="M7" s="911">
        <v>0</v>
      </c>
      <c r="N7" s="911">
        <v>0</v>
      </c>
      <c r="O7" s="911">
        <v>0</v>
      </c>
      <c r="P7" s="620">
        <v>0</v>
      </c>
      <c r="Q7" s="911">
        <v>0</v>
      </c>
      <c r="R7" s="620">
        <v>0</v>
      </c>
      <c r="S7" s="823">
        <v>0</v>
      </c>
      <c r="T7" s="620">
        <v>0</v>
      </c>
      <c r="U7" s="620">
        <v>0</v>
      </c>
      <c r="V7" s="823">
        <v>0</v>
      </c>
      <c r="W7" s="620">
        <v>0</v>
      </c>
      <c r="X7" s="620">
        <v>0</v>
      </c>
      <c r="Y7" s="823">
        <v>0</v>
      </c>
      <c r="Z7" s="620">
        <v>0</v>
      </c>
      <c r="AA7" s="620">
        <v>0</v>
      </c>
      <c r="AB7" s="910">
        <v>0</v>
      </c>
      <c r="AC7" s="620">
        <v>0</v>
      </c>
      <c r="AD7" s="620">
        <v>0</v>
      </c>
      <c r="AE7" s="620">
        <v>0</v>
      </c>
      <c r="AF7" s="821">
        <f>Weather_Input!A5</f>
        <v>37060</v>
      </c>
      <c r="AG7" s="619"/>
      <c r="AH7" s="619"/>
      <c r="AI7" s="619"/>
      <c r="AJ7" s="619"/>
      <c r="AK7" s="619"/>
    </row>
    <row r="8" spans="1:128" s="1" customFormat="1" ht="12.75">
      <c r="A8" s="822">
        <f>Weather_Input!A6</f>
        <v>37061</v>
      </c>
      <c r="B8" s="906">
        <v>0</v>
      </c>
      <c r="C8" s="620">
        <v>0</v>
      </c>
      <c r="D8" s="620">
        <v>0</v>
      </c>
      <c r="E8" s="620">
        <v>0</v>
      </c>
      <c r="F8" s="620">
        <v>0</v>
      </c>
      <c r="G8" s="910">
        <v>0</v>
      </c>
      <c r="H8" s="620">
        <v>2000</v>
      </c>
      <c r="I8" s="907">
        <v>7197</v>
      </c>
      <c r="J8" s="907">
        <v>4110</v>
      </c>
      <c r="K8" s="623">
        <v>0</v>
      </c>
      <c r="L8" s="911">
        <v>0</v>
      </c>
      <c r="M8" s="911">
        <v>0</v>
      </c>
      <c r="N8" s="911">
        <v>0</v>
      </c>
      <c r="O8" s="911">
        <v>0</v>
      </c>
      <c r="P8" s="620">
        <v>0</v>
      </c>
      <c r="Q8" s="911">
        <v>0</v>
      </c>
      <c r="R8" s="620">
        <v>0</v>
      </c>
      <c r="S8" s="823">
        <v>0</v>
      </c>
      <c r="T8" s="620">
        <v>0</v>
      </c>
      <c r="U8" s="620">
        <v>0</v>
      </c>
      <c r="V8" s="823">
        <v>0</v>
      </c>
      <c r="W8" s="620">
        <v>0</v>
      </c>
      <c r="X8" s="620">
        <v>0</v>
      </c>
      <c r="Y8" s="823">
        <v>0</v>
      </c>
      <c r="Z8" s="620">
        <v>0</v>
      </c>
      <c r="AA8" s="620">
        <v>0</v>
      </c>
      <c r="AB8" s="910">
        <v>0</v>
      </c>
      <c r="AC8" s="620">
        <v>0</v>
      </c>
      <c r="AD8" s="620">
        <v>0</v>
      </c>
      <c r="AE8" s="620">
        <v>0</v>
      </c>
      <c r="AF8" s="822">
        <f>AF7+1</f>
        <v>37061</v>
      </c>
      <c r="AG8" s="619"/>
      <c r="AH8" s="619"/>
      <c r="AI8" s="619"/>
      <c r="AJ8" s="619"/>
      <c r="AK8" s="619"/>
    </row>
    <row r="9" spans="1:128" s="1" customFormat="1" ht="12.75">
      <c r="A9" s="821">
        <f>A8+1</f>
        <v>37062</v>
      </c>
      <c r="B9" s="906">
        <v>0</v>
      </c>
      <c r="C9" s="620">
        <v>0</v>
      </c>
      <c r="D9" s="620">
        <v>0</v>
      </c>
      <c r="E9" s="620">
        <v>0</v>
      </c>
      <c r="F9" s="620">
        <v>0</v>
      </c>
      <c r="G9" s="910">
        <v>0</v>
      </c>
      <c r="H9" s="620">
        <v>2000</v>
      </c>
      <c r="I9" s="907">
        <v>7197</v>
      </c>
      <c r="J9" s="907">
        <v>0</v>
      </c>
      <c r="K9" s="623">
        <v>0</v>
      </c>
      <c r="L9" s="911">
        <v>0</v>
      </c>
      <c r="M9" s="911">
        <v>0</v>
      </c>
      <c r="N9" s="911">
        <v>0</v>
      </c>
      <c r="O9" s="911">
        <v>0</v>
      </c>
      <c r="P9" s="620">
        <v>0</v>
      </c>
      <c r="Q9" s="911">
        <v>0</v>
      </c>
      <c r="R9" s="620">
        <v>0</v>
      </c>
      <c r="S9" s="823">
        <v>0</v>
      </c>
      <c r="T9" s="620">
        <v>0</v>
      </c>
      <c r="U9" s="620">
        <v>0</v>
      </c>
      <c r="V9" s="823">
        <v>0</v>
      </c>
      <c r="W9" s="620">
        <v>0</v>
      </c>
      <c r="X9" s="620">
        <v>0</v>
      </c>
      <c r="Y9" s="823">
        <v>0</v>
      </c>
      <c r="Z9" s="620">
        <v>0</v>
      </c>
      <c r="AA9" s="620">
        <v>0</v>
      </c>
      <c r="AB9" s="910">
        <v>0</v>
      </c>
      <c r="AC9" s="620">
        <v>0</v>
      </c>
      <c r="AD9" s="620">
        <v>0</v>
      </c>
      <c r="AE9" s="620">
        <v>0</v>
      </c>
      <c r="AF9" s="821">
        <f>AF8+1</f>
        <v>37062</v>
      </c>
      <c r="AG9" s="619"/>
      <c r="AH9" s="619"/>
      <c r="AI9" s="619"/>
      <c r="AJ9" s="619"/>
      <c r="AK9" s="619"/>
    </row>
    <row r="10" spans="1:128" s="1" customFormat="1" ht="12.75">
      <c r="A10" s="821">
        <f>A9+1</f>
        <v>37063</v>
      </c>
      <c r="B10" s="906">
        <v>0</v>
      </c>
      <c r="C10" s="620">
        <v>0</v>
      </c>
      <c r="D10" s="620">
        <v>0</v>
      </c>
      <c r="E10" s="620">
        <v>0</v>
      </c>
      <c r="F10" s="620">
        <v>0</v>
      </c>
      <c r="G10" s="910">
        <v>0</v>
      </c>
      <c r="H10" s="620">
        <v>2000</v>
      </c>
      <c r="I10" s="907">
        <v>7197</v>
      </c>
      <c r="J10" s="907">
        <v>0</v>
      </c>
      <c r="K10" s="623">
        <v>0</v>
      </c>
      <c r="L10" s="911">
        <v>0</v>
      </c>
      <c r="M10" s="911">
        <v>0</v>
      </c>
      <c r="N10" s="911">
        <v>0</v>
      </c>
      <c r="O10" s="911">
        <v>0</v>
      </c>
      <c r="P10" s="620">
        <v>0</v>
      </c>
      <c r="Q10" s="911">
        <v>0</v>
      </c>
      <c r="R10" s="620">
        <v>0</v>
      </c>
      <c r="S10" s="823">
        <v>0</v>
      </c>
      <c r="T10" s="620">
        <v>0</v>
      </c>
      <c r="U10" s="620">
        <v>0</v>
      </c>
      <c r="V10" s="823">
        <v>0</v>
      </c>
      <c r="W10" s="620">
        <v>0</v>
      </c>
      <c r="X10" s="620">
        <v>0</v>
      </c>
      <c r="Y10" s="823">
        <v>0</v>
      </c>
      <c r="Z10" s="620">
        <v>0</v>
      </c>
      <c r="AA10" s="620">
        <v>0</v>
      </c>
      <c r="AB10" s="910">
        <v>0</v>
      </c>
      <c r="AC10" s="620">
        <v>0</v>
      </c>
      <c r="AD10" s="620">
        <v>0</v>
      </c>
      <c r="AE10" s="620">
        <v>0</v>
      </c>
      <c r="AF10" s="821">
        <f>AF9+1</f>
        <v>37063</v>
      </c>
      <c r="AG10" s="619"/>
      <c r="AH10" s="619"/>
      <c r="AI10" s="619"/>
      <c r="AJ10" s="619"/>
      <c r="AK10" s="619"/>
    </row>
    <row r="11" spans="1:128" s="1" customFormat="1" ht="12.75">
      <c r="A11" s="821">
        <f>A10+1</f>
        <v>37064</v>
      </c>
      <c r="B11" s="906">
        <v>0</v>
      </c>
      <c r="C11" s="620">
        <v>0</v>
      </c>
      <c r="D11" s="620">
        <v>0</v>
      </c>
      <c r="E11" s="620">
        <v>0</v>
      </c>
      <c r="F11" s="620">
        <v>0</v>
      </c>
      <c r="G11" s="910">
        <v>0</v>
      </c>
      <c r="H11" s="620">
        <v>2000</v>
      </c>
      <c r="I11" s="907">
        <v>7197</v>
      </c>
      <c r="J11" s="907">
        <v>0</v>
      </c>
      <c r="K11" s="623">
        <v>0</v>
      </c>
      <c r="L11" s="911">
        <v>0</v>
      </c>
      <c r="M11" s="911">
        <v>0</v>
      </c>
      <c r="N11" s="911">
        <v>0</v>
      </c>
      <c r="O11" s="911">
        <v>0</v>
      </c>
      <c r="P11" s="620">
        <v>0</v>
      </c>
      <c r="Q11" s="911">
        <v>0</v>
      </c>
      <c r="R11" s="620">
        <v>0</v>
      </c>
      <c r="S11" s="823">
        <v>0</v>
      </c>
      <c r="T11" s="620">
        <v>0</v>
      </c>
      <c r="U11" s="620">
        <v>0</v>
      </c>
      <c r="V11" s="823">
        <v>0</v>
      </c>
      <c r="W11" s="620">
        <v>0</v>
      </c>
      <c r="X11" s="620">
        <v>0</v>
      </c>
      <c r="Y11" s="823">
        <v>0</v>
      </c>
      <c r="Z11" s="620">
        <v>0</v>
      </c>
      <c r="AA11" s="620">
        <v>0</v>
      </c>
      <c r="AB11" s="910">
        <v>0</v>
      </c>
      <c r="AC11" s="620">
        <v>0</v>
      </c>
      <c r="AD11" s="620">
        <v>0</v>
      </c>
      <c r="AE11" s="620">
        <v>0</v>
      </c>
      <c r="AF11" s="821">
        <f>AF10+1</f>
        <v>37064</v>
      </c>
      <c r="AG11" s="619"/>
      <c r="AH11" s="619"/>
      <c r="AI11" s="619"/>
      <c r="AJ11" s="619"/>
      <c r="AK11" s="619"/>
    </row>
    <row r="12" spans="1:128" s="1" customFormat="1" ht="12.75">
      <c r="A12" s="821">
        <f>A11+1</f>
        <v>37065</v>
      </c>
      <c r="B12" s="906">
        <v>0</v>
      </c>
      <c r="C12" s="620">
        <v>0</v>
      </c>
      <c r="D12" s="620">
        <v>0</v>
      </c>
      <c r="E12" s="620">
        <v>0</v>
      </c>
      <c r="F12" s="620">
        <v>0</v>
      </c>
      <c r="G12" s="910">
        <v>0</v>
      </c>
      <c r="H12" s="620">
        <v>2000</v>
      </c>
      <c r="I12" s="907">
        <v>7197</v>
      </c>
      <c r="J12" s="907">
        <v>0</v>
      </c>
      <c r="K12" s="623">
        <v>0</v>
      </c>
      <c r="L12" s="911">
        <v>0</v>
      </c>
      <c r="M12" s="911">
        <v>0</v>
      </c>
      <c r="N12" s="911">
        <v>0</v>
      </c>
      <c r="O12" s="911">
        <v>0</v>
      </c>
      <c r="P12" s="620">
        <v>0</v>
      </c>
      <c r="Q12" s="911">
        <v>0</v>
      </c>
      <c r="R12" s="620">
        <v>0</v>
      </c>
      <c r="S12" s="823">
        <v>0</v>
      </c>
      <c r="T12" s="620">
        <v>0</v>
      </c>
      <c r="U12" s="620">
        <v>0</v>
      </c>
      <c r="V12" s="823">
        <v>0</v>
      </c>
      <c r="W12" s="620">
        <v>0</v>
      </c>
      <c r="X12" s="620">
        <v>0</v>
      </c>
      <c r="Y12" s="823">
        <v>0</v>
      </c>
      <c r="Z12" s="620">
        <v>0</v>
      </c>
      <c r="AA12" s="620">
        <v>0</v>
      </c>
      <c r="AB12" s="910">
        <v>0</v>
      </c>
      <c r="AC12" s="620">
        <v>0</v>
      </c>
      <c r="AD12" s="620">
        <v>0</v>
      </c>
      <c r="AE12" s="620">
        <v>0</v>
      </c>
      <c r="AF12" s="821">
        <f>AF11+1</f>
        <v>37065</v>
      </c>
      <c r="AG12" s="619"/>
      <c r="AH12" s="619"/>
      <c r="AI12" s="619"/>
      <c r="AJ12" s="619"/>
      <c r="AK12" s="619"/>
    </row>
    <row r="13" spans="1:128" s="1" customFormat="1" ht="12.75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3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2.75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>
      <selection activeCell="J21" sqref="J21"/>
    </sheetView>
  </sheetViews>
  <sheetFormatPr defaultColWidth="8.77734375" defaultRowHeight="12.75"/>
  <cols>
    <col min="1" max="16384" width="8.7773437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598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396</v>
      </c>
      <c r="N5" s="3"/>
      <c r="O5" s="3" t="s">
        <v>126</v>
      </c>
      <c r="P5" s="3" t="s">
        <v>126</v>
      </c>
      <c r="Q5" s="3" t="s">
        <v>36</v>
      </c>
      <c r="R5" s="1" t="s">
        <v>499</v>
      </c>
      <c r="T5" s="66"/>
    </row>
    <row r="6" spans="1:23">
      <c r="B6" s="54" t="s">
        <v>380</v>
      </c>
      <c r="C6" s="57" t="s">
        <v>106</v>
      </c>
      <c r="D6" s="54" t="s">
        <v>107</v>
      </c>
      <c r="E6" s="81" t="s">
        <v>87</v>
      </c>
      <c r="F6" s="54" t="s">
        <v>655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505</v>
      </c>
      <c r="N6" s="54" t="s">
        <v>89</v>
      </c>
      <c r="O6" s="81" t="s">
        <v>128</v>
      </c>
      <c r="P6" s="81" t="s">
        <v>601</v>
      </c>
      <c r="Q6" s="54" t="s">
        <v>126</v>
      </c>
      <c r="R6" s="1019" t="s">
        <v>36</v>
      </c>
      <c r="S6" s="54" t="s">
        <v>396</v>
      </c>
      <c r="T6" s="68" t="s">
        <v>59</v>
      </c>
    </row>
    <row r="7" spans="1:23">
      <c r="A7" s="821">
        <f>Weather_Input!A5</f>
        <v>37060</v>
      </c>
      <c r="B7" s="622">
        <v>0</v>
      </c>
      <c r="C7" s="623">
        <v>0</v>
      </c>
      <c r="D7" s="622">
        <v>0</v>
      </c>
      <c r="E7" s="622">
        <v>0</v>
      </c>
      <c r="F7" s="622">
        <v>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7">
        <v>0</v>
      </c>
      <c r="O7" s="622">
        <v>0</v>
      </c>
      <c r="P7" s="622">
        <v>15215</v>
      </c>
      <c r="Q7" s="622">
        <v>28599</v>
      </c>
      <c r="R7" s="622">
        <v>16725</v>
      </c>
      <c r="S7" s="622">
        <v>0</v>
      </c>
      <c r="T7" s="622">
        <v>0</v>
      </c>
      <c r="U7" s="821">
        <f>Weather_Input!A5</f>
        <v>37060</v>
      </c>
      <c r="V7" s="619"/>
      <c r="W7" s="619"/>
    </row>
    <row r="8" spans="1:23">
      <c r="A8" s="821">
        <f>A7+1</f>
        <v>37061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7">
        <v>0</v>
      </c>
      <c r="O8" s="622">
        <v>0</v>
      </c>
      <c r="P8" s="622">
        <v>15215</v>
      </c>
      <c r="Q8" s="622">
        <v>27899</v>
      </c>
      <c r="R8" s="622">
        <v>16025</v>
      </c>
      <c r="S8" s="622">
        <v>0</v>
      </c>
      <c r="T8" s="622">
        <v>0</v>
      </c>
      <c r="U8" s="821">
        <f>U7+1</f>
        <v>37061</v>
      </c>
      <c r="V8" s="619"/>
      <c r="W8" s="619"/>
    </row>
    <row r="9" spans="1:23">
      <c r="A9" s="821">
        <f>A8+1</f>
        <v>37062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7">
        <v>0</v>
      </c>
      <c r="O9" s="622">
        <v>0</v>
      </c>
      <c r="P9" s="622">
        <v>15215</v>
      </c>
      <c r="Q9" s="622">
        <v>27899</v>
      </c>
      <c r="R9" s="622">
        <v>16025</v>
      </c>
      <c r="S9" s="622">
        <v>0</v>
      </c>
      <c r="T9" s="622">
        <v>0</v>
      </c>
      <c r="U9" s="821">
        <f>U8+1</f>
        <v>37062</v>
      </c>
      <c r="V9" s="619"/>
      <c r="W9" s="619"/>
    </row>
    <row r="10" spans="1:23">
      <c r="A10" s="821">
        <f>A9+1</f>
        <v>37063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7">
        <v>0</v>
      </c>
      <c r="O10" s="622">
        <v>0</v>
      </c>
      <c r="P10" s="622">
        <v>15215</v>
      </c>
      <c r="Q10" s="622">
        <v>27899</v>
      </c>
      <c r="R10" s="622">
        <v>16025</v>
      </c>
      <c r="S10" s="622">
        <v>0</v>
      </c>
      <c r="T10" s="622">
        <v>0</v>
      </c>
      <c r="U10" s="821">
        <f>U9+1</f>
        <v>37063</v>
      </c>
      <c r="V10" s="619"/>
      <c r="W10" s="619"/>
    </row>
    <row r="11" spans="1:23">
      <c r="A11" s="821">
        <f>A10+1</f>
        <v>37064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7">
        <v>0</v>
      </c>
      <c r="O11" s="622">
        <v>0</v>
      </c>
      <c r="P11" s="622">
        <v>15215</v>
      </c>
      <c r="Q11" s="622">
        <v>27899</v>
      </c>
      <c r="R11" s="622">
        <v>16025</v>
      </c>
      <c r="S11" s="622">
        <v>0</v>
      </c>
      <c r="T11" s="622">
        <v>0</v>
      </c>
      <c r="U11" s="821">
        <f>U10+1</f>
        <v>37064</v>
      </c>
      <c r="V11" s="619"/>
      <c r="W11" s="619"/>
    </row>
    <row r="12" spans="1:23">
      <c r="A12" s="821">
        <f>A11+1</f>
        <v>37065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7">
        <v>0</v>
      </c>
      <c r="O12" s="622">
        <v>0</v>
      </c>
      <c r="P12" s="622">
        <v>15215</v>
      </c>
      <c r="Q12" s="622">
        <v>27899</v>
      </c>
      <c r="R12" s="622">
        <v>16025</v>
      </c>
      <c r="S12" s="622">
        <v>0</v>
      </c>
      <c r="T12" s="622">
        <v>0</v>
      </c>
      <c r="U12" s="821">
        <f>U11+1</f>
        <v>37065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65" t="s">
        <v>0</v>
      </c>
      <c r="B1" s="824"/>
      <c r="C1" s="888"/>
      <c r="D1" s="824"/>
      <c r="E1" s="824"/>
      <c r="F1" s="824" t="s">
        <v>9</v>
      </c>
      <c r="G1" s="824" t="s">
        <v>130</v>
      </c>
      <c r="H1" s="825" t="str">
        <f>D3</f>
        <v>MON</v>
      </c>
      <c r="I1" s="826">
        <f>D4</f>
        <v>37060</v>
      </c>
    </row>
    <row r="2" spans="1:256" ht="18.95" customHeight="1">
      <c r="A2" s="827" t="s">
        <v>131</v>
      </c>
      <c r="B2" s="828"/>
      <c r="C2" s="828"/>
      <c r="D2" s="828"/>
      <c r="E2" s="828"/>
      <c r="F2" s="828"/>
      <c r="G2" s="828"/>
      <c r="H2" s="828"/>
      <c r="I2" s="829"/>
    </row>
    <row r="3" spans="1:256" ht="18.95" customHeight="1" thickBot="1">
      <c r="A3" s="830"/>
      <c r="B3" s="828"/>
      <c r="C3" s="828"/>
      <c r="D3" s="831" t="str">
        <f t="shared" ref="D3:I3" si="0">CHOOSE(WEEKDAY(D4),"SUN","MON","TUE","WED","THU","FRI","SAT")</f>
        <v>MON</v>
      </c>
      <c r="E3" s="831" t="str">
        <f t="shared" si="0"/>
        <v>TUE</v>
      </c>
      <c r="F3" s="831" t="str">
        <f t="shared" si="0"/>
        <v>WED</v>
      </c>
      <c r="G3" s="831" t="str">
        <f t="shared" si="0"/>
        <v>THU</v>
      </c>
      <c r="H3" s="831" t="str">
        <f t="shared" si="0"/>
        <v>FRI</v>
      </c>
      <c r="I3" s="832" t="str">
        <f t="shared" si="0"/>
        <v>SAT</v>
      </c>
    </row>
    <row r="4" spans="1:256" ht="18.95" customHeight="1" thickBot="1">
      <c r="A4" s="833"/>
      <c r="B4" s="834"/>
      <c r="C4" s="834"/>
      <c r="D4" s="461">
        <f>Weather_Input!A5</f>
        <v>37060</v>
      </c>
      <c r="E4" s="461">
        <f>Weather_Input!A6</f>
        <v>37061</v>
      </c>
      <c r="F4" s="461">
        <f>Weather_Input!A7</f>
        <v>37062</v>
      </c>
      <c r="G4" s="461">
        <f>Weather_Input!A8</f>
        <v>37063</v>
      </c>
      <c r="H4" s="461">
        <f>Weather_Input!A9</f>
        <v>37064</v>
      </c>
      <c r="I4" s="462">
        <f>Weather_Input!A10</f>
        <v>37065</v>
      </c>
    </row>
    <row r="5" spans="1:256" ht="18.95" customHeight="1" thickTop="1">
      <c r="A5" s="837" t="s">
        <v>132</v>
      </c>
      <c r="B5" s="828"/>
      <c r="C5" s="828" t="s">
        <v>133</v>
      </c>
      <c r="D5" s="463" t="str">
        <f>TEXT(Weather_Input!B5,"0")&amp;"/"&amp;TEXT(Weather_Input!C5,"0") &amp; "/" &amp; TEXT((Weather_Input!B5+Weather_Input!C5)/2,"0")</f>
        <v>91/73/82</v>
      </c>
      <c r="E5" s="463" t="str">
        <f>TEXT(Weather_Input!B6,"0")&amp;"/"&amp;TEXT(Weather_Input!C6,"0") &amp; "/" &amp; TEXT((Weather_Input!B6+Weather_Input!C6)/2,"0")</f>
        <v>86/59/73</v>
      </c>
      <c r="F5" s="463" t="str">
        <f>TEXT(Weather_Input!B7,"0")&amp;"/"&amp;TEXT(Weather_Input!C7,"0") &amp; "/" &amp; TEXT((Weather_Input!B7+Weather_Input!C7)/2,"0")</f>
        <v>76/54/65</v>
      </c>
      <c r="G5" s="463" t="str">
        <f>TEXT(Weather_Input!B8,"0")&amp;"/"&amp;TEXT(Weather_Input!C8,"0") &amp; "/" &amp; TEXT((Weather_Input!B8+Weather_Input!C8)/2,"0")</f>
        <v>70/52/61</v>
      </c>
      <c r="H5" s="463" t="str">
        <f>TEXT(Weather_Input!B9,"0")&amp;"/"&amp;TEXT(Weather_Input!C9,"0") &amp; "/" &amp; TEXT((Weather_Input!B9+Weather_Input!C9)/2,"0")</f>
        <v>74/51/63</v>
      </c>
      <c r="I5" s="464" t="str">
        <f>TEXT(Weather_Input!B10,"0")&amp;"/"&amp;TEXT(Weather_Input!C10,"0") &amp; "/" &amp; TEXT((Weather_Input!B10+Weather_Input!C10)/2,"0")</f>
        <v>80/58/69</v>
      </c>
    </row>
    <row r="6" spans="1:256" ht="18.95" customHeight="1">
      <c r="A6" s="840" t="s">
        <v>134</v>
      </c>
      <c r="B6" s="828"/>
      <c r="C6" s="828"/>
      <c r="D6" s="463">
        <f>PGL_Deliveries!C5/1000</f>
        <v>213</v>
      </c>
      <c r="E6" s="463">
        <f>PGL_Deliveries!C6/1000</f>
        <v>215</v>
      </c>
      <c r="F6" s="463">
        <f>PGL_Deliveries!C7/1000</f>
        <v>225</v>
      </c>
      <c r="G6" s="463">
        <f>PGL_Deliveries!C8/1000</f>
        <v>230</v>
      </c>
      <c r="H6" s="463">
        <f>PGL_Deliveries!C9/1000</f>
        <v>210</v>
      </c>
      <c r="I6" s="464">
        <f>PGL_Deliveries!C10/1000</f>
        <v>185</v>
      </c>
    </row>
    <row r="7" spans="1:256" ht="18.95" customHeight="1">
      <c r="A7" s="840" t="s">
        <v>538</v>
      </c>
      <c r="B7" s="828" t="s">
        <v>9</v>
      </c>
      <c r="C7" s="828"/>
      <c r="D7" s="463">
        <f>PGL_Requirements!G7/1000*0.5</f>
        <v>28.075500000000002</v>
      </c>
      <c r="E7" s="463">
        <f>PGL_Requirements!G8/1000*0.5</f>
        <v>9.2125000000000004</v>
      </c>
      <c r="F7" s="463">
        <f>PGL_Requirements!G9/1000*0.5</f>
        <v>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95" customHeight="1">
      <c r="A8" s="840" t="s">
        <v>779</v>
      </c>
      <c r="B8" s="828"/>
      <c r="C8" s="828"/>
      <c r="D8" s="463">
        <f>PGL_Requirements!J7/1000</f>
        <v>0</v>
      </c>
      <c r="E8" s="463">
        <f>PGL_Requirements!J8/1000</f>
        <v>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95" customHeight="1">
      <c r="A9" s="837" t="s">
        <v>780</v>
      </c>
      <c r="B9" s="828" t="s">
        <v>9</v>
      </c>
      <c r="C9" s="841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95" customHeight="1">
      <c r="A10" s="837" t="s">
        <v>795</v>
      </c>
      <c r="B10" s="828"/>
      <c r="C10" s="841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95" customHeight="1">
      <c r="A11" s="837" t="s">
        <v>138</v>
      </c>
      <c r="B11" s="828" t="s">
        <v>139</v>
      </c>
      <c r="C11" s="828" t="s">
        <v>58</v>
      </c>
      <c r="D11" s="463">
        <f>PGL_Requirements!O7/1000</f>
        <v>129.22</v>
      </c>
      <c r="E11" s="463">
        <f>PGL_Requirements!O8/1000</f>
        <v>135</v>
      </c>
      <c r="F11" s="463">
        <f>PGL_Requirements!O9/1000</f>
        <v>135</v>
      </c>
      <c r="G11" s="463">
        <f>PGL_Requirements!O10/1000</f>
        <v>135</v>
      </c>
      <c r="H11" s="463">
        <f>PGL_Requirements!O11/1000</f>
        <v>135</v>
      </c>
      <c r="I11" s="464">
        <f>PGL_Requirements!O12/1000</f>
        <v>135</v>
      </c>
    </row>
    <row r="12" spans="1:256" ht="18.95" customHeight="1">
      <c r="A12" s="837"/>
      <c r="B12" s="828"/>
      <c r="C12" s="828" t="s">
        <v>97</v>
      </c>
      <c r="D12" s="463">
        <f>PGL_Requirements!P7/1000</f>
        <v>1.9382999999999999</v>
      </c>
      <c r="E12" s="463">
        <f>PGL_Requirements!P8/1000</f>
        <v>2.0249999999999999</v>
      </c>
      <c r="F12" s="463">
        <f>PGL_Requirements!P9/1000</f>
        <v>2.0249999999999999</v>
      </c>
      <c r="G12" s="463">
        <f>PGL_Requirements!P10/1000</f>
        <v>2.0249999999999999</v>
      </c>
      <c r="H12" s="463">
        <f>PGL_Requirements!P11/1000</f>
        <v>2.0249999999999999</v>
      </c>
      <c r="I12" s="464">
        <f>PGL_Requirements!P12/1000</f>
        <v>2.0249999999999999</v>
      </c>
    </row>
    <row r="13" spans="1:256" ht="18.95" customHeight="1">
      <c r="A13" s="837"/>
      <c r="C13" s="828" t="s">
        <v>694</v>
      </c>
      <c r="D13" s="463">
        <f>PGL_Requirements!Q7/1000</f>
        <v>0.59</v>
      </c>
      <c r="E13" s="463">
        <f>PGL_Requirements!Q8/1000</f>
        <v>0.5</v>
      </c>
      <c r="F13" s="463">
        <f>PGL_Requirements!Q9/1000</f>
        <v>0.5</v>
      </c>
      <c r="G13" s="463">
        <f>PGL_Requirements!Q10/1000</f>
        <v>0.5</v>
      </c>
      <c r="H13" s="463">
        <f>PGL_Requirements!Q11/1000</f>
        <v>0.5</v>
      </c>
      <c r="I13" s="464">
        <f>PGL_Requirements!Q12/1000</f>
        <v>0.5</v>
      </c>
    </row>
    <row r="14" spans="1:256" ht="18.95" customHeight="1">
      <c r="A14" s="837"/>
      <c r="C14" s="828" t="s">
        <v>723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95" customHeight="1">
      <c r="A15" s="837"/>
      <c r="B15" s="828" t="s">
        <v>137</v>
      </c>
      <c r="C15" s="828" t="s">
        <v>782</v>
      </c>
      <c r="D15" s="463">
        <f>PGL_Requirements!T7/1000</f>
        <v>0</v>
      </c>
      <c r="E15" s="463">
        <f>PGL_Requirements!T8/1000</f>
        <v>0</v>
      </c>
      <c r="F15" s="463">
        <f>PGL_Requirements!T9/1000</f>
        <v>0</v>
      </c>
      <c r="G15" s="463">
        <f>PGL_Requirements!T10/1000</f>
        <v>0</v>
      </c>
      <c r="H15" s="463">
        <f>PGL_Requirements!T11/1000</f>
        <v>0</v>
      </c>
      <c r="I15" s="464">
        <f>PGL_Requirements!T12/1000</f>
        <v>0</v>
      </c>
    </row>
    <row r="16" spans="1:256" ht="18.95" customHeight="1">
      <c r="A16" s="837"/>
      <c r="B16" s="828"/>
      <c r="C16" s="828" t="s">
        <v>784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95" customHeight="1">
      <c r="A17" s="837"/>
      <c r="B17" s="828" t="s">
        <v>135</v>
      </c>
      <c r="C17" s="828" t="s">
        <v>87</v>
      </c>
      <c r="D17" s="463">
        <f>PGL_Requirements!N7/1000</f>
        <v>0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95" customHeight="1">
      <c r="A18" s="837" t="s">
        <v>813</v>
      </c>
      <c r="B18" s="844" t="s">
        <v>9</v>
      </c>
      <c r="C18" s="844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95" customHeight="1">
      <c r="A19" s="837" t="s">
        <v>792</v>
      </c>
      <c r="B19" s="842"/>
      <c r="C19" s="844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95" customHeight="1">
      <c r="A20" s="840" t="s">
        <v>141</v>
      </c>
      <c r="B20" s="828"/>
      <c r="C20" s="828"/>
      <c r="D20" s="463">
        <f>PGL_Requirements!F7/1000</f>
        <v>0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95" customHeight="1">
      <c r="A21" s="837" t="s">
        <v>142</v>
      </c>
      <c r="B21" s="828" t="s">
        <v>709</v>
      </c>
      <c r="C21" s="828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95" customHeight="1">
      <c r="A22" s="837"/>
      <c r="B22" s="828" t="s">
        <v>89</v>
      </c>
      <c r="C22" s="828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95" customHeight="1">
      <c r="A23" s="837"/>
      <c r="B23" s="828" t="s">
        <v>396</v>
      </c>
      <c r="C23" s="828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95" customHeight="1">
      <c r="A24" s="837"/>
      <c r="B24" s="828" t="s">
        <v>92</v>
      </c>
      <c r="C24" s="828"/>
      <c r="D24" s="465">
        <f>PGL_Requirements!E7/1000</f>
        <v>4</v>
      </c>
      <c r="E24" s="465">
        <f>PGL_Requirements!E8/1000</f>
        <v>4</v>
      </c>
      <c r="F24" s="465">
        <f>PGL_Requirements!E9/1000</f>
        <v>4</v>
      </c>
      <c r="G24" s="465">
        <f>PGL_Requirements!E10/1000</f>
        <v>4</v>
      </c>
      <c r="H24" s="465">
        <f>PGL_Requirements!E11/1000</f>
        <v>4</v>
      </c>
      <c r="I24" s="466">
        <f>PGL_Requirements!E12/1000</f>
        <v>4</v>
      </c>
    </row>
    <row r="25" spans="1:10" ht="18.95" customHeight="1" thickBot="1">
      <c r="A25" s="845" t="s">
        <v>143</v>
      </c>
      <c r="B25" s="846"/>
      <c r="C25" s="846"/>
      <c r="D25" s="467">
        <f t="shared" ref="D25:I25" si="1">SUM(D6:D24)</f>
        <v>376.82380000000001</v>
      </c>
      <c r="E25" s="467">
        <f t="shared" si="1"/>
        <v>365.73749999999995</v>
      </c>
      <c r="F25" s="467">
        <f t="shared" si="1"/>
        <v>366.52499999999998</v>
      </c>
      <c r="G25" s="467">
        <f t="shared" si="1"/>
        <v>371.52499999999998</v>
      </c>
      <c r="H25" s="467">
        <f t="shared" si="1"/>
        <v>351.52499999999998</v>
      </c>
      <c r="I25" s="1107">
        <f t="shared" si="1"/>
        <v>326.52499999999998</v>
      </c>
    </row>
    <row r="26" spans="1:10" ht="18.95" customHeight="1" thickTop="1" thickBot="1">
      <c r="A26" s="849"/>
      <c r="B26" s="828"/>
      <c r="C26" s="828"/>
      <c r="D26" s="468"/>
      <c r="E26" s="469"/>
      <c r="F26" s="469"/>
      <c r="G26" s="469"/>
      <c r="H26" s="469"/>
      <c r="I26" s="470"/>
    </row>
    <row r="27" spans="1:10" ht="18.95" customHeight="1" thickTop="1" thickBot="1">
      <c r="A27" s="850" t="s">
        <v>144</v>
      </c>
      <c r="B27" s="851"/>
      <c r="C27" s="851"/>
      <c r="D27" s="471"/>
      <c r="E27" s="472"/>
      <c r="F27" s="472"/>
      <c r="G27" s="472"/>
      <c r="H27" s="472"/>
      <c r="I27" s="1108"/>
    </row>
    <row r="28" spans="1:10" ht="18.95" customHeight="1" thickTop="1">
      <c r="A28" s="837" t="s">
        <v>145</v>
      </c>
      <c r="B28" s="828" t="s">
        <v>139</v>
      </c>
      <c r="C28" s="828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95" customHeight="1">
      <c r="A29" s="837"/>
      <c r="B29" s="828"/>
      <c r="C29" s="828" t="s">
        <v>90</v>
      </c>
      <c r="D29" s="463">
        <f>PGL_Supplies!G7/1000</f>
        <v>0.83599999999999997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95" customHeight="1">
      <c r="A30" s="837"/>
      <c r="B30" s="828"/>
      <c r="C30" s="828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95" customHeight="1">
      <c r="A31" s="837"/>
      <c r="B31" s="828" t="s">
        <v>137</v>
      </c>
      <c r="C31" s="828" t="s">
        <v>782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95" customHeight="1">
      <c r="A32" s="837"/>
      <c r="B32" s="828"/>
      <c r="C32" s="828" t="s">
        <v>784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95" customHeight="1">
      <c r="A33" s="837"/>
      <c r="B33" s="828" t="s">
        <v>135</v>
      </c>
      <c r="C33" s="828" t="s">
        <v>87</v>
      </c>
      <c r="D33" s="463">
        <f>PGL_Supplies!K7/1000</f>
        <v>4.4999999999999998E-2</v>
      </c>
      <c r="E33" s="463">
        <f>PGL_Supplies!K8/1000</f>
        <v>20.14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95" customHeight="1">
      <c r="A34" s="837" t="s">
        <v>814</v>
      </c>
      <c r="B34" s="828"/>
      <c r="C34" s="828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95" customHeight="1">
      <c r="A35" s="840" t="s">
        <v>678</v>
      </c>
      <c r="B35" s="828"/>
      <c r="C35" s="828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95" customHeight="1">
      <c r="A36" s="840" t="s">
        <v>781</v>
      </c>
      <c r="B36" s="828" t="s">
        <v>396</v>
      </c>
      <c r="C36" s="828"/>
      <c r="D36" s="463">
        <f>PGL_Supplies!S7/1000*0.5</f>
        <v>10</v>
      </c>
      <c r="E36" s="463">
        <f>PGL_Supplies!S8/1000*0.5</f>
        <v>17.167000000000002</v>
      </c>
      <c r="F36" s="463">
        <f>PGL_Supplies!S9/1000*0.5</f>
        <v>1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95" customHeight="1">
      <c r="A37" s="854" t="s">
        <v>719</v>
      </c>
      <c r="B37" s="828" t="s">
        <v>700</v>
      </c>
      <c r="C37" s="828"/>
      <c r="D37" s="463">
        <f>PGL_Supplies!X7/1000</f>
        <v>103.4</v>
      </c>
      <c r="E37" s="463">
        <f>PGL_Supplies!X8/1000</f>
        <v>89.602999999999994</v>
      </c>
      <c r="F37" s="463">
        <f>PGL_Supplies!X9/1000</f>
        <v>89.602999999999994</v>
      </c>
      <c r="G37" s="463">
        <f>PGL_Supplies!X10/1000</f>
        <v>89.602999999999994</v>
      </c>
      <c r="H37" s="463">
        <f>PGL_Supplies!X11/1000</f>
        <v>89.602999999999994</v>
      </c>
      <c r="I37" s="464">
        <f>PGL_Supplies!X12/1000</f>
        <v>89.602999999999994</v>
      </c>
    </row>
    <row r="38" spans="1:10" ht="18.95" customHeight="1">
      <c r="A38" s="840"/>
      <c r="B38" s="828" t="s">
        <v>137</v>
      </c>
      <c r="C38" s="841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95" customHeight="1">
      <c r="A39" s="840"/>
      <c r="B39" s="828" t="s">
        <v>140</v>
      </c>
      <c r="C39" s="841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95" customHeight="1">
      <c r="A40" s="840"/>
      <c r="B40" s="828" t="s">
        <v>396</v>
      </c>
      <c r="C40" s="841"/>
      <c r="D40" s="463">
        <f>PGL_Supplies!AA7/1000</f>
        <v>211.56700000000001</v>
      </c>
      <c r="E40" s="463">
        <f>PGL_Supplies!AA8/1000</f>
        <v>167.27099999999999</v>
      </c>
      <c r="F40" s="463">
        <f>PGL_Supplies!AA9/1000</f>
        <v>167.27099999999999</v>
      </c>
      <c r="G40" s="463">
        <f>PGL_Supplies!AA10/1000</f>
        <v>167.27099999999999</v>
      </c>
      <c r="H40" s="463">
        <f>PGL_Supplies!AA11/1000</f>
        <v>167.27099999999999</v>
      </c>
      <c r="I40" s="464">
        <f>PGL_Supplies!AA12/1000</f>
        <v>167.27099999999999</v>
      </c>
    </row>
    <row r="41" spans="1:10" ht="18.95" customHeight="1">
      <c r="A41" s="840"/>
      <c r="B41" s="828" t="s">
        <v>135</v>
      </c>
      <c r="C41" s="828"/>
      <c r="D41" s="463">
        <f>PGL_Supplies!AB7/1000</f>
        <v>20.155000000000001</v>
      </c>
      <c r="E41" s="463">
        <f>PGL_Supplies!AB8/1000</f>
        <v>31.556000000000001</v>
      </c>
      <c r="F41" s="463">
        <f>PGL_Supplies!AB9/1000</f>
        <v>31.556000000000001</v>
      </c>
      <c r="G41" s="463">
        <f>PGL_Supplies!AB10/1000</f>
        <v>31.556000000000001</v>
      </c>
      <c r="H41" s="463">
        <f>PGL_Supplies!AB11/1000</f>
        <v>31.556000000000001</v>
      </c>
      <c r="I41" s="464">
        <f>PGL_Supplies!AB12/1000</f>
        <v>31.556000000000001</v>
      </c>
    </row>
    <row r="42" spans="1:10" ht="18.95" customHeight="1">
      <c r="A42" s="840"/>
      <c r="B42" s="828" t="s">
        <v>136</v>
      </c>
      <c r="C42" s="828"/>
      <c r="D42" s="463">
        <f>PGL_Supplies!AC7/1000</f>
        <v>4</v>
      </c>
      <c r="E42" s="463">
        <f>PGL_Supplies!AC8/1000</f>
        <v>4</v>
      </c>
      <c r="F42" s="463">
        <f>PGL_Supplies!AC9/1000</f>
        <v>4</v>
      </c>
      <c r="G42" s="463">
        <f>PGL_Supplies!AC10/1000</f>
        <v>4</v>
      </c>
      <c r="H42" s="463">
        <f>PGL_Supplies!AC11/1000</f>
        <v>4</v>
      </c>
      <c r="I42" s="464">
        <f>PGL_Supplies!AC12/1000</f>
        <v>4</v>
      </c>
    </row>
    <row r="43" spans="1:10" ht="18.95" customHeight="1">
      <c r="A43" s="854"/>
      <c r="B43" s="828" t="s">
        <v>147</v>
      </c>
      <c r="C43" s="828"/>
      <c r="D43" s="463">
        <f>PGL_Supplies!H7/1000</f>
        <v>6.3230000000000004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95" customHeight="1">
      <c r="A44" s="837"/>
      <c r="B44" s="828" t="s">
        <v>148</v>
      </c>
      <c r="C44" s="828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95" customHeight="1">
      <c r="A45" s="840" t="s">
        <v>732</v>
      </c>
      <c r="B45" s="828"/>
      <c r="C45" s="828"/>
      <c r="D45" s="463">
        <f>PGL_Supplies!B7/1000</f>
        <v>26.071999999999999</v>
      </c>
      <c r="E45" s="463">
        <f>PGL_Supplies!B8/1000</f>
        <v>20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95" customHeight="1">
      <c r="A46" s="837" t="s">
        <v>708</v>
      </c>
      <c r="B46" s="828" t="s">
        <v>700</v>
      </c>
      <c r="C46" s="828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95" customHeight="1">
      <c r="A47" s="837"/>
      <c r="B47" s="842" t="s">
        <v>140</v>
      </c>
      <c r="C47" s="828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95" customHeight="1">
      <c r="A48" s="837"/>
      <c r="B48" s="828" t="s">
        <v>396</v>
      </c>
      <c r="C48" s="828"/>
      <c r="D48" s="463">
        <f>PGL_Supplies!D7/1000</f>
        <v>0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95" customHeight="1">
      <c r="A49" s="855"/>
      <c r="B49" s="856" t="s">
        <v>136</v>
      </c>
      <c r="C49" s="856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95" customHeight="1" thickBot="1">
      <c r="A50" s="857" t="s">
        <v>149</v>
      </c>
      <c r="B50" s="858"/>
      <c r="C50" s="858"/>
      <c r="D50" s="473">
        <f t="shared" ref="D50:I50" si="2">SUM(D28:D49)</f>
        <v>382.59799999999996</v>
      </c>
      <c r="E50" s="473">
        <f t="shared" si="2"/>
        <v>365.93699999999995</v>
      </c>
      <c r="F50" s="473">
        <f t="shared" si="2"/>
        <v>309.62999999999994</v>
      </c>
      <c r="G50" s="473">
        <f t="shared" si="2"/>
        <v>308.62999999999994</v>
      </c>
      <c r="H50" s="473">
        <f t="shared" si="2"/>
        <v>308.62999999999994</v>
      </c>
      <c r="I50" s="1109">
        <f t="shared" si="2"/>
        <v>308.62999999999994</v>
      </c>
    </row>
    <row r="51" spans="1:9" ht="18.95" customHeight="1">
      <c r="A51" s="859" t="s">
        <v>150</v>
      </c>
      <c r="B51" s="860"/>
      <c r="C51" s="860"/>
      <c r="D51" s="474">
        <f t="shared" ref="D51:I51" si="3">IF(D50-D25&lt;0,0,D50-D25)</f>
        <v>5.7741999999999507</v>
      </c>
      <c r="E51" s="474">
        <f t="shared" si="3"/>
        <v>0.19950000000000045</v>
      </c>
      <c r="F51" s="474">
        <f t="shared" si="3"/>
        <v>0</v>
      </c>
      <c r="G51" s="474">
        <f t="shared" si="3"/>
        <v>0</v>
      </c>
      <c r="H51" s="474">
        <f t="shared" si="3"/>
        <v>0</v>
      </c>
      <c r="I51" s="1110">
        <f t="shared" si="3"/>
        <v>0</v>
      </c>
    </row>
    <row r="52" spans="1:9" ht="18.95" customHeight="1" thickBot="1">
      <c r="A52" s="861" t="s">
        <v>151</v>
      </c>
      <c r="B52" s="846"/>
      <c r="C52" s="862"/>
      <c r="D52" s="475">
        <f t="shared" ref="D52:I52" si="4">IF(D25-D50&lt;0,0,D25-D50)</f>
        <v>0</v>
      </c>
      <c r="E52" s="475">
        <f t="shared" si="4"/>
        <v>0</v>
      </c>
      <c r="F52" s="475">
        <f t="shared" si="4"/>
        <v>56.895000000000039</v>
      </c>
      <c r="G52" s="475">
        <f t="shared" si="4"/>
        <v>62.895000000000039</v>
      </c>
      <c r="H52" s="475">
        <f t="shared" si="4"/>
        <v>42.895000000000039</v>
      </c>
      <c r="I52" s="1111">
        <f t="shared" si="4"/>
        <v>17.895000000000039</v>
      </c>
    </row>
    <row r="53" spans="1:9" ht="18.95" customHeight="1" thickTop="1" thickBot="1">
      <c r="A53" s="1098" t="s">
        <v>722</v>
      </c>
      <c r="B53" s="1099"/>
      <c r="C53" s="1099"/>
      <c r="D53" s="1100">
        <f>PGL_Supplies!U7/1000</f>
        <v>133.16</v>
      </c>
      <c r="E53" s="1100">
        <f>PGL_Supplies!U8/1000</f>
        <v>122.53</v>
      </c>
      <c r="F53" s="1100">
        <f>PGL_Supplies!U9/1000</f>
        <v>122.53</v>
      </c>
      <c r="G53" s="1100">
        <f>PGL_Supplies!U10/1000</f>
        <v>122.53</v>
      </c>
      <c r="H53" s="1100">
        <f>PGL_Supplies!U11/1000</f>
        <v>122.53</v>
      </c>
      <c r="I53" s="1101">
        <f>PGL_Supplies!U12/1000</f>
        <v>122.53</v>
      </c>
    </row>
    <row r="54" spans="1:9" ht="18.95" customHeight="1" thickTop="1"/>
    <row r="56" spans="1:9">
      <c r="C56" s="111" t="s">
        <v>741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2001-06-19T16:06:51Z</cp:lastPrinted>
  <dcterms:created xsi:type="dcterms:W3CDTF">1997-07-16T16:14:22Z</dcterms:created>
  <dcterms:modified xsi:type="dcterms:W3CDTF">2023-09-10T17:05:11Z</dcterms:modified>
</cp:coreProperties>
</file>